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showInkAnnotation="0" codeName="ThisWorkbook"/>
  <mc:AlternateContent xmlns:mc="http://schemas.openxmlformats.org/markup-compatibility/2006">
    <mc:Choice Requires="x15">
      <x15ac:absPath xmlns:x15ac="http://schemas.microsoft.com/office/spreadsheetml/2010/11/ac" url="/Users/carlo.veo/Documents/GitHub/wmt/wmt-worker/app/templates/"/>
    </mc:Choice>
  </mc:AlternateContent>
  <xr:revisionPtr revIDLastSave="0" documentId="13_ncr:1_{FEB21749-A66C-7E4A-8246-459411472966}" xr6:coauthVersionLast="47" xr6:coauthVersionMax="47" xr10:uidLastSave="{00000000-0000-0000-0000-000000000000}"/>
  <bookViews>
    <workbookView showSheetTabs="0" xWindow="0" yWindow="500" windowWidth="35840" windowHeight="21900" tabRatio="851" xr2:uid="{00000000-000D-0000-FFFF-FFFF00000000}"/>
  </bookViews>
  <sheets>
    <sheet name="home" sheetId="11" r:id="rId1"/>
    <sheet name="PDUs" sheetId="78" r:id="rId2"/>
    <sheet name="capacity data" sheetId="79" r:id="rId3"/>
    <sheet name="caseload data" sheetId="99" r:id="rId4"/>
    <sheet name="reductions data" sheetId="85" r:id="rId5"/>
    <sheet name="reductions workings" sheetId="106" r:id="rId6"/>
    <sheet name="FAQs" sheetId="112" r:id="rId7"/>
    <sheet name="divisional &amp; regional overview" sheetId="101" r:id="rId8"/>
    <sheet name="HMIP caseload divisional" sheetId="115" r:id="rId9"/>
    <sheet name="HMIP caseload cluster" sheetId="117" r:id="rId10"/>
    <sheet name="cluster overview" sheetId="98" r:id="rId11"/>
    <sheet name="team overview" sheetId="114" r:id="rId12"/>
    <sheet name="national caseload" sheetId="100" r:id="rId13"/>
    <sheet name="national tier ratios" sheetId="111" r:id="rId14"/>
    <sheet name="divisional &amp; regional caseload" sheetId="102" r:id="rId15"/>
    <sheet name="divisional &amp; regional caseload%" sheetId="105" r:id="rId16"/>
    <sheet name="cluster capacity, unallocateds" sheetId="81" r:id="rId17"/>
    <sheet name="custody caseload" sheetId="107" r:id="rId18"/>
    <sheet name="custody %" sheetId="109" r:id="rId19"/>
    <sheet name="community caseload" sheetId="108" r:id="rId20"/>
    <sheet name="community %" sheetId="110" r:id="rId21"/>
    <sheet name="divisional &amp; regional capacity" sheetId="80" r:id="rId22"/>
    <sheet name="cluster officer capacity ranks" sheetId="82" r:id="rId23"/>
    <sheet name="div &amp; regional over-capacities" sheetId="95" r:id="rId24"/>
    <sheet name="unallocated cases" sheetId="84" r:id="rId25"/>
    <sheet name="reasons for reduction division" sheetId="87" r:id="rId26"/>
    <sheet name="cluster reductions" sheetId="89" r:id="rId27"/>
    <sheet name="div &amp; regional reduction hours" sheetId="88" r:id="rId28"/>
    <sheet name="Caseload Buttons" sheetId="93" r:id="rId29"/>
    <sheet name="Capacity Buttons" sheetId="91" r:id="rId30"/>
    <sheet name="Reductions Buttons" sheetId="92" r:id="rId31"/>
  </sheets>
  <externalReferences>
    <externalReference r:id="rId32"/>
    <externalReference r:id="rId33"/>
    <externalReference r:id="rId34"/>
  </externalReferences>
  <definedNames>
    <definedName name="_xlnm._FilterDatabase" localSheetId="2" hidden="1">'capacity data'!$A$1:$U$3732</definedName>
    <definedName name="_xlnm._FilterDatabase" localSheetId="3" hidden="1">'caseload data'!$A$1:$X$1630</definedName>
    <definedName name="_xlnm._FilterDatabase" localSheetId="4" hidden="1">'reductions data'!$A$1:$L$5156</definedName>
    <definedName name="Against_National_Average">'[1]Rating Lookup'!$C$2:$F$2</definedName>
    <definedName name="Against_Target">'[1]Rating Lookup'!$B$3:$B$6</definedName>
    <definedName name="Aggregation" localSheetId="29">#REF!</definedName>
    <definedName name="Aggregation" localSheetId="2">#REF!</definedName>
    <definedName name="Aggregation" localSheetId="28">#REF!</definedName>
    <definedName name="Aggregation" localSheetId="16">#REF!</definedName>
    <definedName name="Aggregation" localSheetId="22">#REF!</definedName>
    <definedName name="Aggregation" localSheetId="26">#REF!</definedName>
    <definedName name="Aggregation" localSheetId="20">#REF!</definedName>
    <definedName name="Aggregation" localSheetId="19">#REF!</definedName>
    <definedName name="Aggregation" localSheetId="18">#REF!</definedName>
    <definedName name="Aggregation" localSheetId="17">#REF!</definedName>
    <definedName name="Aggregation" localSheetId="27">#REF!</definedName>
    <definedName name="Aggregation" localSheetId="21">#REF!</definedName>
    <definedName name="Aggregation" localSheetId="15">#REF!</definedName>
    <definedName name="Aggregation" localSheetId="7">#REF!</definedName>
    <definedName name="Aggregation" localSheetId="8">#REF!</definedName>
    <definedName name="Aggregation" localSheetId="1">#REF!</definedName>
    <definedName name="Aggregation" localSheetId="25">#REF!</definedName>
    <definedName name="Aggregation" localSheetId="30">#REF!</definedName>
    <definedName name="Aggregation" localSheetId="4">#REF!</definedName>
    <definedName name="Aggregation" localSheetId="11">#REF!</definedName>
    <definedName name="Aggregation" localSheetId="24">#REF!</definedName>
    <definedName name="Aggregation">#REF!</definedName>
    <definedName name="AmberRating" localSheetId="29">#REF!</definedName>
    <definedName name="AmberRating" localSheetId="2">#REF!</definedName>
    <definedName name="AmberRating" localSheetId="28">#REF!</definedName>
    <definedName name="AmberRating" localSheetId="16">#REF!</definedName>
    <definedName name="AmberRating" localSheetId="22">#REF!</definedName>
    <definedName name="AmberRating" localSheetId="26">#REF!</definedName>
    <definedName name="AmberRating" localSheetId="20">#REF!</definedName>
    <definedName name="AmberRating" localSheetId="19">#REF!</definedName>
    <definedName name="AmberRating" localSheetId="18">#REF!</definedName>
    <definedName name="AmberRating" localSheetId="17">#REF!</definedName>
    <definedName name="AmberRating" localSheetId="27">#REF!</definedName>
    <definedName name="AmberRating" localSheetId="21">#REF!</definedName>
    <definedName name="AmberRating" localSheetId="15">#REF!</definedName>
    <definedName name="AmberRating" localSheetId="7">#REF!</definedName>
    <definedName name="AmberRating" localSheetId="8">#REF!</definedName>
    <definedName name="AmberRating" localSheetId="1">#REF!</definedName>
    <definedName name="AmberRating" localSheetId="25">#REF!</definedName>
    <definedName name="AmberRating" localSheetId="30">#REF!</definedName>
    <definedName name="AmberRating" localSheetId="4">#REF!</definedName>
    <definedName name="AmberRating" localSheetId="11">#REF!</definedName>
    <definedName name="AmberRating" localSheetId="24">#REF!</definedName>
    <definedName name="AmberRating">#REF!</definedName>
    <definedName name="Anchor_Cell">PDUs!$A$1</definedName>
    <definedName name="CurMonth" localSheetId="29">#REF!</definedName>
    <definedName name="CurMonth" localSheetId="2">#REF!</definedName>
    <definedName name="CurMonth" localSheetId="28">#REF!</definedName>
    <definedName name="CurMonth" localSheetId="16">#REF!</definedName>
    <definedName name="CurMonth" localSheetId="22">#REF!</definedName>
    <definedName name="CurMonth" localSheetId="26">#REF!</definedName>
    <definedName name="CurMonth" localSheetId="20">#REF!</definedName>
    <definedName name="CurMonth" localSheetId="19">#REF!</definedName>
    <definedName name="CurMonth" localSheetId="18">#REF!</definedName>
    <definedName name="CurMonth" localSheetId="17">#REF!</definedName>
    <definedName name="CurMonth" localSheetId="27">#REF!</definedName>
    <definedName name="CurMonth" localSheetId="21">#REF!</definedName>
    <definedName name="CurMonth" localSheetId="15">#REF!</definedName>
    <definedName name="CurMonth" localSheetId="7">#REF!</definedName>
    <definedName name="CurMonth" localSheetId="8">#REF!</definedName>
    <definedName name="CurMonth" localSheetId="1">#REF!</definedName>
    <definedName name="CurMonth" localSheetId="25">#REF!</definedName>
    <definedName name="CurMonth" localSheetId="30">#REF!</definedName>
    <definedName name="CurMonth" localSheetId="4">#REF!</definedName>
    <definedName name="CurMonth" localSheetId="11">#REF!</definedName>
    <definedName name="CurMonth" localSheetId="24">#REF!</definedName>
    <definedName name="CurMonth">#REF!</definedName>
    <definedName name="CurQuarter" localSheetId="29">#REF!</definedName>
    <definedName name="CurQuarter" localSheetId="2">#REF!</definedName>
    <definedName name="CurQuarter" localSheetId="28">#REF!</definedName>
    <definedName name="CurQuarter" localSheetId="16">#REF!</definedName>
    <definedName name="CurQuarter" localSheetId="22">#REF!</definedName>
    <definedName name="CurQuarter" localSheetId="26">#REF!</definedName>
    <definedName name="CurQuarter" localSheetId="20">#REF!</definedName>
    <definedName name="CurQuarter" localSheetId="19">#REF!</definedName>
    <definedName name="CurQuarter" localSheetId="18">#REF!</definedName>
    <definedName name="CurQuarter" localSheetId="17">#REF!</definedName>
    <definedName name="CurQuarter" localSheetId="27">#REF!</definedName>
    <definedName name="CurQuarter" localSheetId="21">#REF!</definedName>
    <definedName name="CurQuarter" localSheetId="15">#REF!</definedName>
    <definedName name="CurQuarter" localSheetId="7">#REF!</definedName>
    <definedName name="CurQuarter" localSheetId="8">#REF!</definedName>
    <definedName name="CurQuarter" localSheetId="1">#REF!</definedName>
    <definedName name="CurQuarter" localSheetId="25">#REF!</definedName>
    <definedName name="CurQuarter" localSheetId="30">#REF!</definedName>
    <definedName name="CurQuarter" localSheetId="4">#REF!</definedName>
    <definedName name="CurQuarter" localSheetId="11">#REF!</definedName>
    <definedName name="CurQuarter" localSheetId="24">#REF!</definedName>
    <definedName name="CurQuarter">#REF!</definedName>
    <definedName name="DateRange" localSheetId="29">#REF!</definedName>
    <definedName name="DateRange" localSheetId="2">#REF!</definedName>
    <definedName name="DateRange" localSheetId="28">#REF!</definedName>
    <definedName name="DateRange" localSheetId="16">#REF!</definedName>
    <definedName name="DateRange" localSheetId="22">#REF!</definedName>
    <definedName name="DateRange" localSheetId="26">#REF!</definedName>
    <definedName name="DateRange" localSheetId="20">#REF!</definedName>
    <definedName name="DateRange" localSheetId="19">#REF!</definedName>
    <definedName name="DateRange" localSheetId="18">#REF!</definedName>
    <definedName name="DateRange" localSheetId="17">#REF!</definedName>
    <definedName name="DateRange" localSheetId="27">#REF!</definedName>
    <definedName name="DateRange" localSheetId="21">#REF!</definedName>
    <definedName name="DateRange" localSheetId="15">#REF!</definedName>
    <definedName name="DateRange" localSheetId="7">#REF!</definedName>
    <definedName name="DateRange" localSheetId="8">#REF!</definedName>
    <definedName name="DateRange" localSheetId="1">#REF!</definedName>
    <definedName name="DateRange" localSheetId="25">#REF!</definedName>
    <definedName name="DateRange" localSheetId="30">#REF!</definedName>
    <definedName name="DateRange" localSheetId="4">#REF!</definedName>
    <definedName name="DateRange" localSheetId="11">#REF!</definedName>
    <definedName name="DateRange" localSheetId="24">#REF!</definedName>
    <definedName name="DateRange">#REF!</definedName>
    <definedName name="EMR">'national caseload'!$B$7</definedName>
    <definedName name="EoE">'national caseload'!$B$11</definedName>
    <definedName name="ForecastDate" localSheetId="29">#REF!</definedName>
    <definedName name="ForecastDate" localSheetId="2">#REF!</definedName>
    <definedName name="ForecastDate" localSheetId="28">#REF!</definedName>
    <definedName name="ForecastDate" localSheetId="16">#REF!</definedName>
    <definedName name="ForecastDate" localSheetId="22">#REF!</definedName>
    <definedName name="ForecastDate" localSheetId="26">#REF!</definedName>
    <definedName name="ForecastDate" localSheetId="20">#REF!</definedName>
    <definedName name="ForecastDate" localSheetId="19">#REF!</definedName>
    <definedName name="ForecastDate" localSheetId="18">#REF!</definedName>
    <definedName name="ForecastDate" localSheetId="17">#REF!</definedName>
    <definedName name="ForecastDate" localSheetId="27">#REF!</definedName>
    <definedName name="ForecastDate" localSheetId="21">#REF!</definedName>
    <definedName name="ForecastDate" localSheetId="15">#REF!</definedName>
    <definedName name="ForecastDate" localSheetId="7">#REF!</definedName>
    <definedName name="ForecastDate" localSheetId="8">#REF!</definedName>
    <definedName name="ForecastDate" localSheetId="1">#REF!</definedName>
    <definedName name="ForecastDate" localSheetId="25">#REF!</definedName>
    <definedName name="ForecastDate" localSheetId="30">#REF!</definedName>
    <definedName name="ForecastDate" localSheetId="4">#REF!</definedName>
    <definedName name="ForecastDate" localSheetId="11">#REF!</definedName>
    <definedName name="ForecastDate" localSheetId="24">#REF!</definedName>
    <definedName name="ForecastDate">#REF!</definedName>
    <definedName name="GM">'national caseload'!$B$15</definedName>
    <definedName name="HubData" localSheetId="29">#REF!</definedName>
    <definedName name="HubData" localSheetId="2">#REF!</definedName>
    <definedName name="HubData" localSheetId="28">#REF!</definedName>
    <definedName name="HubData" localSheetId="16">#REF!</definedName>
    <definedName name="HubData" localSheetId="22">#REF!</definedName>
    <definedName name="HubData" localSheetId="26">#REF!</definedName>
    <definedName name="HubData" localSheetId="20">#REF!</definedName>
    <definedName name="HubData" localSheetId="19">#REF!</definedName>
    <definedName name="HubData" localSheetId="18">#REF!</definedName>
    <definedName name="HubData" localSheetId="17">#REF!</definedName>
    <definedName name="HubData" localSheetId="27">#REF!</definedName>
    <definedName name="HubData" localSheetId="21">#REF!</definedName>
    <definedName name="HubData" localSheetId="15">#REF!</definedName>
    <definedName name="HubData" localSheetId="7">#REF!</definedName>
    <definedName name="HubData" localSheetId="8">#REF!</definedName>
    <definedName name="HubData" localSheetId="1">#REF!</definedName>
    <definedName name="HubData" localSheetId="25">#REF!</definedName>
    <definedName name="HubData" localSheetId="30">#REF!</definedName>
    <definedName name="HubData" localSheetId="4">#REF!</definedName>
    <definedName name="HubData" localSheetId="11">#REF!</definedName>
    <definedName name="HubData" localSheetId="24">#REF!</definedName>
    <definedName name="HubData">#REF!</definedName>
    <definedName name="KSSR">'national caseload'!$B$19</definedName>
    <definedName name="L">'national caseload'!$B$23</definedName>
    <definedName name="LDU" localSheetId="29">#REF!</definedName>
    <definedName name="LDU" localSheetId="2">#REF!</definedName>
    <definedName name="LDU" localSheetId="28">#REF!</definedName>
    <definedName name="LDU" localSheetId="16">#REF!</definedName>
    <definedName name="LDU" localSheetId="22">#REF!</definedName>
    <definedName name="LDU" localSheetId="26">#REF!</definedName>
    <definedName name="LDU" localSheetId="20">#REF!</definedName>
    <definedName name="LDU" localSheetId="19">#REF!</definedName>
    <definedName name="LDU" localSheetId="18">#REF!</definedName>
    <definedName name="LDU" localSheetId="17">#REF!</definedName>
    <definedName name="LDU" localSheetId="27">#REF!</definedName>
    <definedName name="LDU" localSheetId="21">#REF!</definedName>
    <definedName name="LDU" localSheetId="15">#REF!</definedName>
    <definedName name="LDU" localSheetId="7">#REF!</definedName>
    <definedName name="LDU" localSheetId="8">#REF!</definedName>
    <definedName name="LDU" localSheetId="1">#REF!</definedName>
    <definedName name="LDU" localSheetId="25">#REF!</definedName>
    <definedName name="LDU" localSheetId="30">#REF!</definedName>
    <definedName name="LDU" localSheetId="4">#REF!</definedName>
    <definedName name="LDU" localSheetId="11">#REF!</definedName>
    <definedName name="LDU" localSheetId="24">#REF!</definedName>
    <definedName name="LDU">#REF!</definedName>
    <definedName name="LDUCluster" localSheetId="29">#REF!</definedName>
    <definedName name="LDUCluster" localSheetId="2">#REF!</definedName>
    <definedName name="LDUCluster" localSheetId="28">#REF!</definedName>
    <definedName name="LDUCluster" localSheetId="16">#REF!</definedName>
    <definedName name="LDUCluster" localSheetId="22">#REF!</definedName>
    <definedName name="LDUCluster" localSheetId="26">#REF!</definedName>
    <definedName name="LDUCluster" localSheetId="20">#REF!</definedName>
    <definedName name="LDUCluster" localSheetId="19">#REF!</definedName>
    <definedName name="LDUCluster" localSheetId="18">#REF!</definedName>
    <definedName name="LDUCluster" localSheetId="17">#REF!</definedName>
    <definedName name="LDUCluster" localSheetId="27">#REF!</definedName>
    <definedName name="LDUCluster" localSheetId="21">#REF!</definedName>
    <definedName name="LDUCluster" localSheetId="15">#REF!</definedName>
    <definedName name="LDUCluster" localSheetId="7">#REF!</definedName>
    <definedName name="LDUCluster" localSheetId="8">#REF!</definedName>
    <definedName name="LDUCluster" localSheetId="1">#REF!</definedName>
    <definedName name="LDUCluster" localSheetId="25">#REF!</definedName>
    <definedName name="LDUCluster" localSheetId="30">#REF!</definedName>
    <definedName name="LDUCluster" localSheetId="4">#REF!</definedName>
    <definedName name="LDUCluster" localSheetId="11">#REF!</definedName>
    <definedName name="LDUCluster" localSheetId="24">#REF!</definedName>
    <definedName name="LDUCluster">#REF!</definedName>
    <definedName name="MonthNo" localSheetId="29">#REF!</definedName>
    <definedName name="MonthNo" localSheetId="2">#REF!</definedName>
    <definedName name="MonthNo" localSheetId="28">#REF!</definedName>
    <definedName name="MonthNo" localSheetId="16">#REF!</definedName>
    <definedName name="MonthNo" localSheetId="22">#REF!</definedName>
    <definedName name="MonthNo" localSheetId="26">#REF!</definedName>
    <definedName name="MonthNo" localSheetId="20">#REF!</definedName>
    <definedName name="MonthNo" localSheetId="19">#REF!</definedName>
    <definedName name="MonthNo" localSheetId="18">#REF!</definedName>
    <definedName name="MonthNo" localSheetId="17">#REF!</definedName>
    <definedName name="MonthNo" localSheetId="27">#REF!</definedName>
    <definedName name="MonthNo" localSheetId="21">#REF!</definedName>
    <definedName name="MonthNo" localSheetId="15">#REF!</definedName>
    <definedName name="MonthNo" localSheetId="7">#REF!</definedName>
    <definedName name="MonthNo" localSheetId="8">#REF!</definedName>
    <definedName name="MonthNo" localSheetId="1">#REF!</definedName>
    <definedName name="MonthNo" localSheetId="25">#REF!</definedName>
    <definedName name="MonthNo" localSheetId="30">#REF!</definedName>
    <definedName name="MonthNo" localSheetId="4">#REF!</definedName>
    <definedName name="MonthNo" localSheetId="11">#REF!</definedName>
    <definedName name="MonthNo" localSheetId="24">#REF!</definedName>
    <definedName name="MonthNo">#REF!</definedName>
    <definedName name="MonthRemain" localSheetId="29">#REF!</definedName>
    <definedName name="MonthRemain" localSheetId="2">#REF!</definedName>
    <definedName name="MonthRemain" localSheetId="28">#REF!</definedName>
    <definedName name="MonthRemain" localSheetId="16">#REF!</definedName>
    <definedName name="MonthRemain" localSheetId="22">#REF!</definedName>
    <definedName name="MonthRemain" localSheetId="26">#REF!</definedName>
    <definedName name="MonthRemain" localSheetId="20">#REF!</definedName>
    <definedName name="MonthRemain" localSheetId="19">#REF!</definedName>
    <definedName name="MonthRemain" localSheetId="18">#REF!</definedName>
    <definedName name="MonthRemain" localSheetId="17">#REF!</definedName>
    <definedName name="MonthRemain" localSheetId="27">#REF!</definedName>
    <definedName name="MonthRemain" localSheetId="21">#REF!</definedName>
    <definedName name="MonthRemain" localSheetId="15">#REF!</definedName>
    <definedName name="MonthRemain" localSheetId="7">#REF!</definedName>
    <definedName name="MonthRemain" localSheetId="8">#REF!</definedName>
    <definedName name="MonthRemain" localSheetId="1">#REF!</definedName>
    <definedName name="MonthRemain" localSheetId="25">#REF!</definedName>
    <definedName name="MonthRemain" localSheetId="30">#REF!</definedName>
    <definedName name="MonthRemain" localSheetId="4">#REF!</definedName>
    <definedName name="MonthRemain" localSheetId="11">#REF!</definedName>
    <definedName name="MonthRemain" localSheetId="24">#REF!</definedName>
    <definedName name="MonthRemain">#REF!</definedName>
    <definedName name="NE001Month" localSheetId="29">#REF!</definedName>
    <definedName name="NE001Month" localSheetId="2">#REF!</definedName>
    <definedName name="NE001Month" localSheetId="28">#REF!</definedName>
    <definedName name="NE001Month" localSheetId="16">#REF!</definedName>
    <definedName name="NE001Month" localSheetId="22">#REF!</definedName>
    <definedName name="NE001Month" localSheetId="26">#REF!</definedName>
    <definedName name="NE001Month" localSheetId="20">#REF!</definedName>
    <definedName name="NE001Month" localSheetId="19">#REF!</definedName>
    <definedName name="NE001Month" localSheetId="18">#REF!</definedName>
    <definedName name="NE001Month" localSheetId="17">#REF!</definedName>
    <definedName name="NE001Month" localSheetId="27">#REF!</definedName>
    <definedName name="NE001Month" localSheetId="21">#REF!</definedName>
    <definedName name="NE001Month" localSheetId="15">#REF!</definedName>
    <definedName name="NE001Month" localSheetId="7">#REF!</definedName>
    <definedName name="NE001Month" localSheetId="8">#REF!</definedName>
    <definedName name="NE001Month" localSheetId="1">#REF!</definedName>
    <definedName name="NE001Month" localSheetId="25">#REF!</definedName>
    <definedName name="NE001Month" localSheetId="30">#REF!</definedName>
    <definedName name="NE001Month" localSheetId="4">#REF!</definedName>
    <definedName name="NE001Month" localSheetId="11">#REF!</definedName>
    <definedName name="NE001Month" localSheetId="24">#REF!</definedName>
    <definedName name="NE001Month">#REF!</definedName>
    <definedName name="NE002Month" localSheetId="29">#REF!</definedName>
    <definedName name="NE002Month" localSheetId="2">#REF!</definedName>
    <definedName name="NE002Month" localSheetId="28">#REF!</definedName>
    <definedName name="NE002Month" localSheetId="16">#REF!</definedName>
    <definedName name="NE002Month" localSheetId="22">#REF!</definedName>
    <definedName name="NE002Month" localSheetId="26">#REF!</definedName>
    <definedName name="NE002Month" localSheetId="20">#REF!</definedName>
    <definedName name="NE002Month" localSheetId="19">#REF!</definedName>
    <definedName name="NE002Month" localSheetId="18">#REF!</definedName>
    <definedName name="NE002Month" localSheetId="17">#REF!</definedName>
    <definedName name="NE002Month" localSheetId="27">#REF!</definedName>
    <definedName name="NE002Month" localSheetId="21">#REF!</definedName>
    <definedName name="NE002Month" localSheetId="15">#REF!</definedName>
    <definedName name="NE002Month" localSheetId="7">#REF!</definedName>
    <definedName name="NE002Month" localSheetId="8">#REF!</definedName>
    <definedName name="NE002Month" localSheetId="1">#REF!</definedName>
    <definedName name="NE002Month" localSheetId="25">#REF!</definedName>
    <definedName name="NE002Month" localSheetId="30">#REF!</definedName>
    <definedName name="NE002Month" localSheetId="4">#REF!</definedName>
    <definedName name="NE002Month" localSheetId="11">#REF!</definedName>
    <definedName name="NE002Month" localSheetId="24">#REF!</definedName>
    <definedName name="NE002Month">#REF!</definedName>
    <definedName name="NE003Month" localSheetId="29">#REF!</definedName>
    <definedName name="NE003Month" localSheetId="2">#REF!</definedName>
    <definedName name="NE003Month" localSheetId="28">#REF!</definedName>
    <definedName name="NE003Month" localSheetId="16">#REF!</definedName>
    <definedName name="NE003Month" localSheetId="22">#REF!</definedName>
    <definedName name="NE003Month" localSheetId="26">#REF!</definedName>
    <definedName name="NE003Month" localSheetId="20">#REF!</definedName>
    <definedName name="NE003Month" localSheetId="19">#REF!</definedName>
    <definedName name="NE003Month" localSheetId="18">#REF!</definedName>
    <definedName name="NE003Month" localSheetId="17">#REF!</definedName>
    <definedName name="NE003Month" localSheetId="27">#REF!</definedName>
    <definedName name="NE003Month" localSheetId="21">#REF!</definedName>
    <definedName name="NE003Month" localSheetId="15">#REF!</definedName>
    <definedName name="NE003Month" localSheetId="7">#REF!</definedName>
    <definedName name="NE003Month" localSheetId="8">#REF!</definedName>
    <definedName name="NE003Month" localSheetId="1">#REF!</definedName>
    <definedName name="NE003Month" localSheetId="25">#REF!</definedName>
    <definedName name="NE003Month" localSheetId="30">#REF!</definedName>
    <definedName name="NE003Month" localSheetId="4">#REF!</definedName>
    <definedName name="NE003Month" localSheetId="11">#REF!</definedName>
    <definedName name="NE003Month" localSheetId="24">#REF!</definedName>
    <definedName name="NE003Month">#REF!</definedName>
    <definedName name="NE004AFMonth" localSheetId="29">#REF!</definedName>
    <definedName name="NE004AFMonth" localSheetId="2">#REF!</definedName>
    <definedName name="NE004AFMonth" localSheetId="28">#REF!</definedName>
    <definedName name="NE004AFMonth" localSheetId="16">#REF!</definedName>
    <definedName name="NE004AFMonth" localSheetId="22">#REF!</definedName>
    <definedName name="NE004AFMonth" localSheetId="26">#REF!</definedName>
    <definedName name="NE004AFMonth" localSheetId="20">#REF!</definedName>
    <definedName name="NE004AFMonth" localSheetId="19">#REF!</definedName>
    <definedName name="NE004AFMonth" localSheetId="18">#REF!</definedName>
    <definedName name="NE004AFMonth" localSheetId="17">#REF!</definedName>
    <definedName name="NE004AFMonth" localSheetId="27">#REF!</definedName>
    <definedName name="NE004AFMonth" localSheetId="21">#REF!</definedName>
    <definedName name="NE004AFMonth" localSheetId="15">#REF!</definedName>
    <definedName name="NE004AFMonth" localSheetId="7">#REF!</definedName>
    <definedName name="NE004AFMonth" localSheetId="8">#REF!</definedName>
    <definedName name="NE004AFMonth" localSheetId="1">#REF!</definedName>
    <definedName name="NE004AFMonth" localSheetId="25">#REF!</definedName>
    <definedName name="NE004AFMonth" localSheetId="30">#REF!</definedName>
    <definedName name="NE004AFMonth" localSheetId="4">#REF!</definedName>
    <definedName name="NE004AFMonth" localSheetId="11">#REF!</definedName>
    <definedName name="NE004AFMonth" localSheetId="24">#REF!</definedName>
    <definedName name="NE004AFMonth">#REF!</definedName>
    <definedName name="NE004AFYTD" localSheetId="29">#REF!</definedName>
    <definedName name="NE004AFYTD" localSheetId="2">#REF!</definedName>
    <definedName name="NE004AFYTD" localSheetId="28">#REF!</definedName>
    <definedName name="NE004AFYTD" localSheetId="16">#REF!</definedName>
    <definedName name="NE004AFYTD" localSheetId="22">#REF!</definedName>
    <definedName name="NE004AFYTD" localSheetId="26">#REF!</definedName>
    <definedName name="NE004AFYTD" localSheetId="20">#REF!</definedName>
    <definedName name="NE004AFYTD" localSheetId="19">#REF!</definedName>
    <definedName name="NE004AFYTD" localSheetId="18">#REF!</definedName>
    <definedName name="NE004AFYTD" localSheetId="17">#REF!</definedName>
    <definedName name="NE004AFYTD" localSheetId="27">#REF!</definedName>
    <definedName name="NE004AFYTD" localSheetId="21">#REF!</definedName>
    <definedName name="NE004AFYTD" localSheetId="15">#REF!</definedName>
    <definedName name="NE004AFYTD" localSheetId="7">#REF!</definedName>
    <definedName name="NE004AFYTD" localSheetId="8">#REF!</definedName>
    <definedName name="NE004AFYTD" localSheetId="1">#REF!</definedName>
    <definedName name="NE004AFYTD" localSheetId="25">#REF!</definedName>
    <definedName name="NE004AFYTD" localSheetId="30">#REF!</definedName>
    <definedName name="NE004AFYTD" localSheetId="4">#REF!</definedName>
    <definedName name="NE004AFYTD" localSheetId="11">#REF!</definedName>
    <definedName name="NE004AFYTD" localSheetId="24">#REF!</definedName>
    <definedName name="NE004AFYTD">#REF!</definedName>
    <definedName name="NE004ASMonth" localSheetId="29">#REF!</definedName>
    <definedName name="NE004ASMonth" localSheetId="2">#REF!</definedName>
    <definedName name="NE004ASMonth" localSheetId="28">#REF!</definedName>
    <definedName name="NE004ASMonth" localSheetId="16">#REF!</definedName>
    <definedName name="NE004ASMonth" localSheetId="22">#REF!</definedName>
    <definedName name="NE004ASMonth" localSheetId="26">#REF!</definedName>
    <definedName name="NE004ASMonth" localSheetId="20">#REF!</definedName>
    <definedName name="NE004ASMonth" localSheetId="19">#REF!</definedName>
    <definedName name="NE004ASMonth" localSheetId="18">#REF!</definedName>
    <definedName name="NE004ASMonth" localSheetId="17">#REF!</definedName>
    <definedName name="NE004ASMonth" localSheetId="27">#REF!</definedName>
    <definedName name="NE004ASMonth" localSheetId="21">#REF!</definedName>
    <definedName name="NE004ASMonth" localSheetId="15">#REF!</definedName>
    <definedName name="NE004ASMonth" localSheetId="7">#REF!</definedName>
    <definedName name="NE004ASMonth" localSheetId="8">#REF!</definedName>
    <definedName name="NE004ASMonth" localSheetId="1">#REF!</definedName>
    <definedName name="NE004ASMonth" localSheetId="25">#REF!</definedName>
    <definedName name="NE004ASMonth" localSheetId="30">#REF!</definedName>
    <definedName name="NE004ASMonth" localSheetId="4">#REF!</definedName>
    <definedName name="NE004ASMonth" localSheetId="11">#REF!</definedName>
    <definedName name="NE004ASMonth" localSheetId="24">#REF!</definedName>
    <definedName name="NE004ASMonth">#REF!</definedName>
    <definedName name="NE004ASYTD" localSheetId="29">#REF!</definedName>
    <definedName name="NE004ASYTD" localSheetId="2">#REF!</definedName>
    <definedName name="NE004ASYTD" localSheetId="28">#REF!</definedName>
    <definedName name="NE004ASYTD" localSheetId="16">#REF!</definedName>
    <definedName name="NE004ASYTD" localSheetId="22">#REF!</definedName>
    <definedName name="NE004ASYTD" localSheetId="26">#REF!</definedName>
    <definedName name="NE004ASYTD" localSheetId="20">#REF!</definedName>
    <definedName name="NE004ASYTD" localSheetId="19">#REF!</definedName>
    <definedName name="NE004ASYTD" localSheetId="18">#REF!</definedName>
    <definedName name="NE004ASYTD" localSheetId="17">#REF!</definedName>
    <definedName name="NE004ASYTD" localSheetId="27">#REF!</definedName>
    <definedName name="NE004ASYTD" localSheetId="21">#REF!</definedName>
    <definedName name="NE004ASYTD" localSheetId="15">#REF!</definedName>
    <definedName name="NE004ASYTD" localSheetId="7">#REF!</definedName>
    <definedName name="NE004ASYTD" localSheetId="8">#REF!</definedName>
    <definedName name="NE004ASYTD" localSheetId="1">#REF!</definedName>
    <definedName name="NE004ASYTD" localSheetId="25">#REF!</definedName>
    <definedName name="NE004ASYTD" localSheetId="30">#REF!</definedName>
    <definedName name="NE004ASYTD" localSheetId="4">#REF!</definedName>
    <definedName name="NE004ASYTD" localSheetId="11">#REF!</definedName>
    <definedName name="NE004ASYTD" localSheetId="24">#REF!</definedName>
    <definedName name="NE004ASYTD">#REF!</definedName>
    <definedName name="NE004MText" localSheetId="29">#REF!</definedName>
    <definedName name="NE004MText" localSheetId="2">#REF!</definedName>
    <definedName name="NE004MText" localSheetId="28">#REF!</definedName>
    <definedName name="NE004MText" localSheetId="16">#REF!</definedName>
    <definedName name="NE004MText" localSheetId="22">#REF!</definedName>
    <definedName name="NE004MText" localSheetId="26">#REF!</definedName>
    <definedName name="NE004MText" localSheetId="20">#REF!</definedName>
    <definedName name="NE004MText" localSheetId="19">#REF!</definedName>
    <definedName name="NE004MText" localSheetId="18">#REF!</definedName>
    <definedName name="NE004MText" localSheetId="17">#REF!</definedName>
    <definedName name="NE004MText" localSheetId="27">#REF!</definedName>
    <definedName name="NE004MText" localSheetId="21">#REF!</definedName>
    <definedName name="NE004MText" localSheetId="15">#REF!</definedName>
    <definedName name="NE004MText" localSheetId="7">#REF!</definedName>
    <definedName name="NE004MText" localSheetId="8">#REF!</definedName>
    <definedName name="NE004MText" localSheetId="1">#REF!</definedName>
    <definedName name="NE004MText" localSheetId="25">#REF!</definedName>
    <definedName name="NE004MText" localSheetId="30">#REF!</definedName>
    <definedName name="NE004MText" localSheetId="4">#REF!</definedName>
    <definedName name="NE004MText" localSheetId="11">#REF!</definedName>
    <definedName name="NE004MText" localSheetId="24">#REF!</definedName>
    <definedName name="NE004MText">#REF!</definedName>
    <definedName name="NE004MTitle" localSheetId="29">#REF!</definedName>
    <definedName name="NE004MTitle" localSheetId="2">#REF!</definedName>
    <definedName name="NE004MTitle" localSheetId="28">#REF!</definedName>
    <definedName name="NE004MTitle" localSheetId="16">#REF!</definedName>
    <definedName name="NE004MTitle" localSheetId="22">#REF!</definedName>
    <definedName name="NE004MTitle" localSheetId="26">#REF!</definedName>
    <definedName name="NE004MTitle" localSheetId="20">#REF!</definedName>
    <definedName name="NE004MTitle" localSheetId="19">#REF!</definedName>
    <definedName name="NE004MTitle" localSheetId="18">#REF!</definedName>
    <definedName name="NE004MTitle" localSheetId="17">#REF!</definedName>
    <definedName name="NE004MTitle" localSheetId="27">#REF!</definedName>
    <definedName name="NE004MTitle" localSheetId="21">#REF!</definedName>
    <definedName name="NE004MTitle" localSheetId="15">#REF!</definedName>
    <definedName name="NE004MTitle" localSheetId="7">#REF!</definedName>
    <definedName name="NE004MTitle" localSheetId="8">#REF!</definedName>
    <definedName name="NE004MTitle" localSheetId="1">#REF!</definedName>
    <definedName name="NE004MTitle" localSheetId="25">#REF!</definedName>
    <definedName name="NE004MTitle" localSheetId="30">#REF!</definedName>
    <definedName name="NE004MTitle" localSheetId="4">#REF!</definedName>
    <definedName name="NE004MTitle" localSheetId="11">#REF!</definedName>
    <definedName name="NE004MTitle" localSheetId="24">#REF!</definedName>
    <definedName name="NE004MTitle">#REF!</definedName>
    <definedName name="NE004ODMonth" localSheetId="29">#REF!</definedName>
    <definedName name="NE004ODMonth" localSheetId="2">#REF!</definedName>
    <definedName name="NE004ODMonth" localSheetId="28">#REF!</definedName>
    <definedName name="NE004ODMonth" localSheetId="16">#REF!</definedName>
    <definedName name="NE004ODMonth" localSheetId="22">#REF!</definedName>
    <definedName name="NE004ODMonth" localSheetId="26">#REF!</definedName>
    <definedName name="NE004ODMonth" localSheetId="20">#REF!</definedName>
    <definedName name="NE004ODMonth" localSheetId="19">#REF!</definedName>
    <definedName name="NE004ODMonth" localSheetId="18">#REF!</definedName>
    <definedName name="NE004ODMonth" localSheetId="17">#REF!</definedName>
    <definedName name="NE004ODMonth" localSheetId="27">#REF!</definedName>
    <definedName name="NE004ODMonth" localSheetId="21">#REF!</definedName>
    <definedName name="NE004ODMonth" localSheetId="15">#REF!</definedName>
    <definedName name="NE004ODMonth" localSheetId="7">#REF!</definedName>
    <definedName name="NE004ODMonth" localSheetId="8">#REF!</definedName>
    <definedName name="NE004ODMonth" localSheetId="1">#REF!</definedName>
    <definedName name="NE004ODMonth" localSheetId="25">#REF!</definedName>
    <definedName name="NE004ODMonth" localSheetId="30">#REF!</definedName>
    <definedName name="NE004ODMonth" localSheetId="4">#REF!</definedName>
    <definedName name="NE004ODMonth" localSheetId="11">#REF!</definedName>
    <definedName name="NE004ODMonth" localSheetId="24">#REF!</definedName>
    <definedName name="NE004ODMonth">#REF!</definedName>
    <definedName name="NE004ODYTD" localSheetId="29">#REF!</definedName>
    <definedName name="NE004ODYTD" localSheetId="2">#REF!</definedName>
    <definedName name="NE004ODYTD" localSheetId="28">#REF!</definedName>
    <definedName name="NE004ODYTD" localSheetId="16">#REF!</definedName>
    <definedName name="NE004ODYTD" localSheetId="22">#REF!</definedName>
    <definedName name="NE004ODYTD" localSheetId="26">#REF!</definedName>
    <definedName name="NE004ODYTD" localSheetId="20">#REF!</definedName>
    <definedName name="NE004ODYTD" localSheetId="19">#REF!</definedName>
    <definedName name="NE004ODYTD" localSheetId="18">#REF!</definedName>
    <definedName name="NE004ODYTD" localSheetId="17">#REF!</definedName>
    <definedName name="NE004ODYTD" localSheetId="27">#REF!</definedName>
    <definedName name="NE004ODYTD" localSheetId="21">#REF!</definedName>
    <definedName name="NE004ODYTD" localSheetId="15">#REF!</definedName>
    <definedName name="NE004ODYTD" localSheetId="7">#REF!</definedName>
    <definedName name="NE004ODYTD" localSheetId="8">#REF!</definedName>
    <definedName name="NE004ODYTD" localSheetId="1">#REF!</definedName>
    <definedName name="NE004ODYTD" localSheetId="25">#REF!</definedName>
    <definedName name="NE004ODYTD" localSheetId="30">#REF!</definedName>
    <definedName name="NE004ODYTD" localSheetId="4">#REF!</definedName>
    <definedName name="NE004ODYTD" localSheetId="11">#REF!</definedName>
    <definedName name="NE004ODYTD" localSheetId="24">#REF!</definedName>
    <definedName name="NE004ODYTD">#REF!</definedName>
    <definedName name="NER">'national caseload'!$B$27</definedName>
    <definedName name="NWR">'national caseload'!$B$31</definedName>
    <definedName name="obbbbbj" localSheetId="29">'[2]List Data'!#REF!</definedName>
    <definedName name="obbbbbj" localSheetId="28">'[2]List Data'!#REF!</definedName>
    <definedName name="obbbbbj" localSheetId="20">'[2]List Data'!#REF!</definedName>
    <definedName name="obbbbbj" localSheetId="19">'[2]List Data'!#REF!</definedName>
    <definedName name="obbbbbj" localSheetId="18">'[2]List Data'!#REF!</definedName>
    <definedName name="obbbbbj" localSheetId="17">'[2]List Data'!#REF!</definedName>
    <definedName name="obbbbbj" localSheetId="15">'[2]List Data'!#REF!</definedName>
    <definedName name="obbbbbj" localSheetId="7">'[2]List Data'!#REF!</definedName>
    <definedName name="obbbbbj" localSheetId="8">'[2]List Data'!#REF!</definedName>
    <definedName name="obbbbbj" localSheetId="30">'[2]List Data'!#REF!</definedName>
    <definedName name="obbbbbj" localSheetId="11">'[2]List Data'!#REF!</definedName>
    <definedName name="obbbbbj">'[2]List Data'!#REF!</definedName>
    <definedName name="obbbjj" localSheetId="29">'[2]List Data'!#REF!</definedName>
    <definedName name="obbbjj" localSheetId="28">'[2]List Data'!#REF!</definedName>
    <definedName name="obbbjj" localSheetId="20">'[2]List Data'!#REF!</definedName>
    <definedName name="obbbjj" localSheetId="19">'[2]List Data'!#REF!</definedName>
    <definedName name="obbbjj" localSheetId="18">'[2]List Data'!#REF!</definedName>
    <definedName name="obbbjj" localSheetId="17">'[2]List Data'!#REF!</definedName>
    <definedName name="obbbjj" localSheetId="15">'[2]List Data'!#REF!</definedName>
    <definedName name="obbbjj" localSheetId="7">'[2]List Data'!#REF!</definedName>
    <definedName name="obbbjj" localSheetId="8">'[2]List Data'!#REF!</definedName>
    <definedName name="obbbjj" localSheetId="30">'[2]List Data'!#REF!</definedName>
    <definedName name="obbbjj" localSheetId="11">'[2]List Data'!#REF!</definedName>
    <definedName name="obbbjj">'[2]List Data'!#REF!</definedName>
    <definedName name="obbbjjj" localSheetId="29">'[2]List Data'!#REF!</definedName>
    <definedName name="obbbjjj" localSheetId="28">'[2]List Data'!#REF!</definedName>
    <definedName name="obbbjjj" localSheetId="20">'[2]List Data'!#REF!</definedName>
    <definedName name="obbbjjj" localSheetId="19">'[2]List Data'!#REF!</definedName>
    <definedName name="obbbjjj" localSheetId="18">'[2]List Data'!#REF!</definedName>
    <definedName name="obbbjjj" localSheetId="17">'[2]List Data'!#REF!</definedName>
    <definedName name="obbbjjj" localSheetId="15">'[2]List Data'!#REF!</definedName>
    <definedName name="obbbjjj" localSheetId="7">'[2]List Data'!#REF!</definedName>
    <definedName name="obbbjjj" localSheetId="8">'[2]List Data'!#REF!</definedName>
    <definedName name="obbbjjj" localSheetId="30">'[2]List Data'!#REF!</definedName>
    <definedName name="obbbjjj" localSheetId="11">'[2]List Data'!#REF!</definedName>
    <definedName name="obbbjjj">'[2]List Data'!#REF!</definedName>
    <definedName name="obbj" localSheetId="29">'[2]List Data'!#REF!</definedName>
    <definedName name="obbj" localSheetId="28">'[2]List Data'!#REF!</definedName>
    <definedName name="obbj" localSheetId="20">'[2]List Data'!#REF!</definedName>
    <definedName name="obbj" localSheetId="19">'[2]List Data'!#REF!</definedName>
    <definedName name="obbj" localSheetId="18">'[2]List Data'!#REF!</definedName>
    <definedName name="obbj" localSheetId="17">'[2]List Data'!#REF!</definedName>
    <definedName name="obbj" localSheetId="15">'[2]List Data'!#REF!</definedName>
    <definedName name="obbj" localSheetId="7">'[2]List Data'!#REF!</definedName>
    <definedName name="obbj" localSheetId="8">'[2]List Data'!#REF!</definedName>
    <definedName name="obbj" localSheetId="30">'[2]List Data'!#REF!</definedName>
    <definedName name="obbj" localSheetId="11">'[2]List Data'!#REF!</definedName>
    <definedName name="obbj">'[2]List Data'!#REF!</definedName>
    <definedName name="obbjj" localSheetId="29">'[2]List Data'!#REF!</definedName>
    <definedName name="obbjj" localSheetId="28">'[2]List Data'!#REF!</definedName>
    <definedName name="obbjj" localSheetId="20">'[2]List Data'!#REF!</definedName>
    <definedName name="obbjj" localSheetId="19">'[2]List Data'!#REF!</definedName>
    <definedName name="obbjj" localSheetId="18">'[2]List Data'!#REF!</definedName>
    <definedName name="obbjj" localSheetId="17">'[2]List Data'!#REF!</definedName>
    <definedName name="obbjj" localSheetId="15">'[2]List Data'!#REF!</definedName>
    <definedName name="obbjj" localSheetId="7">'[2]List Data'!#REF!</definedName>
    <definedName name="obbjj" localSheetId="8">'[2]List Data'!#REF!</definedName>
    <definedName name="obbjj" localSheetId="30">'[2]List Data'!#REF!</definedName>
    <definedName name="obbjj" localSheetId="11">'[2]List Data'!#REF!</definedName>
    <definedName name="obbjj">'[2]List Data'!#REF!</definedName>
    <definedName name="obj" localSheetId="29">'[2]List Data'!#REF!</definedName>
    <definedName name="obj" localSheetId="28">'[2]List Data'!#REF!</definedName>
    <definedName name="obj" localSheetId="20">'[2]List Data'!#REF!</definedName>
    <definedName name="obj" localSheetId="19">'[2]List Data'!#REF!</definedName>
    <definedName name="obj" localSheetId="18">'[2]List Data'!#REF!</definedName>
    <definedName name="obj" localSheetId="17">'[2]List Data'!#REF!</definedName>
    <definedName name="obj" localSheetId="15">'[2]List Data'!#REF!</definedName>
    <definedName name="obj" localSheetId="7">'[2]List Data'!#REF!</definedName>
    <definedName name="obj" localSheetId="8">'[2]List Data'!#REF!</definedName>
    <definedName name="obj" localSheetId="30">'[2]List Data'!#REF!</definedName>
    <definedName name="obj" localSheetId="11">'[2]List Data'!#REF!</definedName>
    <definedName name="obj">'[2]List Data'!#REF!</definedName>
    <definedName name="Objective" localSheetId="29">'[2]List Data'!#REF!</definedName>
    <definedName name="Objective" localSheetId="2">'[3]List Data'!#REF!</definedName>
    <definedName name="Objective" localSheetId="28">'[2]List Data'!#REF!</definedName>
    <definedName name="Objective" localSheetId="16">'[3]List Data'!#REF!</definedName>
    <definedName name="Objective" localSheetId="22">'[3]List Data'!#REF!</definedName>
    <definedName name="Objective" localSheetId="26">'[3]List Data'!#REF!</definedName>
    <definedName name="Objective" localSheetId="20">'[2]List Data'!#REF!</definedName>
    <definedName name="Objective" localSheetId="19">'[2]List Data'!#REF!</definedName>
    <definedName name="Objective" localSheetId="18">'[2]List Data'!#REF!</definedName>
    <definedName name="Objective" localSheetId="17">'[2]List Data'!#REF!</definedName>
    <definedName name="Objective" localSheetId="27">'[3]List Data'!#REF!</definedName>
    <definedName name="Objective" localSheetId="21">'[3]List Data'!#REF!</definedName>
    <definedName name="Objective" localSheetId="15">'[2]List Data'!#REF!</definedName>
    <definedName name="Objective" localSheetId="7">'[2]List Data'!#REF!</definedName>
    <definedName name="Objective" localSheetId="8">'[2]List Data'!#REF!</definedName>
    <definedName name="Objective" localSheetId="1">'[3]List Data'!#REF!</definedName>
    <definedName name="Objective" localSheetId="25">'[3]List Data'!#REF!</definedName>
    <definedName name="Objective" localSheetId="30">'[2]List Data'!#REF!</definedName>
    <definedName name="Objective" localSheetId="4">'[3]List Data'!#REF!</definedName>
    <definedName name="Objective" localSheetId="11">'[2]List Data'!#REF!</definedName>
    <definedName name="Objective" localSheetId="24">'[3]List Data'!#REF!</definedName>
    <definedName name="Objective">'[2]List Data'!#REF!</definedName>
    <definedName name="objj" localSheetId="29">'[2]List Data'!#REF!</definedName>
    <definedName name="objj" localSheetId="28">'[2]List Data'!#REF!</definedName>
    <definedName name="objj" localSheetId="20">'[2]List Data'!#REF!</definedName>
    <definedName name="objj" localSheetId="19">'[2]List Data'!#REF!</definedName>
    <definedName name="objj" localSheetId="18">'[2]List Data'!#REF!</definedName>
    <definedName name="objj" localSheetId="17">'[2]List Data'!#REF!</definedName>
    <definedName name="objj" localSheetId="15">'[2]List Data'!#REF!</definedName>
    <definedName name="objj" localSheetId="7">'[2]List Data'!#REF!</definedName>
    <definedName name="objj" localSheetId="8">'[2]List Data'!#REF!</definedName>
    <definedName name="objj" localSheetId="30">'[2]List Data'!#REF!</definedName>
    <definedName name="objj" localSheetId="11">'[2]List Data'!#REF!</definedName>
    <definedName name="objj">'[2]List Data'!#REF!</definedName>
    <definedName name="oobbbjjj" localSheetId="29">'[2]List Data'!#REF!</definedName>
    <definedName name="oobbbjjj" localSheetId="28">'[2]List Data'!#REF!</definedName>
    <definedName name="oobbbjjj" localSheetId="20">'[2]List Data'!#REF!</definedName>
    <definedName name="oobbbjjj" localSheetId="19">'[2]List Data'!#REF!</definedName>
    <definedName name="oobbbjjj" localSheetId="18">'[2]List Data'!#REF!</definedName>
    <definedName name="oobbbjjj" localSheetId="17">'[2]List Data'!#REF!</definedName>
    <definedName name="oobbbjjj" localSheetId="15">'[2]List Data'!#REF!</definedName>
    <definedName name="oobbbjjj" localSheetId="7">'[2]List Data'!#REF!</definedName>
    <definedName name="oobbbjjj" localSheetId="8">'[2]List Data'!#REF!</definedName>
    <definedName name="oobbbjjj" localSheetId="30">'[2]List Data'!#REF!</definedName>
    <definedName name="oobbbjjj" localSheetId="11">'[2]List Data'!#REF!</definedName>
    <definedName name="oobbbjjj">'[2]List Data'!#REF!</definedName>
    <definedName name="ooobbbbjjj" localSheetId="29">'[2]List Data'!#REF!</definedName>
    <definedName name="ooobbbbjjj" localSheetId="28">'[2]List Data'!#REF!</definedName>
    <definedName name="ooobbbbjjj" localSheetId="20">'[2]List Data'!#REF!</definedName>
    <definedName name="ooobbbbjjj" localSheetId="19">'[2]List Data'!#REF!</definedName>
    <definedName name="ooobbbbjjj" localSheetId="18">'[2]List Data'!#REF!</definedName>
    <definedName name="ooobbbbjjj" localSheetId="17">'[2]List Data'!#REF!</definedName>
    <definedName name="ooobbbbjjj" localSheetId="15">'[2]List Data'!#REF!</definedName>
    <definedName name="ooobbbbjjj" localSheetId="7">'[2]List Data'!#REF!</definedName>
    <definedName name="ooobbbbjjj" localSheetId="8">'[2]List Data'!#REF!</definedName>
    <definedName name="ooobbbbjjj" localSheetId="30">'[2]List Data'!#REF!</definedName>
    <definedName name="ooobbbbjjj" localSheetId="11">'[2]List Data'!#REF!</definedName>
    <definedName name="ooobbbbjjj">'[2]List Data'!#REF!</definedName>
    <definedName name="ooobbbjjj" localSheetId="29">'[2]List Data'!#REF!</definedName>
    <definedName name="ooobbbjjj" localSheetId="28">'[2]List Data'!#REF!</definedName>
    <definedName name="ooobbbjjj" localSheetId="20">'[2]List Data'!#REF!</definedName>
    <definedName name="ooobbbjjj" localSheetId="19">'[2]List Data'!#REF!</definedName>
    <definedName name="ooobbbjjj" localSheetId="18">'[2]List Data'!#REF!</definedName>
    <definedName name="ooobbbjjj" localSheetId="17">'[2]List Data'!#REF!</definedName>
    <definedName name="ooobbbjjj" localSheetId="15">'[2]List Data'!#REF!</definedName>
    <definedName name="ooobbbjjj" localSheetId="7">'[2]List Data'!#REF!</definedName>
    <definedName name="ooobbbjjj" localSheetId="8">'[2]List Data'!#REF!</definedName>
    <definedName name="ooobbbjjj" localSheetId="30">'[2]List Data'!#REF!</definedName>
    <definedName name="ooobbbjjj" localSheetId="11">'[2]List Data'!#REF!</definedName>
    <definedName name="ooobbbjjj">'[2]List Data'!#REF!</definedName>
    <definedName name="ooobbbjjjj" localSheetId="29">'[2]List Data'!#REF!</definedName>
    <definedName name="ooobbbjjjj" localSheetId="28">'[2]List Data'!#REF!</definedName>
    <definedName name="ooobbbjjjj" localSheetId="20">'[2]List Data'!#REF!</definedName>
    <definedName name="ooobbbjjjj" localSheetId="19">'[2]List Data'!#REF!</definedName>
    <definedName name="ooobbbjjjj" localSheetId="18">'[2]List Data'!#REF!</definedName>
    <definedName name="ooobbbjjjj" localSheetId="17">'[2]List Data'!#REF!</definedName>
    <definedName name="ooobbbjjjj" localSheetId="15">'[2]List Data'!#REF!</definedName>
    <definedName name="ooobbbjjjj" localSheetId="7">'[2]List Data'!#REF!</definedName>
    <definedName name="ooobbbjjjj" localSheetId="8">'[2]List Data'!#REF!</definedName>
    <definedName name="ooobbbjjjj" localSheetId="30">'[2]List Data'!#REF!</definedName>
    <definedName name="ooobbbjjjj" localSheetId="11">'[2]List Data'!#REF!</definedName>
    <definedName name="ooobbbjjjj">'[2]List Data'!#REF!</definedName>
    <definedName name="ooobbjjjjj" localSheetId="29">'[2]List Data'!#REF!</definedName>
    <definedName name="ooobbjjjjj" localSheetId="28">'[2]List Data'!#REF!</definedName>
    <definedName name="ooobbjjjjj" localSheetId="20">'[2]List Data'!#REF!</definedName>
    <definedName name="ooobbjjjjj" localSheetId="19">'[2]List Data'!#REF!</definedName>
    <definedName name="ooobbjjjjj" localSheetId="18">'[2]List Data'!#REF!</definedName>
    <definedName name="ooobbjjjjj" localSheetId="17">'[2]List Data'!#REF!</definedName>
    <definedName name="ooobbjjjjj" localSheetId="15">'[2]List Data'!#REF!</definedName>
    <definedName name="ooobbjjjjj" localSheetId="7">'[2]List Data'!#REF!</definedName>
    <definedName name="ooobbjjjjj" localSheetId="8">'[2]List Data'!#REF!</definedName>
    <definedName name="ooobbjjjjj" localSheetId="30">'[2]List Data'!#REF!</definedName>
    <definedName name="ooobbjjjjj" localSheetId="11">'[2]List Data'!#REF!</definedName>
    <definedName name="ooobbjjjjj">'[2]List Data'!#REF!</definedName>
    <definedName name="oooobbbjjj" localSheetId="29">'[2]List Data'!#REF!</definedName>
    <definedName name="oooobbbjjj" localSheetId="28">'[2]List Data'!#REF!</definedName>
    <definedName name="oooobbbjjj" localSheetId="20">'[2]List Data'!#REF!</definedName>
    <definedName name="oooobbbjjj" localSheetId="19">'[2]List Data'!#REF!</definedName>
    <definedName name="oooobbbjjj" localSheetId="18">'[2]List Data'!#REF!</definedName>
    <definedName name="oooobbbjjj" localSheetId="17">'[2]List Data'!#REF!</definedName>
    <definedName name="oooobbbjjj" localSheetId="15">'[2]List Data'!#REF!</definedName>
    <definedName name="oooobbbjjj" localSheetId="7">'[2]List Data'!#REF!</definedName>
    <definedName name="oooobbbjjj" localSheetId="8">'[2]List Data'!#REF!</definedName>
    <definedName name="oooobbbjjj" localSheetId="30">'[2]List Data'!#REF!</definedName>
    <definedName name="oooobbbjjj" localSheetId="11">'[2]List Data'!#REF!</definedName>
    <definedName name="oooobbbjjj">'[2]List Data'!#REF!</definedName>
    <definedName name="_xlnm.Print_Area" localSheetId="29">#REF!,'Capacity Buttons'!#REF!,'Capacity Buttons'!#REF!,'Capacity Buttons'!#REF!,'Capacity Buttons'!#REF!,'Capacity Buttons'!#REF!,'Capacity Buttons'!#REF!,'Capacity Buttons'!#REF!</definedName>
    <definedName name="_xlnm.Print_Area" localSheetId="28">#REF!,'Caseload Buttons'!#REF!,'Caseload Buttons'!#REF!,'Caseload Buttons'!#REF!,'Caseload Buttons'!#REF!,'Caseload Buttons'!#REF!,'Caseload Buttons'!#REF!,'Caseload Buttons'!#REF!</definedName>
    <definedName name="_xlnm.Print_Area" localSheetId="27">'div &amp; regional reduction hours'!$B$1:$N$18</definedName>
    <definedName name="_xlnm.Print_Area" localSheetId="21">'divisional &amp; regional capacity'!$B$1:$F$17</definedName>
    <definedName name="_xlnm.Print_Area" localSheetId="0">home!$A$1:$U$28</definedName>
    <definedName name="_xlnm.Print_Area" localSheetId="30">#REF!,'Reductions Buttons'!#REF!,'Reductions Buttons'!#REF!,'Reductions Buttons'!#REF!,'Reductions Buttons'!#REF!,'Reductions Buttons'!#REF!,'Reductions Buttons'!#REF!,'Reductions Buttons'!#REF!</definedName>
    <definedName name="QtrRange" localSheetId="29">#REF!</definedName>
    <definedName name="QtrRange" localSheetId="2">#REF!</definedName>
    <definedName name="QtrRange" localSheetId="28">#REF!</definedName>
    <definedName name="QtrRange" localSheetId="16">#REF!</definedName>
    <definedName name="QtrRange" localSheetId="22">#REF!</definedName>
    <definedName name="QtrRange" localSheetId="26">#REF!</definedName>
    <definedName name="QtrRange" localSheetId="20">#REF!</definedName>
    <definedName name="QtrRange" localSheetId="19">#REF!</definedName>
    <definedName name="QtrRange" localSheetId="18">#REF!</definedName>
    <definedName name="QtrRange" localSheetId="17">#REF!</definedName>
    <definedName name="QtrRange" localSheetId="27">#REF!</definedName>
    <definedName name="QtrRange" localSheetId="21">#REF!</definedName>
    <definedName name="QtrRange" localSheetId="15">#REF!</definedName>
    <definedName name="QtrRange" localSheetId="7">#REF!</definedName>
    <definedName name="QtrRange" localSheetId="8">#REF!</definedName>
    <definedName name="QtrRange" localSheetId="1">#REF!</definedName>
    <definedName name="QtrRange" localSheetId="25">#REF!</definedName>
    <definedName name="QtrRange" localSheetId="30">#REF!</definedName>
    <definedName name="QtrRange" localSheetId="4">#REF!</definedName>
    <definedName name="QtrRange" localSheetId="11">#REF!</definedName>
    <definedName name="QtrRange" localSheetId="24">#REF!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29">#REF!</definedName>
    <definedName name="Selection_LDUCluster" localSheetId="2">#REF!</definedName>
    <definedName name="Selection_LDUCluster" localSheetId="28">#REF!</definedName>
    <definedName name="Selection_LDUCluster" localSheetId="16">#REF!</definedName>
    <definedName name="Selection_LDUCluster" localSheetId="22">#REF!</definedName>
    <definedName name="Selection_LDUCluster" localSheetId="26">#REF!</definedName>
    <definedName name="Selection_LDUCluster" localSheetId="20">#REF!</definedName>
    <definedName name="Selection_LDUCluster" localSheetId="19">#REF!</definedName>
    <definedName name="Selection_LDUCluster" localSheetId="18">#REF!</definedName>
    <definedName name="Selection_LDUCluster" localSheetId="17">#REF!</definedName>
    <definedName name="Selection_LDUCluster" localSheetId="27">#REF!</definedName>
    <definedName name="Selection_LDUCluster" localSheetId="21">#REF!</definedName>
    <definedName name="Selection_LDUCluster" localSheetId="15">#REF!</definedName>
    <definedName name="Selection_LDUCluster" localSheetId="7">#REF!</definedName>
    <definedName name="Selection_LDUCluster" localSheetId="8">#REF!</definedName>
    <definedName name="Selection_LDUCluster" localSheetId="1">#REF!</definedName>
    <definedName name="Selection_LDUCluster" localSheetId="25">#REF!</definedName>
    <definedName name="Selection_LDUCluster" localSheetId="30">#REF!</definedName>
    <definedName name="Selection_LDUCluster" localSheetId="4">#REF!</definedName>
    <definedName name="Selection_LDUCluster" localSheetId="11">#REF!</definedName>
    <definedName name="Selection_LDUCluster" localSheetId="24">#REF!</definedName>
    <definedName name="Selection_LDUCluster">#REF!</definedName>
    <definedName name="Selection_Metric" localSheetId="29">#REF!</definedName>
    <definedName name="Selection_Metric" localSheetId="2">#REF!</definedName>
    <definedName name="Selection_Metric" localSheetId="28">#REF!</definedName>
    <definedName name="Selection_Metric" localSheetId="16">#REF!</definedName>
    <definedName name="Selection_Metric" localSheetId="22">#REF!</definedName>
    <definedName name="Selection_Metric" localSheetId="26">#REF!</definedName>
    <definedName name="Selection_Metric" localSheetId="20">#REF!</definedName>
    <definedName name="Selection_Metric" localSheetId="19">#REF!</definedName>
    <definedName name="Selection_Metric" localSheetId="18">#REF!</definedName>
    <definedName name="Selection_Metric" localSheetId="17">#REF!</definedName>
    <definedName name="Selection_Metric" localSheetId="27">#REF!</definedName>
    <definedName name="Selection_Metric" localSheetId="21">#REF!</definedName>
    <definedName name="Selection_Metric" localSheetId="15">#REF!</definedName>
    <definedName name="Selection_Metric" localSheetId="7">#REF!</definedName>
    <definedName name="Selection_Metric" localSheetId="8">#REF!</definedName>
    <definedName name="Selection_Metric" localSheetId="1">#REF!</definedName>
    <definedName name="Selection_Metric" localSheetId="25">#REF!</definedName>
    <definedName name="Selection_Metric" localSheetId="30">#REF!</definedName>
    <definedName name="Selection_Metric" localSheetId="4">#REF!</definedName>
    <definedName name="Selection_Metric" localSheetId="11">#REF!</definedName>
    <definedName name="Selection_Metric" localSheetId="24">#REF!</definedName>
    <definedName name="Selection_Metric">#REF!</definedName>
    <definedName name="SL001Month" localSheetId="29">#REF!</definedName>
    <definedName name="SL001Month" localSheetId="2">#REF!</definedName>
    <definedName name="SL001Month" localSheetId="28">#REF!</definedName>
    <definedName name="SL001Month" localSheetId="16">#REF!</definedName>
    <definedName name="SL001Month" localSheetId="22">#REF!</definedName>
    <definedName name="SL001Month" localSheetId="26">#REF!</definedName>
    <definedName name="SL001Month" localSheetId="20">#REF!</definedName>
    <definedName name="SL001Month" localSheetId="19">#REF!</definedName>
    <definedName name="SL001Month" localSheetId="18">#REF!</definedName>
    <definedName name="SL001Month" localSheetId="17">#REF!</definedName>
    <definedName name="SL001Month" localSheetId="27">#REF!</definedName>
    <definedName name="SL001Month" localSheetId="21">#REF!</definedName>
    <definedName name="SL001Month" localSheetId="15">#REF!</definedName>
    <definedName name="SL001Month" localSheetId="7">#REF!</definedName>
    <definedName name="SL001Month" localSheetId="8">#REF!</definedName>
    <definedName name="SL001Month" localSheetId="1">#REF!</definedName>
    <definedName name="SL001Month" localSheetId="25">#REF!</definedName>
    <definedName name="SL001Month" localSheetId="30">#REF!</definedName>
    <definedName name="SL001Month" localSheetId="4">#REF!</definedName>
    <definedName name="SL001Month" localSheetId="11">#REF!</definedName>
    <definedName name="SL001Month" localSheetId="24">#REF!</definedName>
    <definedName name="SL001Month">#REF!</definedName>
    <definedName name="SL001Text" localSheetId="29">#REF!</definedName>
    <definedName name="SL001Text" localSheetId="2">#REF!</definedName>
    <definedName name="SL001Text" localSheetId="28">#REF!</definedName>
    <definedName name="SL001Text" localSheetId="16">#REF!</definedName>
    <definedName name="SL001Text" localSheetId="22">#REF!</definedName>
    <definedName name="SL001Text" localSheetId="26">#REF!</definedName>
    <definedName name="SL001Text" localSheetId="20">#REF!</definedName>
    <definedName name="SL001Text" localSheetId="19">#REF!</definedName>
    <definedName name="SL001Text" localSheetId="18">#REF!</definedName>
    <definedName name="SL001Text" localSheetId="17">#REF!</definedName>
    <definedName name="SL001Text" localSheetId="27">#REF!</definedName>
    <definedName name="SL001Text" localSheetId="21">#REF!</definedName>
    <definedName name="SL001Text" localSheetId="15">#REF!</definedName>
    <definedName name="SL001Text" localSheetId="7">#REF!</definedName>
    <definedName name="SL001Text" localSheetId="8">#REF!</definedName>
    <definedName name="SL001Text" localSheetId="1">#REF!</definedName>
    <definedName name="SL001Text" localSheetId="25">#REF!</definedName>
    <definedName name="SL001Text" localSheetId="30">#REF!</definedName>
    <definedName name="SL001Text" localSheetId="4">#REF!</definedName>
    <definedName name="SL001Text" localSheetId="11">#REF!</definedName>
    <definedName name="SL001Text" localSheetId="24">#REF!</definedName>
    <definedName name="SL001Text">#REF!</definedName>
    <definedName name="SL001Title" localSheetId="29">#REF!</definedName>
    <definedName name="SL001Title" localSheetId="2">#REF!</definedName>
    <definedName name="SL001Title" localSheetId="28">#REF!</definedName>
    <definedName name="SL001Title" localSheetId="16">#REF!</definedName>
    <definedName name="SL001Title" localSheetId="22">#REF!</definedName>
    <definedName name="SL001Title" localSheetId="26">#REF!</definedName>
    <definedName name="SL001Title" localSheetId="20">#REF!</definedName>
    <definedName name="SL001Title" localSheetId="19">#REF!</definedName>
    <definedName name="SL001Title" localSheetId="18">#REF!</definedName>
    <definedName name="SL001Title" localSheetId="17">#REF!</definedName>
    <definedName name="SL001Title" localSheetId="27">#REF!</definedName>
    <definedName name="SL001Title" localSheetId="21">#REF!</definedName>
    <definedName name="SL001Title" localSheetId="15">#REF!</definedName>
    <definedName name="SL001Title" localSheetId="7">#REF!</definedName>
    <definedName name="SL001Title" localSheetId="8">#REF!</definedName>
    <definedName name="SL001Title" localSheetId="1">#REF!</definedName>
    <definedName name="SL001Title" localSheetId="25">#REF!</definedName>
    <definedName name="SL001Title" localSheetId="30">#REF!</definedName>
    <definedName name="SL001Title" localSheetId="4">#REF!</definedName>
    <definedName name="SL001Title" localSheetId="11">#REF!</definedName>
    <definedName name="SL001Title" localSheetId="24">#REF!</definedName>
    <definedName name="SL001Title">#REF!</definedName>
    <definedName name="SL001YTD" localSheetId="29">#REF!</definedName>
    <definedName name="SL001YTD" localSheetId="2">#REF!</definedName>
    <definedName name="SL001YTD" localSheetId="28">#REF!</definedName>
    <definedName name="SL001YTD" localSheetId="16">#REF!</definedName>
    <definedName name="SL001YTD" localSheetId="22">#REF!</definedName>
    <definedName name="SL001YTD" localSheetId="26">#REF!</definedName>
    <definedName name="SL001YTD" localSheetId="20">#REF!</definedName>
    <definedName name="SL001YTD" localSheetId="19">#REF!</definedName>
    <definedName name="SL001YTD" localSheetId="18">#REF!</definedName>
    <definedName name="SL001YTD" localSheetId="17">#REF!</definedName>
    <definedName name="SL001YTD" localSheetId="27">#REF!</definedName>
    <definedName name="SL001YTD" localSheetId="21">#REF!</definedName>
    <definedName name="SL001YTD" localSheetId="15">#REF!</definedName>
    <definedName name="SL001YTD" localSheetId="7">#REF!</definedName>
    <definedName name="SL001YTD" localSheetId="8">#REF!</definedName>
    <definedName name="SL001YTD" localSheetId="1">#REF!</definedName>
    <definedName name="SL001YTD" localSheetId="25">#REF!</definedName>
    <definedName name="SL001YTD" localSheetId="30">#REF!</definedName>
    <definedName name="SL001YTD" localSheetId="4">#REF!</definedName>
    <definedName name="SL001YTD" localSheetId="11">#REF!</definedName>
    <definedName name="SL001YTD" localSheetId="24">#REF!</definedName>
    <definedName name="SL001YTD">#REF!</definedName>
    <definedName name="SL002AMonth" localSheetId="29">#REF!</definedName>
    <definedName name="SL002AMonth" localSheetId="2">#REF!</definedName>
    <definedName name="SL002AMonth" localSheetId="28">#REF!</definedName>
    <definedName name="SL002AMonth" localSheetId="16">#REF!</definedName>
    <definedName name="SL002AMonth" localSheetId="22">#REF!</definedName>
    <definedName name="SL002AMonth" localSheetId="26">#REF!</definedName>
    <definedName name="SL002AMonth" localSheetId="20">#REF!</definedName>
    <definedName name="SL002AMonth" localSheetId="19">#REF!</definedName>
    <definedName name="SL002AMonth" localSheetId="18">#REF!</definedName>
    <definedName name="SL002AMonth" localSheetId="17">#REF!</definedName>
    <definedName name="SL002AMonth" localSheetId="27">#REF!</definedName>
    <definedName name="SL002AMonth" localSheetId="21">#REF!</definedName>
    <definedName name="SL002AMonth" localSheetId="15">#REF!</definedName>
    <definedName name="SL002AMonth" localSheetId="7">#REF!</definedName>
    <definedName name="SL002AMonth" localSheetId="8">#REF!</definedName>
    <definedName name="SL002AMonth" localSheetId="1">#REF!</definedName>
    <definedName name="SL002AMonth" localSheetId="25">#REF!</definedName>
    <definedName name="SL002AMonth" localSheetId="30">#REF!</definedName>
    <definedName name="SL002AMonth" localSheetId="4">#REF!</definedName>
    <definedName name="SL002AMonth" localSheetId="11">#REF!</definedName>
    <definedName name="SL002AMonth" localSheetId="24">#REF!</definedName>
    <definedName name="SL002AMonth">#REF!</definedName>
    <definedName name="SL002AText" localSheetId="29">#REF!</definedName>
    <definedName name="SL002AText" localSheetId="2">#REF!</definedName>
    <definedName name="SL002AText" localSheetId="28">#REF!</definedName>
    <definedName name="SL002AText" localSheetId="16">#REF!</definedName>
    <definedName name="SL002AText" localSheetId="22">#REF!</definedName>
    <definedName name="SL002AText" localSheetId="26">#REF!</definedName>
    <definedName name="SL002AText" localSheetId="20">#REF!</definedName>
    <definedName name="SL002AText" localSheetId="19">#REF!</definedName>
    <definedName name="SL002AText" localSheetId="18">#REF!</definedName>
    <definedName name="SL002AText" localSheetId="17">#REF!</definedName>
    <definedName name="SL002AText" localSheetId="27">#REF!</definedName>
    <definedName name="SL002AText" localSheetId="21">#REF!</definedName>
    <definedName name="SL002AText" localSheetId="15">#REF!</definedName>
    <definedName name="SL002AText" localSheetId="7">#REF!</definedName>
    <definedName name="SL002AText" localSheetId="8">#REF!</definedName>
    <definedName name="SL002AText" localSheetId="1">#REF!</definedName>
    <definedName name="SL002AText" localSheetId="25">#REF!</definedName>
    <definedName name="SL002AText" localSheetId="30">#REF!</definedName>
    <definedName name="SL002AText" localSheetId="4">#REF!</definedName>
    <definedName name="SL002AText" localSheetId="11">#REF!</definedName>
    <definedName name="SL002AText" localSheetId="24">#REF!</definedName>
    <definedName name="SL002AText">#REF!</definedName>
    <definedName name="SL002ATitle" localSheetId="29">#REF!</definedName>
    <definedName name="SL002ATitle" localSheetId="2">#REF!</definedName>
    <definedName name="SL002ATitle" localSheetId="28">#REF!</definedName>
    <definedName name="SL002ATitle" localSheetId="16">#REF!</definedName>
    <definedName name="SL002ATitle" localSheetId="22">#REF!</definedName>
    <definedName name="SL002ATitle" localSheetId="26">#REF!</definedName>
    <definedName name="SL002ATitle" localSheetId="20">#REF!</definedName>
    <definedName name="SL002ATitle" localSheetId="19">#REF!</definedName>
    <definedName name="SL002ATitle" localSheetId="18">#REF!</definedName>
    <definedName name="SL002ATitle" localSheetId="17">#REF!</definedName>
    <definedName name="SL002ATitle" localSheetId="27">#REF!</definedName>
    <definedName name="SL002ATitle" localSheetId="21">#REF!</definedName>
    <definedName name="SL002ATitle" localSheetId="15">#REF!</definedName>
    <definedName name="SL002ATitle" localSheetId="7">#REF!</definedName>
    <definedName name="SL002ATitle" localSheetId="8">#REF!</definedName>
    <definedName name="SL002ATitle" localSheetId="1">#REF!</definedName>
    <definedName name="SL002ATitle" localSheetId="25">#REF!</definedName>
    <definedName name="SL002ATitle" localSheetId="30">#REF!</definedName>
    <definedName name="SL002ATitle" localSheetId="4">#REF!</definedName>
    <definedName name="SL002ATitle" localSheetId="11">#REF!</definedName>
    <definedName name="SL002ATitle" localSheetId="24">#REF!</definedName>
    <definedName name="SL002ATitle">#REF!</definedName>
    <definedName name="SL002AYTD" localSheetId="29">#REF!</definedName>
    <definedName name="SL002AYTD" localSheetId="2">#REF!</definedName>
    <definedName name="SL002AYTD" localSheetId="28">#REF!</definedName>
    <definedName name="SL002AYTD" localSheetId="16">#REF!</definedName>
    <definedName name="SL002AYTD" localSheetId="22">#REF!</definedName>
    <definedName name="SL002AYTD" localSheetId="26">#REF!</definedName>
    <definedName name="SL002AYTD" localSheetId="20">#REF!</definedName>
    <definedName name="SL002AYTD" localSheetId="19">#REF!</definedName>
    <definedName name="SL002AYTD" localSheetId="18">#REF!</definedName>
    <definedName name="SL002AYTD" localSheetId="17">#REF!</definedName>
    <definedName name="SL002AYTD" localSheetId="27">#REF!</definedName>
    <definedName name="SL002AYTD" localSheetId="21">#REF!</definedName>
    <definedName name="SL002AYTD" localSheetId="15">#REF!</definedName>
    <definedName name="SL002AYTD" localSheetId="7">#REF!</definedName>
    <definedName name="SL002AYTD" localSheetId="8">#REF!</definedName>
    <definedName name="SL002AYTD" localSheetId="1">#REF!</definedName>
    <definedName name="SL002AYTD" localSheetId="25">#REF!</definedName>
    <definedName name="SL002AYTD" localSheetId="30">#REF!</definedName>
    <definedName name="SL002AYTD" localSheetId="4">#REF!</definedName>
    <definedName name="SL002AYTD" localSheetId="11">#REF!</definedName>
    <definedName name="SL002AYTD" localSheetId="24">#REF!</definedName>
    <definedName name="SL002AYTD">#REF!</definedName>
    <definedName name="SL002BMonth" localSheetId="29">#REF!</definedName>
    <definedName name="SL002BMonth" localSheetId="2">#REF!</definedName>
    <definedName name="SL002BMonth" localSheetId="28">#REF!</definedName>
    <definedName name="SL002BMonth" localSheetId="16">#REF!</definedName>
    <definedName name="SL002BMonth" localSheetId="22">#REF!</definedName>
    <definedName name="SL002BMonth" localSheetId="26">#REF!</definedName>
    <definedName name="SL002BMonth" localSheetId="20">#REF!</definedName>
    <definedName name="SL002BMonth" localSheetId="19">#REF!</definedName>
    <definedName name="SL002BMonth" localSheetId="18">#REF!</definedName>
    <definedName name="SL002BMonth" localSheetId="17">#REF!</definedName>
    <definedName name="SL002BMonth" localSheetId="27">#REF!</definedName>
    <definedName name="SL002BMonth" localSheetId="21">#REF!</definedName>
    <definedName name="SL002BMonth" localSheetId="15">#REF!</definedName>
    <definedName name="SL002BMonth" localSheetId="7">#REF!</definedName>
    <definedName name="SL002BMonth" localSheetId="8">#REF!</definedName>
    <definedName name="SL002BMonth" localSheetId="1">#REF!</definedName>
    <definedName name="SL002BMonth" localSheetId="25">#REF!</definedName>
    <definedName name="SL002BMonth" localSheetId="30">#REF!</definedName>
    <definedName name="SL002BMonth" localSheetId="4">#REF!</definedName>
    <definedName name="SL002BMonth" localSheetId="11">#REF!</definedName>
    <definedName name="SL002BMonth" localSheetId="24">#REF!</definedName>
    <definedName name="SL002BMonth">#REF!</definedName>
    <definedName name="SL002BText" localSheetId="29">#REF!</definedName>
    <definedName name="SL002BText" localSheetId="2">#REF!</definedName>
    <definedName name="SL002BText" localSheetId="28">#REF!</definedName>
    <definedName name="SL002BText" localSheetId="16">#REF!</definedName>
    <definedName name="SL002BText" localSheetId="22">#REF!</definedName>
    <definedName name="SL002BText" localSheetId="26">#REF!</definedName>
    <definedName name="SL002BText" localSheetId="20">#REF!</definedName>
    <definedName name="SL002BText" localSheetId="19">#REF!</definedName>
    <definedName name="SL002BText" localSheetId="18">#REF!</definedName>
    <definedName name="SL002BText" localSheetId="17">#REF!</definedName>
    <definedName name="SL002BText" localSheetId="27">#REF!</definedName>
    <definedName name="SL002BText" localSheetId="21">#REF!</definedName>
    <definedName name="SL002BText" localSheetId="15">#REF!</definedName>
    <definedName name="SL002BText" localSheetId="7">#REF!</definedName>
    <definedName name="SL002BText" localSheetId="8">#REF!</definedName>
    <definedName name="SL002BText" localSheetId="1">#REF!</definedName>
    <definedName name="SL002BText" localSheetId="25">#REF!</definedName>
    <definedName name="SL002BText" localSheetId="30">#REF!</definedName>
    <definedName name="SL002BText" localSheetId="4">#REF!</definedName>
    <definedName name="SL002BText" localSheetId="11">#REF!</definedName>
    <definedName name="SL002BText" localSheetId="24">#REF!</definedName>
    <definedName name="SL002BText">#REF!</definedName>
    <definedName name="SL002BTitle" localSheetId="29">#REF!</definedName>
    <definedName name="SL002BTitle" localSheetId="2">#REF!</definedName>
    <definedName name="SL002BTitle" localSheetId="28">#REF!</definedName>
    <definedName name="SL002BTitle" localSheetId="16">#REF!</definedName>
    <definedName name="SL002BTitle" localSheetId="22">#REF!</definedName>
    <definedName name="SL002BTitle" localSheetId="26">#REF!</definedName>
    <definedName name="SL002BTitle" localSheetId="20">#REF!</definedName>
    <definedName name="SL002BTitle" localSheetId="19">#REF!</definedName>
    <definedName name="SL002BTitle" localSheetId="18">#REF!</definedName>
    <definedName name="SL002BTitle" localSheetId="17">#REF!</definedName>
    <definedName name="SL002BTitle" localSheetId="27">#REF!</definedName>
    <definedName name="SL002BTitle" localSheetId="21">#REF!</definedName>
    <definedName name="SL002BTitle" localSheetId="15">#REF!</definedName>
    <definedName name="SL002BTitle" localSheetId="7">#REF!</definedName>
    <definedName name="SL002BTitle" localSheetId="8">#REF!</definedName>
    <definedName name="SL002BTitle" localSheetId="1">#REF!</definedName>
    <definedName name="SL002BTitle" localSheetId="25">#REF!</definedName>
    <definedName name="SL002BTitle" localSheetId="30">#REF!</definedName>
    <definedName name="SL002BTitle" localSheetId="4">#REF!</definedName>
    <definedName name="SL002BTitle" localSheetId="11">#REF!</definedName>
    <definedName name="SL002BTitle" localSheetId="24">#REF!</definedName>
    <definedName name="SL002BTitle">#REF!</definedName>
    <definedName name="SL002BYTD" localSheetId="29">#REF!</definedName>
    <definedName name="SL002BYTD" localSheetId="2">#REF!</definedName>
    <definedName name="SL002BYTD" localSheetId="28">#REF!</definedName>
    <definedName name="SL002BYTD" localSheetId="16">#REF!</definedName>
    <definedName name="SL002BYTD" localSheetId="22">#REF!</definedName>
    <definedName name="SL002BYTD" localSheetId="26">#REF!</definedName>
    <definedName name="SL002BYTD" localSheetId="20">#REF!</definedName>
    <definedName name="SL002BYTD" localSheetId="19">#REF!</definedName>
    <definedName name="SL002BYTD" localSheetId="18">#REF!</definedName>
    <definedName name="SL002BYTD" localSheetId="17">#REF!</definedName>
    <definedName name="SL002BYTD" localSheetId="27">#REF!</definedName>
    <definedName name="SL002BYTD" localSheetId="21">#REF!</definedName>
    <definedName name="SL002BYTD" localSheetId="15">#REF!</definedName>
    <definedName name="SL002BYTD" localSheetId="7">#REF!</definedName>
    <definedName name="SL002BYTD" localSheetId="8">#REF!</definedName>
    <definedName name="SL002BYTD" localSheetId="1">#REF!</definedName>
    <definedName name="SL002BYTD" localSheetId="25">#REF!</definedName>
    <definedName name="SL002BYTD" localSheetId="30">#REF!</definedName>
    <definedName name="SL002BYTD" localSheetId="4">#REF!</definedName>
    <definedName name="SL002BYTD" localSheetId="11">#REF!</definedName>
    <definedName name="SL002BYTD" localSheetId="24">#REF!</definedName>
    <definedName name="SL002BYTD">#REF!</definedName>
    <definedName name="SL002Month" localSheetId="29">#REF!</definedName>
    <definedName name="SL002Month" localSheetId="2">#REF!</definedName>
    <definedName name="SL002Month" localSheetId="28">#REF!</definedName>
    <definedName name="SL002Month" localSheetId="16">#REF!</definedName>
    <definedName name="SL002Month" localSheetId="22">#REF!</definedName>
    <definedName name="SL002Month" localSheetId="26">#REF!</definedName>
    <definedName name="SL002Month" localSheetId="20">#REF!</definedName>
    <definedName name="SL002Month" localSheetId="19">#REF!</definedName>
    <definedName name="SL002Month" localSheetId="18">#REF!</definedName>
    <definedName name="SL002Month" localSheetId="17">#REF!</definedName>
    <definedName name="SL002Month" localSheetId="27">#REF!</definedName>
    <definedName name="SL002Month" localSheetId="21">#REF!</definedName>
    <definedName name="SL002Month" localSheetId="15">#REF!</definedName>
    <definedName name="SL002Month" localSheetId="7">#REF!</definedName>
    <definedName name="SL002Month" localSheetId="8">#REF!</definedName>
    <definedName name="SL002Month" localSheetId="1">#REF!</definedName>
    <definedName name="SL002Month" localSheetId="25">#REF!</definedName>
    <definedName name="SL002Month" localSheetId="30">#REF!</definedName>
    <definedName name="SL002Month" localSheetId="4">#REF!</definedName>
    <definedName name="SL002Month" localSheetId="11">#REF!</definedName>
    <definedName name="SL002Month" localSheetId="24">#REF!</definedName>
    <definedName name="SL002Month">#REF!</definedName>
    <definedName name="SL002Text" localSheetId="29">#REF!</definedName>
    <definedName name="SL002Text" localSheetId="2">#REF!</definedName>
    <definedName name="SL002Text" localSheetId="28">#REF!</definedName>
    <definedName name="SL002Text" localSheetId="16">#REF!</definedName>
    <definedName name="SL002Text" localSheetId="22">#REF!</definedName>
    <definedName name="SL002Text" localSheetId="26">#REF!</definedName>
    <definedName name="SL002Text" localSheetId="20">#REF!</definedName>
    <definedName name="SL002Text" localSheetId="19">#REF!</definedName>
    <definedName name="SL002Text" localSheetId="18">#REF!</definedName>
    <definedName name="SL002Text" localSheetId="17">#REF!</definedName>
    <definedName name="SL002Text" localSheetId="27">#REF!</definedName>
    <definedName name="SL002Text" localSheetId="21">#REF!</definedName>
    <definedName name="SL002Text" localSheetId="15">#REF!</definedName>
    <definedName name="SL002Text" localSheetId="7">#REF!</definedName>
    <definedName name="SL002Text" localSheetId="8">#REF!</definedName>
    <definedName name="SL002Text" localSheetId="1">#REF!</definedName>
    <definedName name="SL002Text" localSheetId="25">#REF!</definedName>
    <definedName name="SL002Text" localSheetId="30">#REF!</definedName>
    <definedName name="SL002Text" localSheetId="4">#REF!</definedName>
    <definedName name="SL002Text" localSheetId="11">#REF!</definedName>
    <definedName name="SL002Text" localSheetId="24">#REF!</definedName>
    <definedName name="SL002Text">#REF!</definedName>
    <definedName name="SL002Title" localSheetId="29">#REF!</definedName>
    <definedName name="SL002Title" localSheetId="2">#REF!</definedName>
    <definedName name="SL002Title" localSheetId="28">#REF!</definedName>
    <definedName name="SL002Title" localSheetId="16">#REF!</definedName>
    <definedName name="SL002Title" localSheetId="22">#REF!</definedName>
    <definedName name="SL002Title" localSheetId="26">#REF!</definedName>
    <definedName name="SL002Title" localSheetId="20">#REF!</definedName>
    <definedName name="SL002Title" localSheetId="19">#REF!</definedName>
    <definedName name="SL002Title" localSheetId="18">#REF!</definedName>
    <definedName name="SL002Title" localSheetId="17">#REF!</definedName>
    <definedName name="SL002Title" localSheetId="27">#REF!</definedName>
    <definedName name="SL002Title" localSheetId="21">#REF!</definedName>
    <definedName name="SL002Title" localSheetId="15">#REF!</definedName>
    <definedName name="SL002Title" localSheetId="7">#REF!</definedName>
    <definedName name="SL002Title" localSheetId="8">#REF!</definedName>
    <definedName name="SL002Title" localSheetId="1">#REF!</definedName>
    <definedName name="SL002Title" localSheetId="25">#REF!</definedName>
    <definedName name="SL002Title" localSheetId="30">#REF!</definedName>
    <definedName name="SL002Title" localSheetId="4">#REF!</definedName>
    <definedName name="SL002Title" localSheetId="11">#REF!</definedName>
    <definedName name="SL002Title" localSheetId="24">#REF!</definedName>
    <definedName name="SL002Title">#REF!</definedName>
    <definedName name="SL002YTD" localSheetId="29">#REF!</definedName>
    <definedName name="SL002YTD" localSheetId="2">#REF!</definedName>
    <definedName name="SL002YTD" localSheetId="28">#REF!</definedName>
    <definedName name="SL002YTD" localSheetId="16">#REF!</definedName>
    <definedName name="SL002YTD" localSheetId="22">#REF!</definedName>
    <definedName name="SL002YTD" localSheetId="26">#REF!</definedName>
    <definedName name="SL002YTD" localSheetId="20">#REF!</definedName>
    <definedName name="SL002YTD" localSheetId="19">#REF!</definedName>
    <definedName name="SL002YTD" localSheetId="18">#REF!</definedName>
    <definedName name="SL002YTD" localSheetId="17">#REF!</definedName>
    <definedName name="SL002YTD" localSheetId="27">#REF!</definedName>
    <definedName name="SL002YTD" localSheetId="21">#REF!</definedName>
    <definedName name="SL002YTD" localSheetId="15">#REF!</definedName>
    <definedName name="SL002YTD" localSheetId="7">#REF!</definedName>
    <definedName name="SL002YTD" localSheetId="8">#REF!</definedName>
    <definedName name="SL002YTD" localSheetId="1">#REF!</definedName>
    <definedName name="SL002YTD" localSheetId="25">#REF!</definedName>
    <definedName name="SL002YTD" localSheetId="30">#REF!</definedName>
    <definedName name="SL002YTD" localSheetId="4">#REF!</definedName>
    <definedName name="SL002YTD" localSheetId="11">#REF!</definedName>
    <definedName name="SL002YTD" localSheetId="24">#REF!</definedName>
    <definedName name="SL002YTD">#REF!</definedName>
    <definedName name="SL003Month" localSheetId="29">#REF!</definedName>
    <definedName name="SL003Month" localSheetId="2">#REF!</definedName>
    <definedName name="SL003Month" localSheetId="28">#REF!</definedName>
    <definedName name="SL003Month" localSheetId="16">#REF!</definedName>
    <definedName name="SL003Month" localSheetId="22">#REF!</definedName>
    <definedName name="SL003Month" localSheetId="26">#REF!</definedName>
    <definedName name="SL003Month" localSheetId="20">#REF!</definedName>
    <definedName name="SL003Month" localSheetId="19">#REF!</definedName>
    <definedName name="SL003Month" localSheetId="18">#REF!</definedName>
    <definedName name="SL003Month" localSheetId="17">#REF!</definedName>
    <definedName name="SL003Month" localSheetId="27">#REF!</definedName>
    <definedName name="SL003Month" localSheetId="21">#REF!</definedName>
    <definedName name="SL003Month" localSheetId="15">#REF!</definedName>
    <definedName name="SL003Month" localSheetId="7">#REF!</definedName>
    <definedName name="SL003Month" localSheetId="8">#REF!</definedName>
    <definedName name="SL003Month" localSheetId="1">#REF!</definedName>
    <definedName name="SL003Month" localSheetId="25">#REF!</definedName>
    <definedName name="SL003Month" localSheetId="30">#REF!</definedName>
    <definedName name="SL003Month" localSheetId="4">#REF!</definedName>
    <definedName name="SL003Month" localSheetId="11">#REF!</definedName>
    <definedName name="SL003Month" localSheetId="24">#REF!</definedName>
    <definedName name="SL003Month">#REF!</definedName>
    <definedName name="SL003Text" localSheetId="29">#REF!</definedName>
    <definedName name="SL003Text" localSheetId="2">#REF!</definedName>
    <definedName name="SL003Text" localSheetId="28">#REF!</definedName>
    <definedName name="SL003Text" localSheetId="16">#REF!</definedName>
    <definedName name="SL003Text" localSheetId="22">#REF!</definedName>
    <definedName name="SL003Text" localSheetId="26">#REF!</definedName>
    <definedName name="SL003Text" localSheetId="20">#REF!</definedName>
    <definedName name="SL003Text" localSheetId="19">#REF!</definedName>
    <definedName name="SL003Text" localSheetId="18">#REF!</definedName>
    <definedName name="SL003Text" localSheetId="17">#REF!</definedName>
    <definedName name="SL003Text" localSheetId="27">#REF!</definedName>
    <definedName name="SL003Text" localSheetId="21">#REF!</definedName>
    <definedName name="SL003Text" localSheetId="15">#REF!</definedName>
    <definedName name="SL003Text" localSheetId="7">#REF!</definedName>
    <definedName name="SL003Text" localSheetId="8">#REF!</definedName>
    <definedName name="SL003Text" localSheetId="1">#REF!</definedName>
    <definedName name="SL003Text" localSheetId="25">#REF!</definedName>
    <definedName name="SL003Text" localSheetId="30">#REF!</definedName>
    <definedName name="SL003Text" localSheetId="4">#REF!</definedName>
    <definedName name="SL003Text" localSheetId="11">#REF!</definedName>
    <definedName name="SL003Text" localSheetId="24">#REF!</definedName>
    <definedName name="SL003Text">#REF!</definedName>
    <definedName name="SL003Title" localSheetId="29">#REF!</definedName>
    <definedName name="SL003Title" localSheetId="2">#REF!</definedName>
    <definedName name="SL003Title" localSheetId="28">#REF!</definedName>
    <definedName name="SL003Title" localSheetId="16">#REF!</definedName>
    <definedName name="SL003Title" localSheetId="22">#REF!</definedName>
    <definedName name="SL003Title" localSheetId="26">#REF!</definedName>
    <definedName name="SL003Title" localSheetId="20">#REF!</definedName>
    <definedName name="SL003Title" localSheetId="19">#REF!</definedName>
    <definedName name="SL003Title" localSheetId="18">#REF!</definedName>
    <definedName name="SL003Title" localSheetId="17">#REF!</definedName>
    <definedName name="SL003Title" localSheetId="27">#REF!</definedName>
    <definedName name="SL003Title" localSheetId="21">#REF!</definedName>
    <definedName name="SL003Title" localSheetId="15">#REF!</definedName>
    <definedName name="SL003Title" localSheetId="7">#REF!</definedName>
    <definedName name="SL003Title" localSheetId="8">#REF!</definedName>
    <definedName name="SL003Title" localSheetId="1">#REF!</definedName>
    <definedName name="SL003Title" localSheetId="25">#REF!</definedName>
    <definedName name="SL003Title" localSheetId="30">#REF!</definedName>
    <definedName name="SL003Title" localSheetId="4">#REF!</definedName>
    <definedName name="SL003Title" localSheetId="11">#REF!</definedName>
    <definedName name="SL003Title" localSheetId="24">#REF!</definedName>
    <definedName name="SL003Title">#REF!</definedName>
    <definedName name="SL003YTD" localSheetId="29">#REF!</definedName>
    <definedName name="SL003YTD" localSheetId="2">#REF!</definedName>
    <definedName name="SL003YTD" localSheetId="28">#REF!</definedName>
    <definedName name="SL003YTD" localSheetId="16">#REF!</definedName>
    <definedName name="SL003YTD" localSheetId="22">#REF!</definedName>
    <definedName name="SL003YTD" localSheetId="26">#REF!</definedName>
    <definedName name="SL003YTD" localSheetId="20">#REF!</definedName>
    <definedName name="SL003YTD" localSheetId="19">#REF!</definedName>
    <definedName name="SL003YTD" localSheetId="18">#REF!</definedName>
    <definedName name="SL003YTD" localSheetId="17">#REF!</definedName>
    <definedName name="SL003YTD" localSheetId="27">#REF!</definedName>
    <definedName name="SL003YTD" localSheetId="21">#REF!</definedName>
    <definedName name="SL003YTD" localSheetId="15">#REF!</definedName>
    <definedName name="SL003YTD" localSheetId="7">#REF!</definedName>
    <definedName name="SL003YTD" localSheetId="8">#REF!</definedName>
    <definedName name="SL003YTD" localSheetId="1">#REF!</definedName>
    <definedName name="SL003YTD" localSheetId="25">#REF!</definedName>
    <definedName name="SL003YTD" localSheetId="30">#REF!</definedName>
    <definedName name="SL003YTD" localSheetId="4">#REF!</definedName>
    <definedName name="SL003YTD" localSheetId="11">#REF!</definedName>
    <definedName name="SL003YTD" localSheetId="24">#REF!</definedName>
    <definedName name="SL003YTD">#REF!</definedName>
    <definedName name="SL004Month" localSheetId="29">#REF!</definedName>
    <definedName name="SL004Month" localSheetId="2">#REF!</definedName>
    <definedName name="SL004Month" localSheetId="28">#REF!</definedName>
    <definedName name="SL004Month" localSheetId="16">#REF!</definedName>
    <definedName name="SL004Month" localSheetId="22">#REF!</definedName>
    <definedName name="SL004Month" localSheetId="26">#REF!</definedName>
    <definedName name="SL004Month" localSheetId="20">#REF!</definedName>
    <definedName name="SL004Month" localSheetId="19">#REF!</definedName>
    <definedName name="SL004Month" localSheetId="18">#REF!</definedName>
    <definedName name="SL004Month" localSheetId="17">#REF!</definedName>
    <definedName name="SL004Month" localSheetId="27">#REF!</definedName>
    <definedName name="SL004Month" localSheetId="21">#REF!</definedName>
    <definedName name="SL004Month" localSheetId="15">#REF!</definedName>
    <definedName name="SL004Month" localSheetId="7">#REF!</definedName>
    <definedName name="SL004Month" localSheetId="8">#REF!</definedName>
    <definedName name="SL004Month" localSheetId="1">#REF!</definedName>
    <definedName name="SL004Month" localSheetId="25">#REF!</definedName>
    <definedName name="SL004Month" localSheetId="30">#REF!</definedName>
    <definedName name="SL004Month" localSheetId="4">#REF!</definedName>
    <definedName name="SL004Month" localSheetId="11">#REF!</definedName>
    <definedName name="SL004Month" localSheetId="24">#REF!</definedName>
    <definedName name="SL004Month">#REF!</definedName>
    <definedName name="SL004Text" localSheetId="29">#REF!</definedName>
    <definedName name="SL004Text" localSheetId="2">#REF!</definedName>
    <definedName name="SL004Text" localSheetId="28">#REF!</definedName>
    <definedName name="SL004Text" localSheetId="16">#REF!</definedName>
    <definedName name="SL004Text" localSheetId="22">#REF!</definedName>
    <definedName name="SL004Text" localSheetId="26">#REF!</definedName>
    <definedName name="SL004Text" localSheetId="20">#REF!</definedName>
    <definedName name="SL004Text" localSheetId="19">#REF!</definedName>
    <definedName name="SL004Text" localSheetId="18">#REF!</definedName>
    <definedName name="SL004Text" localSheetId="17">#REF!</definedName>
    <definedName name="SL004Text" localSheetId="27">#REF!</definedName>
    <definedName name="SL004Text" localSheetId="21">#REF!</definedName>
    <definedName name="SL004Text" localSheetId="15">#REF!</definedName>
    <definedName name="SL004Text" localSheetId="7">#REF!</definedName>
    <definedName name="SL004Text" localSheetId="8">#REF!</definedName>
    <definedName name="SL004Text" localSheetId="1">#REF!</definedName>
    <definedName name="SL004Text" localSheetId="25">#REF!</definedName>
    <definedName name="SL004Text" localSheetId="30">#REF!</definedName>
    <definedName name="SL004Text" localSheetId="4">#REF!</definedName>
    <definedName name="SL004Text" localSheetId="11">#REF!</definedName>
    <definedName name="SL004Text" localSheetId="24">#REF!</definedName>
    <definedName name="SL004Text">#REF!</definedName>
    <definedName name="SL004Title" localSheetId="29">#REF!</definedName>
    <definedName name="SL004Title" localSheetId="2">#REF!</definedName>
    <definedName name="SL004Title" localSheetId="28">#REF!</definedName>
    <definedName name="SL004Title" localSheetId="16">#REF!</definedName>
    <definedName name="SL004Title" localSheetId="22">#REF!</definedName>
    <definedName name="SL004Title" localSheetId="26">#REF!</definedName>
    <definedName name="SL004Title" localSheetId="20">#REF!</definedName>
    <definedName name="SL004Title" localSheetId="19">#REF!</definedName>
    <definedName name="SL004Title" localSheetId="18">#REF!</definedName>
    <definedName name="SL004Title" localSheetId="17">#REF!</definedName>
    <definedName name="SL004Title" localSheetId="27">#REF!</definedName>
    <definedName name="SL004Title" localSheetId="21">#REF!</definedName>
    <definedName name="SL004Title" localSheetId="15">#REF!</definedName>
    <definedName name="SL004Title" localSheetId="7">#REF!</definedName>
    <definedName name="SL004Title" localSheetId="8">#REF!</definedName>
    <definedName name="SL004Title" localSheetId="1">#REF!</definedName>
    <definedName name="SL004Title" localSheetId="25">#REF!</definedName>
    <definedName name="SL004Title" localSheetId="30">#REF!</definedName>
    <definedName name="SL004Title" localSheetId="4">#REF!</definedName>
    <definedName name="SL004Title" localSheetId="11">#REF!</definedName>
    <definedName name="SL004Title" localSheetId="24">#REF!</definedName>
    <definedName name="SL004Title">#REF!</definedName>
    <definedName name="SL004YTD" localSheetId="29">#REF!</definedName>
    <definedName name="SL004YTD" localSheetId="2">#REF!</definedName>
    <definedName name="SL004YTD" localSheetId="28">#REF!</definedName>
    <definedName name="SL004YTD" localSheetId="16">#REF!</definedName>
    <definedName name="SL004YTD" localSheetId="22">#REF!</definedName>
    <definedName name="SL004YTD" localSheetId="26">#REF!</definedName>
    <definedName name="SL004YTD" localSheetId="20">#REF!</definedName>
    <definedName name="SL004YTD" localSheetId="19">#REF!</definedName>
    <definedName name="SL004YTD" localSheetId="18">#REF!</definedName>
    <definedName name="SL004YTD" localSheetId="17">#REF!</definedName>
    <definedName name="SL004YTD" localSheetId="27">#REF!</definedName>
    <definedName name="SL004YTD" localSheetId="21">#REF!</definedName>
    <definedName name="SL004YTD" localSheetId="15">#REF!</definedName>
    <definedName name="SL004YTD" localSheetId="7">#REF!</definedName>
    <definedName name="SL004YTD" localSheetId="8">#REF!</definedName>
    <definedName name="SL004YTD" localSheetId="1">#REF!</definedName>
    <definedName name="SL004YTD" localSheetId="25">#REF!</definedName>
    <definedName name="SL004YTD" localSheetId="30">#REF!</definedName>
    <definedName name="SL004YTD" localSheetId="4">#REF!</definedName>
    <definedName name="SL004YTD" localSheetId="11">#REF!</definedName>
    <definedName name="SL004YTD" localSheetId="24">#REF!</definedName>
    <definedName name="SL004YTD">#REF!</definedName>
    <definedName name="SL005Month" localSheetId="29">#REF!</definedName>
    <definedName name="SL005Month" localSheetId="2">#REF!</definedName>
    <definedName name="SL005Month" localSheetId="28">#REF!</definedName>
    <definedName name="SL005Month" localSheetId="16">#REF!</definedName>
    <definedName name="SL005Month" localSheetId="22">#REF!</definedName>
    <definedName name="SL005Month" localSheetId="26">#REF!</definedName>
    <definedName name="SL005Month" localSheetId="20">#REF!</definedName>
    <definedName name="SL005Month" localSheetId="19">#REF!</definedName>
    <definedName name="SL005Month" localSheetId="18">#REF!</definedName>
    <definedName name="SL005Month" localSheetId="17">#REF!</definedName>
    <definedName name="SL005Month" localSheetId="27">#REF!</definedName>
    <definedName name="SL005Month" localSheetId="21">#REF!</definedName>
    <definedName name="SL005Month" localSheetId="15">#REF!</definedName>
    <definedName name="SL005Month" localSheetId="7">#REF!</definedName>
    <definedName name="SL005Month" localSheetId="8">#REF!</definedName>
    <definedName name="SL005Month" localSheetId="1">#REF!</definedName>
    <definedName name="SL005Month" localSheetId="25">#REF!</definedName>
    <definedName name="SL005Month" localSheetId="30">#REF!</definedName>
    <definedName name="SL005Month" localSheetId="4">#REF!</definedName>
    <definedName name="SL005Month" localSheetId="11">#REF!</definedName>
    <definedName name="SL005Month" localSheetId="24">#REF!</definedName>
    <definedName name="SL005Month">#REF!</definedName>
    <definedName name="SL005Text" localSheetId="29">#REF!</definedName>
    <definedName name="SL005Text" localSheetId="2">#REF!</definedName>
    <definedName name="SL005Text" localSheetId="28">#REF!</definedName>
    <definedName name="SL005Text" localSheetId="16">#REF!</definedName>
    <definedName name="SL005Text" localSheetId="22">#REF!</definedName>
    <definedName name="SL005Text" localSheetId="26">#REF!</definedName>
    <definedName name="SL005Text" localSheetId="20">#REF!</definedName>
    <definedName name="SL005Text" localSheetId="19">#REF!</definedName>
    <definedName name="SL005Text" localSheetId="18">#REF!</definedName>
    <definedName name="SL005Text" localSheetId="17">#REF!</definedName>
    <definedName name="SL005Text" localSheetId="27">#REF!</definedName>
    <definedName name="SL005Text" localSheetId="21">#REF!</definedName>
    <definedName name="SL005Text" localSheetId="15">#REF!</definedName>
    <definedName name="SL005Text" localSheetId="7">#REF!</definedName>
    <definedName name="SL005Text" localSheetId="8">#REF!</definedName>
    <definedName name="SL005Text" localSheetId="1">#REF!</definedName>
    <definedName name="SL005Text" localSheetId="25">#REF!</definedName>
    <definedName name="SL005Text" localSheetId="30">#REF!</definedName>
    <definedName name="SL005Text" localSheetId="4">#REF!</definedName>
    <definedName name="SL005Text" localSheetId="11">#REF!</definedName>
    <definedName name="SL005Text" localSheetId="24">#REF!</definedName>
    <definedName name="SL005Text">#REF!</definedName>
    <definedName name="SL005Title" localSheetId="29">#REF!</definedName>
    <definedName name="SL005Title" localSheetId="2">#REF!</definedName>
    <definedName name="SL005Title" localSheetId="28">#REF!</definedName>
    <definedName name="SL005Title" localSheetId="16">#REF!</definedName>
    <definedName name="SL005Title" localSheetId="22">#REF!</definedName>
    <definedName name="SL005Title" localSheetId="26">#REF!</definedName>
    <definedName name="SL005Title" localSheetId="20">#REF!</definedName>
    <definedName name="SL005Title" localSheetId="19">#REF!</definedName>
    <definedName name="SL005Title" localSheetId="18">#REF!</definedName>
    <definedName name="SL005Title" localSheetId="17">#REF!</definedName>
    <definedName name="SL005Title" localSheetId="27">#REF!</definedName>
    <definedName name="SL005Title" localSheetId="21">#REF!</definedName>
    <definedName name="SL005Title" localSheetId="15">#REF!</definedName>
    <definedName name="SL005Title" localSheetId="7">#REF!</definedName>
    <definedName name="SL005Title" localSheetId="8">#REF!</definedName>
    <definedName name="SL005Title" localSheetId="1">#REF!</definedName>
    <definedName name="SL005Title" localSheetId="25">#REF!</definedName>
    <definedName name="SL005Title" localSheetId="30">#REF!</definedName>
    <definedName name="SL005Title" localSheetId="4">#REF!</definedName>
    <definedName name="SL005Title" localSheetId="11">#REF!</definedName>
    <definedName name="SL005Title" localSheetId="24">#REF!</definedName>
    <definedName name="SL005Title">#REF!</definedName>
    <definedName name="SL005YTD" localSheetId="29">#REF!</definedName>
    <definedName name="SL005YTD" localSheetId="2">#REF!</definedName>
    <definedName name="SL005YTD" localSheetId="28">#REF!</definedName>
    <definedName name="SL005YTD" localSheetId="16">#REF!</definedName>
    <definedName name="SL005YTD" localSheetId="22">#REF!</definedName>
    <definedName name="SL005YTD" localSheetId="26">#REF!</definedName>
    <definedName name="SL005YTD" localSheetId="20">#REF!</definedName>
    <definedName name="SL005YTD" localSheetId="19">#REF!</definedName>
    <definedName name="SL005YTD" localSheetId="18">#REF!</definedName>
    <definedName name="SL005YTD" localSheetId="17">#REF!</definedName>
    <definedName name="SL005YTD" localSheetId="27">#REF!</definedName>
    <definedName name="SL005YTD" localSheetId="21">#REF!</definedName>
    <definedName name="SL005YTD" localSheetId="15">#REF!</definedName>
    <definedName name="SL005YTD" localSheetId="7">#REF!</definedName>
    <definedName name="SL005YTD" localSheetId="8">#REF!</definedName>
    <definedName name="SL005YTD" localSheetId="1">#REF!</definedName>
    <definedName name="SL005YTD" localSheetId="25">#REF!</definedName>
    <definedName name="SL005YTD" localSheetId="30">#REF!</definedName>
    <definedName name="SL005YTD" localSheetId="4">#REF!</definedName>
    <definedName name="SL005YTD" localSheetId="11">#REF!</definedName>
    <definedName name="SL005YTD" localSheetId="24">#REF!</definedName>
    <definedName name="SL005YTD">#REF!</definedName>
    <definedName name="SL006Month" localSheetId="29">#REF!</definedName>
    <definedName name="SL006Month" localSheetId="2">#REF!</definedName>
    <definedName name="SL006Month" localSheetId="28">#REF!</definedName>
    <definedName name="SL006Month" localSheetId="16">#REF!</definedName>
    <definedName name="SL006Month" localSheetId="22">#REF!</definedName>
    <definedName name="SL006Month" localSheetId="26">#REF!</definedName>
    <definedName name="SL006Month" localSheetId="20">#REF!</definedName>
    <definedName name="SL006Month" localSheetId="19">#REF!</definedName>
    <definedName name="SL006Month" localSheetId="18">#REF!</definedName>
    <definedName name="SL006Month" localSheetId="17">#REF!</definedName>
    <definedName name="SL006Month" localSheetId="27">#REF!</definedName>
    <definedName name="SL006Month" localSheetId="21">#REF!</definedName>
    <definedName name="SL006Month" localSheetId="15">#REF!</definedName>
    <definedName name="SL006Month" localSheetId="7">#REF!</definedName>
    <definedName name="SL006Month" localSheetId="8">#REF!</definedName>
    <definedName name="SL006Month" localSheetId="1">#REF!</definedName>
    <definedName name="SL006Month" localSheetId="25">#REF!</definedName>
    <definedName name="SL006Month" localSheetId="30">#REF!</definedName>
    <definedName name="SL006Month" localSheetId="4">#REF!</definedName>
    <definedName name="SL006Month" localSheetId="11">#REF!</definedName>
    <definedName name="SL006Month" localSheetId="24">#REF!</definedName>
    <definedName name="SL006Month">#REF!</definedName>
    <definedName name="SL006Text" localSheetId="29">#REF!</definedName>
    <definedName name="SL006Text" localSheetId="2">#REF!</definedName>
    <definedName name="SL006Text" localSheetId="28">#REF!</definedName>
    <definedName name="SL006Text" localSheetId="16">#REF!</definedName>
    <definedName name="SL006Text" localSheetId="22">#REF!</definedName>
    <definedName name="SL006Text" localSheetId="26">#REF!</definedName>
    <definedName name="SL006Text" localSheetId="20">#REF!</definedName>
    <definedName name="SL006Text" localSheetId="19">#REF!</definedName>
    <definedName name="SL006Text" localSheetId="18">#REF!</definedName>
    <definedName name="SL006Text" localSheetId="17">#REF!</definedName>
    <definedName name="SL006Text" localSheetId="27">#REF!</definedName>
    <definedName name="SL006Text" localSheetId="21">#REF!</definedName>
    <definedName name="SL006Text" localSheetId="15">#REF!</definedName>
    <definedName name="SL006Text" localSheetId="7">#REF!</definedName>
    <definedName name="SL006Text" localSheetId="8">#REF!</definedName>
    <definedName name="SL006Text" localSheetId="1">#REF!</definedName>
    <definedName name="SL006Text" localSheetId="25">#REF!</definedName>
    <definedName name="SL006Text" localSheetId="30">#REF!</definedName>
    <definedName name="SL006Text" localSheetId="4">#REF!</definedName>
    <definedName name="SL006Text" localSheetId="11">#REF!</definedName>
    <definedName name="SL006Text" localSheetId="24">#REF!</definedName>
    <definedName name="SL006Text">#REF!</definedName>
    <definedName name="SL006Title" localSheetId="29">#REF!</definedName>
    <definedName name="SL006Title" localSheetId="2">#REF!</definedName>
    <definedName name="SL006Title" localSheetId="28">#REF!</definedName>
    <definedName name="SL006Title" localSheetId="16">#REF!</definedName>
    <definedName name="SL006Title" localSheetId="22">#REF!</definedName>
    <definedName name="SL006Title" localSheetId="26">#REF!</definedName>
    <definedName name="SL006Title" localSheetId="20">#REF!</definedName>
    <definedName name="SL006Title" localSheetId="19">#REF!</definedName>
    <definedName name="SL006Title" localSheetId="18">#REF!</definedName>
    <definedName name="SL006Title" localSheetId="17">#REF!</definedName>
    <definedName name="SL006Title" localSheetId="27">#REF!</definedName>
    <definedName name="SL006Title" localSheetId="21">#REF!</definedName>
    <definedName name="SL006Title" localSheetId="15">#REF!</definedName>
    <definedName name="SL006Title" localSheetId="7">#REF!</definedName>
    <definedName name="SL006Title" localSheetId="8">#REF!</definedName>
    <definedName name="SL006Title" localSheetId="1">#REF!</definedName>
    <definedName name="SL006Title" localSheetId="25">#REF!</definedName>
    <definedName name="SL006Title" localSheetId="30">#REF!</definedName>
    <definedName name="SL006Title" localSheetId="4">#REF!</definedName>
    <definedName name="SL006Title" localSheetId="11">#REF!</definedName>
    <definedName name="SL006Title" localSheetId="24">#REF!</definedName>
    <definedName name="SL006Title">#REF!</definedName>
    <definedName name="SL006YTD" localSheetId="29">#REF!</definedName>
    <definedName name="SL006YTD" localSheetId="2">#REF!</definedName>
    <definedName name="SL006YTD" localSheetId="28">#REF!</definedName>
    <definedName name="SL006YTD" localSheetId="16">#REF!</definedName>
    <definedName name="SL006YTD" localSheetId="22">#REF!</definedName>
    <definedName name="SL006YTD" localSheetId="26">#REF!</definedName>
    <definedName name="SL006YTD" localSheetId="20">#REF!</definedName>
    <definedName name="SL006YTD" localSheetId="19">#REF!</definedName>
    <definedName name="SL006YTD" localSheetId="18">#REF!</definedName>
    <definedName name="SL006YTD" localSheetId="17">#REF!</definedName>
    <definedName name="SL006YTD" localSheetId="27">#REF!</definedName>
    <definedName name="SL006YTD" localSheetId="21">#REF!</definedName>
    <definedName name="SL006YTD" localSheetId="15">#REF!</definedName>
    <definedName name="SL006YTD" localSheetId="7">#REF!</definedName>
    <definedName name="SL006YTD" localSheetId="8">#REF!</definedName>
    <definedName name="SL006YTD" localSheetId="1">#REF!</definedName>
    <definedName name="SL006YTD" localSheetId="25">#REF!</definedName>
    <definedName name="SL006YTD" localSheetId="30">#REF!</definedName>
    <definedName name="SL006YTD" localSheetId="4">#REF!</definedName>
    <definedName name="SL006YTD" localSheetId="11">#REF!</definedName>
    <definedName name="SL006YTD" localSheetId="24">#REF!</definedName>
    <definedName name="SL006YTD">#REF!</definedName>
    <definedName name="SL007Month" localSheetId="29">#REF!</definedName>
    <definedName name="SL007Month" localSheetId="2">#REF!</definedName>
    <definedName name="SL007Month" localSheetId="28">#REF!</definedName>
    <definedName name="SL007Month" localSheetId="16">#REF!</definedName>
    <definedName name="SL007Month" localSheetId="22">#REF!</definedName>
    <definedName name="SL007Month" localSheetId="26">#REF!</definedName>
    <definedName name="SL007Month" localSheetId="20">#REF!</definedName>
    <definedName name="SL007Month" localSheetId="19">#REF!</definedName>
    <definedName name="SL007Month" localSheetId="18">#REF!</definedName>
    <definedName name="SL007Month" localSheetId="17">#REF!</definedName>
    <definedName name="SL007Month" localSheetId="27">#REF!</definedName>
    <definedName name="SL007Month" localSheetId="21">#REF!</definedName>
    <definedName name="SL007Month" localSheetId="15">#REF!</definedName>
    <definedName name="SL007Month" localSheetId="7">#REF!</definedName>
    <definedName name="SL007Month" localSheetId="8">#REF!</definedName>
    <definedName name="SL007Month" localSheetId="1">#REF!</definedName>
    <definedName name="SL007Month" localSheetId="25">#REF!</definedName>
    <definedName name="SL007Month" localSheetId="30">#REF!</definedName>
    <definedName name="SL007Month" localSheetId="4">#REF!</definedName>
    <definedName name="SL007Month" localSheetId="11">#REF!</definedName>
    <definedName name="SL007Month" localSheetId="24">#REF!</definedName>
    <definedName name="SL007Month">#REF!</definedName>
    <definedName name="SL007Text" localSheetId="29">#REF!</definedName>
    <definedName name="SL007Text" localSheetId="2">#REF!</definedName>
    <definedName name="SL007Text" localSheetId="28">#REF!</definedName>
    <definedName name="SL007Text" localSheetId="16">#REF!</definedName>
    <definedName name="SL007Text" localSheetId="22">#REF!</definedName>
    <definedName name="SL007Text" localSheetId="26">#REF!</definedName>
    <definedName name="SL007Text" localSheetId="20">#REF!</definedName>
    <definedName name="SL007Text" localSheetId="19">#REF!</definedName>
    <definedName name="SL007Text" localSheetId="18">#REF!</definedName>
    <definedName name="SL007Text" localSheetId="17">#REF!</definedName>
    <definedName name="SL007Text" localSheetId="27">#REF!</definedName>
    <definedName name="SL007Text" localSheetId="21">#REF!</definedName>
    <definedName name="SL007Text" localSheetId="15">#REF!</definedName>
    <definedName name="SL007Text" localSheetId="7">#REF!</definedName>
    <definedName name="SL007Text" localSheetId="8">#REF!</definedName>
    <definedName name="SL007Text" localSheetId="1">#REF!</definedName>
    <definedName name="SL007Text" localSheetId="25">#REF!</definedName>
    <definedName name="SL007Text" localSheetId="30">#REF!</definedName>
    <definedName name="SL007Text" localSheetId="4">#REF!</definedName>
    <definedName name="SL007Text" localSheetId="11">#REF!</definedName>
    <definedName name="SL007Text" localSheetId="24">#REF!</definedName>
    <definedName name="SL007Text">#REF!</definedName>
    <definedName name="SL007Title" localSheetId="29">#REF!</definedName>
    <definedName name="SL007Title" localSheetId="2">#REF!</definedName>
    <definedName name="SL007Title" localSheetId="28">#REF!</definedName>
    <definedName name="SL007Title" localSheetId="16">#REF!</definedName>
    <definedName name="SL007Title" localSheetId="22">#REF!</definedName>
    <definedName name="SL007Title" localSheetId="26">#REF!</definedName>
    <definedName name="SL007Title" localSheetId="20">#REF!</definedName>
    <definedName name="SL007Title" localSheetId="19">#REF!</definedName>
    <definedName name="SL007Title" localSheetId="18">#REF!</definedName>
    <definedName name="SL007Title" localSheetId="17">#REF!</definedName>
    <definedName name="SL007Title" localSheetId="27">#REF!</definedName>
    <definedName name="SL007Title" localSheetId="21">#REF!</definedName>
    <definedName name="SL007Title" localSheetId="15">#REF!</definedName>
    <definedName name="SL007Title" localSheetId="7">#REF!</definedName>
    <definedName name="SL007Title" localSheetId="8">#REF!</definedName>
    <definedName name="SL007Title" localSheetId="1">#REF!</definedName>
    <definedName name="SL007Title" localSheetId="25">#REF!</definedName>
    <definedName name="SL007Title" localSheetId="30">#REF!</definedName>
    <definedName name="SL007Title" localSheetId="4">#REF!</definedName>
    <definedName name="SL007Title" localSheetId="11">#REF!</definedName>
    <definedName name="SL007Title" localSheetId="24">#REF!</definedName>
    <definedName name="SL007Title">#REF!</definedName>
    <definedName name="SL007YTD" localSheetId="29">#REF!</definedName>
    <definedName name="SL007YTD" localSheetId="2">#REF!</definedName>
    <definedName name="SL007YTD" localSheetId="28">#REF!</definedName>
    <definedName name="SL007YTD" localSheetId="16">#REF!</definedName>
    <definedName name="SL007YTD" localSheetId="22">#REF!</definedName>
    <definedName name="SL007YTD" localSheetId="26">#REF!</definedName>
    <definedName name="SL007YTD" localSheetId="20">#REF!</definedName>
    <definedName name="SL007YTD" localSheetId="19">#REF!</definedName>
    <definedName name="SL007YTD" localSheetId="18">#REF!</definedName>
    <definedName name="SL007YTD" localSheetId="17">#REF!</definedName>
    <definedName name="SL007YTD" localSheetId="27">#REF!</definedName>
    <definedName name="SL007YTD" localSheetId="21">#REF!</definedName>
    <definedName name="SL007YTD" localSheetId="15">#REF!</definedName>
    <definedName name="SL007YTD" localSheetId="7">#REF!</definedName>
    <definedName name="SL007YTD" localSheetId="8">#REF!</definedName>
    <definedName name="SL007YTD" localSheetId="1">#REF!</definedName>
    <definedName name="SL007YTD" localSheetId="25">#REF!</definedName>
    <definedName name="SL007YTD" localSheetId="30">#REF!</definedName>
    <definedName name="SL007YTD" localSheetId="4">#REF!</definedName>
    <definedName name="SL007YTD" localSheetId="11">#REF!</definedName>
    <definedName name="SL007YTD" localSheetId="24">#REF!</definedName>
    <definedName name="SL007YTD">#REF!</definedName>
    <definedName name="SL008Month" localSheetId="29">#REF!</definedName>
    <definedName name="SL008Month" localSheetId="2">#REF!</definedName>
    <definedName name="SL008Month" localSheetId="28">#REF!</definedName>
    <definedName name="SL008Month" localSheetId="16">#REF!</definedName>
    <definedName name="SL008Month" localSheetId="22">#REF!</definedName>
    <definedName name="SL008Month" localSheetId="26">#REF!</definedName>
    <definedName name="SL008Month" localSheetId="20">#REF!</definedName>
    <definedName name="SL008Month" localSheetId="19">#REF!</definedName>
    <definedName name="SL008Month" localSheetId="18">#REF!</definedName>
    <definedName name="SL008Month" localSheetId="17">#REF!</definedName>
    <definedName name="SL008Month" localSheetId="27">#REF!</definedName>
    <definedName name="SL008Month" localSheetId="21">#REF!</definedName>
    <definedName name="SL008Month" localSheetId="15">#REF!</definedName>
    <definedName name="SL008Month" localSheetId="7">#REF!</definedName>
    <definedName name="SL008Month" localSheetId="8">#REF!</definedName>
    <definedName name="SL008Month" localSheetId="1">#REF!</definedName>
    <definedName name="SL008Month" localSheetId="25">#REF!</definedName>
    <definedName name="SL008Month" localSheetId="30">#REF!</definedName>
    <definedName name="SL008Month" localSheetId="4">#REF!</definedName>
    <definedName name="SL008Month" localSheetId="11">#REF!</definedName>
    <definedName name="SL008Month" localSheetId="24">#REF!</definedName>
    <definedName name="SL008Month">#REF!</definedName>
    <definedName name="SL008Text" localSheetId="29">#REF!</definedName>
    <definedName name="SL008Text" localSheetId="2">#REF!</definedName>
    <definedName name="SL008Text" localSheetId="28">#REF!</definedName>
    <definedName name="SL008Text" localSheetId="16">#REF!</definedName>
    <definedName name="SL008Text" localSheetId="22">#REF!</definedName>
    <definedName name="SL008Text" localSheetId="26">#REF!</definedName>
    <definedName name="SL008Text" localSheetId="20">#REF!</definedName>
    <definedName name="SL008Text" localSheetId="19">#REF!</definedName>
    <definedName name="SL008Text" localSheetId="18">#REF!</definedName>
    <definedName name="SL008Text" localSheetId="17">#REF!</definedName>
    <definedName name="SL008Text" localSheetId="27">#REF!</definedName>
    <definedName name="SL008Text" localSheetId="21">#REF!</definedName>
    <definedName name="SL008Text" localSheetId="15">#REF!</definedName>
    <definedName name="SL008Text" localSheetId="7">#REF!</definedName>
    <definedName name="SL008Text" localSheetId="8">#REF!</definedName>
    <definedName name="SL008Text" localSheetId="1">#REF!</definedName>
    <definedName name="SL008Text" localSheetId="25">#REF!</definedName>
    <definedName name="SL008Text" localSheetId="30">#REF!</definedName>
    <definedName name="SL008Text" localSheetId="4">#REF!</definedName>
    <definedName name="SL008Text" localSheetId="11">#REF!</definedName>
    <definedName name="SL008Text" localSheetId="24">#REF!</definedName>
    <definedName name="SL008Text">#REF!</definedName>
    <definedName name="SL008Title" localSheetId="29">#REF!</definedName>
    <definedName name="SL008Title" localSheetId="2">#REF!</definedName>
    <definedName name="SL008Title" localSheetId="28">#REF!</definedName>
    <definedName name="SL008Title" localSheetId="16">#REF!</definedName>
    <definedName name="SL008Title" localSheetId="22">#REF!</definedName>
    <definedName name="SL008Title" localSheetId="26">#REF!</definedName>
    <definedName name="SL008Title" localSheetId="20">#REF!</definedName>
    <definedName name="SL008Title" localSheetId="19">#REF!</definedName>
    <definedName name="SL008Title" localSheetId="18">#REF!</definedName>
    <definedName name="SL008Title" localSheetId="17">#REF!</definedName>
    <definedName name="SL008Title" localSheetId="27">#REF!</definedName>
    <definedName name="SL008Title" localSheetId="21">#REF!</definedName>
    <definedName name="SL008Title" localSheetId="15">#REF!</definedName>
    <definedName name="SL008Title" localSheetId="7">#REF!</definedName>
    <definedName name="SL008Title" localSheetId="8">#REF!</definedName>
    <definedName name="SL008Title" localSheetId="1">#REF!</definedName>
    <definedName name="SL008Title" localSheetId="25">#REF!</definedName>
    <definedName name="SL008Title" localSheetId="30">#REF!</definedName>
    <definedName name="SL008Title" localSheetId="4">#REF!</definedName>
    <definedName name="SL008Title" localSheetId="11">#REF!</definedName>
    <definedName name="SL008Title" localSheetId="24">#REF!</definedName>
    <definedName name="SL008Title">#REF!</definedName>
    <definedName name="SL008YTD" localSheetId="29">#REF!</definedName>
    <definedName name="SL008YTD" localSheetId="2">#REF!</definedName>
    <definedName name="SL008YTD" localSheetId="28">#REF!</definedName>
    <definedName name="SL008YTD" localSheetId="16">#REF!</definedName>
    <definedName name="SL008YTD" localSheetId="22">#REF!</definedName>
    <definedName name="SL008YTD" localSheetId="26">#REF!</definedName>
    <definedName name="SL008YTD" localSheetId="20">#REF!</definedName>
    <definedName name="SL008YTD" localSheetId="19">#REF!</definedName>
    <definedName name="SL008YTD" localSheetId="18">#REF!</definedName>
    <definedName name="SL008YTD" localSheetId="17">#REF!</definedName>
    <definedName name="SL008YTD" localSheetId="27">#REF!</definedName>
    <definedName name="SL008YTD" localSheetId="21">#REF!</definedName>
    <definedName name="SL008YTD" localSheetId="15">#REF!</definedName>
    <definedName name="SL008YTD" localSheetId="7">#REF!</definedName>
    <definedName name="SL008YTD" localSheetId="8">#REF!</definedName>
    <definedName name="SL008YTD" localSheetId="1">#REF!</definedName>
    <definedName name="SL008YTD" localSheetId="25">#REF!</definedName>
    <definedName name="SL008YTD" localSheetId="30">#REF!</definedName>
    <definedName name="SL008YTD" localSheetId="4">#REF!</definedName>
    <definedName name="SL008YTD" localSheetId="11">#REF!</definedName>
    <definedName name="SL008YTD" localSheetId="24">#REF!</definedName>
    <definedName name="SL008YTD">#REF!</definedName>
    <definedName name="SL009Month" localSheetId="29">#REF!</definedName>
    <definedName name="SL009Month" localSheetId="2">#REF!</definedName>
    <definedName name="SL009Month" localSheetId="28">#REF!</definedName>
    <definedName name="SL009Month" localSheetId="16">#REF!</definedName>
    <definedName name="SL009Month" localSheetId="22">#REF!</definedName>
    <definedName name="SL009Month" localSheetId="26">#REF!</definedName>
    <definedName name="SL009Month" localSheetId="20">#REF!</definedName>
    <definedName name="SL009Month" localSheetId="19">#REF!</definedName>
    <definedName name="SL009Month" localSheetId="18">#REF!</definedName>
    <definedName name="SL009Month" localSheetId="17">#REF!</definedName>
    <definedName name="SL009Month" localSheetId="27">#REF!</definedName>
    <definedName name="SL009Month" localSheetId="21">#REF!</definedName>
    <definedName name="SL009Month" localSheetId="15">#REF!</definedName>
    <definedName name="SL009Month" localSheetId="7">#REF!</definedName>
    <definedName name="SL009Month" localSheetId="8">#REF!</definedName>
    <definedName name="SL009Month" localSheetId="1">#REF!</definedName>
    <definedName name="SL009Month" localSheetId="25">#REF!</definedName>
    <definedName name="SL009Month" localSheetId="30">#REF!</definedName>
    <definedName name="SL009Month" localSheetId="4">#REF!</definedName>
    <definedName name="SL009Month" localSheetId="11">#REF!</definedName>
    <definedName name="SL009Month" localSheetId="24">#REF!</definedName>
    <definedName name="SL009Month">#REF!</definedName>
    <definedName name="SL009Text" localSheetId="29">#REF!</definedName>
    <definedName name="SL009Text" localSheetId="2">#REF!</definedName>
    <definedName name="SL009Text" localSheetId="28">#REF!</definedName>
    <definedName name="SL009Text" localSheetId="16">#REF!</definedName>
    <definedName name="SL009Text" localSheetId="22">#REF!</definedName>
    <definedName name="SL009Text" localSheetId="26">#REF!</definedName>
    <definedName name="SL009Text" localSheetId="20">#REF!</definedName>
    <definedName name="SL009Text" localSheetId="19">#REF!</definedName>
    <definedName name="SL009Text" localSheetId="18">#REF!</definedName>
    <definedName name="SL009Text" localSheetId="17">#REF!</definedName>
    <definedName name="SL009Text" localSheetId="27">#REF!</definedName>
    <definedName name="SL009Text" localSheetId="21">#REF!</definedName>
    <definedName name="SL009Text" localSheetId="15">#REF!</definedName>
    <definedName name="SL009Text" localSheetId="7">#REF!</definedName>
    <definedName name="SL009Text" localSheetId="8">#REF!</definedName>
    <definedName name="SL009Text" localSheetId="1">#REF!</definedName>
    <definedName name="SL009Text" localSheetId="25">#REF!</definedName>
    <definedName name="SL009Text" localSheetId="30">#REF!</definedName>
    <definedName name="SL009Text" localSheetId="4">#REF!</definedName>
    <definedName name="SL009Text" localSheetId="11">#REF!</definedName>
    <definedName name="SL009Text" localSheetId="24">#REF!</definedName>
    <definedName name="SL009Text">#REF!</definedName>
    <definedName name="SL009Title" localSheetId="29">#REF!</definedName>
    <definedName name="SL009Title" localSheetId="2">#REF!</definedName>
    <definedName name="SL009Title" localSheetId="28">#REF!</definedName>
    <definedName name="SL009Title" localSheetId="16">#REF!</definedName>
    <definedName name="SL009Title" localSheetId="22">#REF!</definedName>
    <definedName name="SL009Title" localSheetId="26">#REF!</definedName>
    <definedName name="SL009Title" localSheetId="20">#REF!</definedName>
    <definedName name="SL009Title" localSheetId="19">#REF!</definedName>
    <definedName name="SL009Title" localSheetId="18">#REF!</definedName>
    <definedName name="SL009Title" localSheetId="17">#REF!</definedName>
    <definedName name="SL009Title" localSheetId="27">#REF!</definedName>
    <definedName name="SL009Title" localSheetId="21">#REF!</definedName>
    <definedName name="SL009Title" localSheetId="15">#REF!</definedName>
    <definedName name="SL009Title" localSheetId="7">#REF!</definedName>
    <definedName name="SL009Title" localSheetId="8">#REF!</definedName>
    <definedName name="SL009Title" localSheetId="1">#REF!</definedName>
    <definedName name="SL009Title" localSheetId="25">#REF!</definedName>
    <definedName name="SL009Title" localSheetId="30">#REF!</definedName>
    <definedName name="SL009Title" localSheetId="4">#REF!</definedName>
    <definedName name="SL009Title" localSheetId="11">#REF!</definedName>
    <definedName name="SL009Title" localSheetId="24">#REF!</definedName>
    <definedName name="SL009Title">#REF!</definedName>
    <definedName name="SL009YTD" localSheetId="29">#REF!</definedName>
    <definedName name="SL009YTD" localSheetId="2">#REF!</definedName>
    <definedName name="SL009YTD" localSheetId="28">#REF!</definedName>
    <definedName name="SL009YTD" localSheetId="16">#REF!</definedName>
    <definedName name="SL009YTD" localSheetId="22">#REF!</definedName>
    <definedName name="SL009YTD" localSheetId="26">#REF!</definedName>
    <definedName name="SL009YTD" localSheetId="20">#REF!</definedName>
    <definedName name="SL009YTD" localSheetId="19">#REF!</definedName>
    <definedName name="SL009YTD" localSheetId="18">#REF!</definedName>
    <definedName name="SL009YTD" localSheetId="17">#REF!</definedName>
    <definedName name="SL009YTD" localSheetId="27">#REF!</definedName>
    <definedName name="SL009YTD" localSheetId="21">#REF!</definedName>
    <definedName name="SL009YTD" localSheetId="15">#REF!</definedName>
    <definedName name="SL009YTD" localSheetId="7">#REF!</definedName>
    <definedName name="SL009YTD" localSheetId="8">#REF!</definedName>
    <definedName name="SL009YTD" localSheetId="1">#REF!</definedName>
    <definedName name="SL009YTD" localSheetId="25">#REF!</definedName>
    <definedName name="SL009YTD" localSheetId="30">#REF!</definedName>
    <definedName name="SL009YTD" localSheetId="4">#REF!</definedName>
    <definedName name="SL009YTD" localSheetId="11">#REF!</definedName>
    <definedName name="SL009YTD" localSheetId="24">#REF!</definedName>
    <definedName name="SL009YTD">#REF!</definedName>
    <definedName name="SL010Text" localSheetId="29">#REF!</definedName>
    <definedName name="SL010Text" localSheetId="2">#REF!</definedName>
    <definedName name="SL010Text" localSheetId="28">#REF!</definedName>
    <definedName name="SL010Text" localSheetId="16">#REF!</definedName>
    <definedName name="SL010Text" localSheetId="22">#REF!</definedName>
    <definedName name="SL010Text" localSheetId="26">#REF!</definedName>
    <definedName name="SL010Text" localSheetId="20">#REF!</definedName>
    <definedName name="SL010Text" localSheetId="19">#REF!</definedName>
    <definedName name="SL010Text" localSheetId="18">#REF!</definedName>
    <definedName name="SL010Text" localSheetId="17">#REF!</definedName>
    <definedName name="SL010Text" localSheetId="27">#REF!</definedName>
    <definedName name="SL010Text" localSheetId="21">#REF!</definedName>
    <definedName name="SL010Text" localSheetId="15">#REF!</definedName>
    <definedName name="SL010Text" localSheetId="7">#REF!</definedName>
    <definedName name="SL010Text" localSheetId="8">#REF!</definedName>
    <definedName name="SL010Text" localSheetId="1">#REF!</definedName>
    <definedName name="SL010Text" localSheetId="25">#REF!</definedName>
    <definedName name="SL010Text" localSheetId="30">#REF!</definedName>
    <definedName name="SL010Text" localSheetId="4">#REF!</definedName>
    <definedName name="SL010Text" localSheetId="11">#REF!</definedName>
    <definedName name="SL010Text" localSheetId="24">#REF!</definedName>
    <definedName name="SL010Text">#REF!</definedName>
    <definedName name="SL010Title" localSheetId="29">#REF!</definedName>
    <definedName name="SL010Title" localSheetId="2">#REF!</definedName>
    <definedName name="SL010Title" localSheetId="28">#REF!</definedName>
    <definedName name="SL010Title" localSheetId="16">#REF!</definedName>
    <definedName name="SL010Title" localSheetId="22">#REF!</definedName>
    <definedName name="SL010Title" localSheetId="26">#REF!</definedName>
    <definedName name="SL010Title" localSheetId="20">#REF!</definedName>
    <definedName name="SL010Title" localSheetId="19">#REF!</definedName>
    <definedName name="SL010Title" localSheetId="18">#REF!</definedName>
    <definedName name="SL010Title" localSheetId="17">#REF!</definedName>
    <definedName name="SL010Title" localSheetId="27">#REF!</definedName>
    <definedName name="SL010Title" localSheetId="21">#REF!</definedName>
    <definedName name="SL010Title" localSheetId="15">#REF!</definedName>
    <definedName name="SL010Title" localSheetId="7">#REF!</definedName>
    <definedName name="SL010Title" localSheetId="8">#REF!</definedName>
    <definedName name="SL010Title" localSheetId="1">#REF!</definedName>
    <definedName name="SL010Title" localSheetId="25">#REF!</definedName>
    <definedName name="SL010Title" localSheetId="30">#REF!</definedName>
    <definedName name="SL010Title" localSheetId="4">#REF!</definedName>
    <definedName name="SL010Title" localSheetId="11">#REF!</definedName>
    <definedName name="SL010Title" localSheetId="24">#REF!</definedName>
    <definedName name="SL010Title">#REF!</definedName>
    <definedName name="SL011Month" localSheetId="29">#REF!</definedName>
    <definedName name="SL011Month" localSheetId="2">#REF!</definedName>
    <definedName name="SL011Month" localSheetId="28">#REF!</definedName>
    <definedName name="SL011Month" localSheetId="16">#REF!</definedName>
    <definedName name="SL011Month" localSheetId="22">#REF!</definedName>
    <definedName name="SL011Month" localSheetId="26">#REF!</definedName>
    <definedName name="SL011Month" localSheetId="20">#REF!</definedName>
    <definedName name="SL011Month" localSheetId="19">#REF!</definedName>
    <definedName name="SL011Month" localSheetId="18">#REF!</definedName>
    <definedName name="SL011Month" localSheetId="17">#REF!</definedName>
    <definedName name="SL011Month" localSheetId="27">#REF!</definedName>
    <definedName name="SL011Month" localSheetId="21">#REF!</definedName>
    <definedName name="SL011Month" localSheetId="15">#REF!</definedName>
    <definedName name="SL011Month" localSheetId="7">#REF!</definedName>
    <definedName name="SL011Month" localSheetId="8">#REF!</definedName>
    <definedName name="SL011Month" localSheetId="1">#REF!</definedName>
    <definedName name="SL011Month" localSheetId="25">#REF!</definedName>
    <definedName name="SL011Month" localSheetId="30">#REF!</definedName>
    <definedName name="SL011Month" localSheetId="4">#REF!</definedName>
    <definedName name="SL011Month" localSheetId="11">#REF!</definedName>
    <definedName name="SL011Month" localSheetId="24">#REF!</definedName>
    <definedName name="SL011Month">#REF!</definedName>
    <definedName name="SL011Text" localSheetId="29">#REF!</definedName>
    <definedName name="SL011Text" localSheetId="2">#REF!</definedName>
    <definedName name="SL011Text" localSheetId="28">#REF!</definedName>
    <definedName name="SL011Text" localSheetId="16">#REF!</definedName>
    <definedName name="SL011Text" localSheetId="22">#REF!</definedName>
    <definedName name="SL011Text" localSheetId="26">#REF!</definedName>
    <definedName name="SL011Text" localSheetId="20">#REF!</definedName>
    <definedName name="SL011Text" localSheetId="19">#REF!</definedName>
    <definedName name="SL011Text" localSheetId="18">#REF!</definedName>
    <definedName name="SL011Text" localSheetId="17">#REF!</definedName>
    <definedName name="SL011Text" localSheetId="27">#REF!</definedName>
    <definedName name="SL011Text" localSheetId="21">#REF!</definedName>
    <definedName name="SL011Text" localSheetId="15">#REF!</definedName>
    <definedName name="SL011Text" localSheetId="7">#REF!</definedName>
    <definedName name="SL011Text" localSheetId="8">#REF!</definedName>
    <definedName name="SL011Text" localSheetId="1">#REF!</definedName>
    <definedName name="SL011Text" localSheetId="25">#REF!</definedName>
    <definedName name="SL011Text" localSheetId="30">#REF!</definedName>
    <definedName name="SL011Text" localSheetId="4">#REF!</definedName>
    <definedName name="SL011Text" localSheetId="11">#REF!</definedName>
    <definedName name="SL011Text" localSheetId="24">#REF!</definedName>
    <definedName name="SL011Text">#REF!</definedName>
    <definedName name="SL011Title" localSheetId="29">#REF!</definedName>
    <definedName name="SL011Title" localSheetId="2">#REF!</definedName>
    <definedName name="SL011Title" localSheetId="28">#REF!</definedName>
    <definedName name="SL011Title" localSheetId="16">#REF!</definedName>
    <definedName name="SL011Title" localSheetId="22">#REF!</definedName>
    <definedName name="SL011Title" localSheetId="26">#REF!</definedName>
    <definedName name="SL011Title" localSheetId="20">#REF!</definedName>
    <definedName name="SL011Title" localSheetId="19">#REF!</definedName>
    <definedName name="SL011Title" localSheetId="18">#REF!</definedName>
    <definedName name="SL011Title" localSheetId="17">#REF!</definedName>
    <definedName name="SL011Title" localSheetId="27">#REF!</definedName>
    <definedName name="SL011Title" localSheetId="21">#REF!</definedName>
    <definedName name="SL011Title" localSheetId="15">#REF!</definedName>
    <definedName name="SL011Title" localSheetId="7">#REF!</definedName>
    <definedName name="SL011Title" localSheetId="8">#REF!</definedName>
    <definedName name="SL011Title" localSheetId="1">#REF!</definedName>
    <definedName name="SL011Title" localSheetId="25">#REF!</definedName>
    <definedName name="SL011Title" localSheetId="30">#REF!</definedName>
    <definedName name="SL011Title" localSheetId="4">#REF!</definedName>
    <definedName name="SL011Title" localSheetId="11">#REF!</definedName>
    <definedName name="SL011Title" localSheetId="24">#REF!</definedName>
    <definedName name="SL011Title">#REF!</definedName>
    <definedName name="SL011YTD" localSheetId="29">#REF!</definedName>
    <definedName name="SL011YTD" localSheetId="2">#REF!</definedName>
    <definedName name="SL011YTD" localSheetId="28">#REF!</definedName>
    <definedName name="SL011YTD" localSheetId="16">#REF!</definedName>
    <definedName name="SL011YTD" localSheetId="22">#REF!</definedName>
    <definedName name="SL011YTD" localSheetId="26">#REF!</definedName>
    <definedName name="SL011YTD" localSheetId="20">#REF!</definedName>
    <definedName name="SL011YTD" localSheetId="19">#REF!</definedName>
    <definedName name="SL011YTD" localSheetId="18">#REF!</definedName>
    <definedName name="SL011YTD" localSheetId="17">#REF!</definedName>
    <definedName name="SL011YTD" localSheetId="27">#REF!</definedName>
    <definedName name="SL011YTD" localSheetId="21">#REF!</definedName>
    <definedName name="SL011YTD" localSheetId="15">#REF!</definedName>
    <definedName name="SL011YTD" localSheetId="7">#REF!</definedName>
    <definedName name="SL011YTD" localSheetId="8">#REF!</definedName>
    <definedName name="SL011YTD" localSheetId="1">#REF!</definedName>
    <definedName name="SL011YTD" localSheetId="25">#REF!</definedName>
    <definedName name="SL011YTD" localSheetId="30">#REF!</definedName>
    <definedName name="SL011YTD" localSheetId="4">#REF!</definedName>
    <definedName name="SL011YTD" localSheetId="11">#REF!</definedName>
    <definedName name="SL011YTD" localSheetId="24">#REF!</definedName>
    <definedName name="SL011YTD">#REF!</definedName>
    <definedName name="SL012Month" localSheetId="29">#REF!</definedName>
    <definedName name="SL012Month" localSheetId="2">#REF!</definedName>
    <definedName name="SL012Month" localSheetId="28">#REF!</definedName>
    <definedName name="SL012Month" localSheetId="16">#REF!</definedName>
    <definedName name="SL012Month" localSheetId="22">#REF!</definedName>
    <definedName name="SL012Month" localSheetId="26">#REF!</definedName>
    <definedName name="SL012Month" localSheetId="20">#REF!</definedName>
    <definedName name="SL012Month" localSheetId="19">#REF!</definedName>
    <definedName name="SL012Month" localSheetId="18">#REF!</definedName>
    <definedName name="SL012Month" localSheetId="17">#REF!</definedName>
    <definedName name="SL012Month" localSheetId="27">#REF!</definedName>
    <definedName name="SL012Month" localSheetId="21">#REF!</definedName>
    <definedName name="SL012Month" localSheetId="15">#REF!</definedName>
    <definedName name="SL012Month" localSheetId="7">#REF!</definedName>
    <definedName name="SL012Month" localSheetId="8">#REF!</definedName>
    <definedName name="SL012Month" localSheetId="1">#REF!</definedName>
    <definedName name="SL012Month" localSheetId="25">#REF!</definedName>
    <definedName name="SL012Month" localSheetId="30">#REF!</definedName>
    <definedName name="SL012Month" localSheetId="4">#REF!</definedName>
    <definedName name="SL012Month" localSheetId="11">#REF!</definedName>
    <definedName name="SL012Month" localSheetId="24">#REF!</definedName>
    <definedName name="SL012Month">#REF!</definedName>
    <definedName name="SL012Text" localSheetId="29">#REF!</definedName>
    <definedName name="SL012Text" localSheetId="2">#REF!</definedName>
    <definedName name="SL012Text" localSheetId="28">#REF!</definedName>
    <definedName name="SL012Text" localSheetId="16">#REF!</definedName>
    <definedName name="SL012Text" localSheetId="22">#REF!</definedName>
    <definedName name="SL012Text" localSheetId="26">#REF!</definedName>
    <definedName name="SL012Text" localSheetId="20">#REF!</definedName>
    <definedName name="SL012Text" localSheetId="19">#REF!</definedName>
    <definedName name="SL012Text" localSheetId="18">#REF!</definedName>
    <definedName name="SL012Text" localSheetId="17">#REF!</definedName>
    <definedName name="SL012Text" localSheetId="27">#REF!</definedName>
    <definedName name="SL012Text" localSheetId="21">#REF!</definedName>
    <definedName name="SL012Text" localSheetId="15">#REF!</definedName>
    <definedName name="SL012Text" localSheetId="7">#REF!</definedName>
    <definedName name="SL012Text" localSheetId="8">#REF!</definedName>
    <definedName name="SL012Text" localSheetId="1">#REF!</definedName>
    <definedName name="SL012Text" localSheetId="25">#REF!</definedName>
    <definedName name="SL012Text" localSheetId="30">#REF!</definedName>
    <definedName name="SL012Text" localSheetId="4">#REF!</definedName>
    <definedName name="SL012Text" localSheetId="11">#REF!</definedName>
    <definedName name="SL012Text" localSheetId="24">#REF!</definedName>
    <definedName name="SL012Text">#REF!</definedName>
    <definedName name="SL012Title" localSheetId="29">#REF!</definedName>
    <definedName name="SL012Title" localSheetId="2">#REF!</definedName>
    <definedName name="SL012Title" localSheetId="28">#REF!</definedName>
    <definedName name="SL012Title" localSheetId="16">#REF!</definedName>
    <definedName name="SL012Title" localSheetId="22">#REF!</definedName>
    <definedName name="SL012Title" localSheetId="26">#REF!</definedName>
    <definedName name="SL012Title" localSheetId="20">#REF!</definedName>
    <definedName name="SL012Title" localSheetId="19">#REF!</definedName>
    <definedName name="SL012Title" localSheetId="18">#REF!</definedName>
    <definedName name="SL012Title" localSheetId="17">#REF!</definedName>
    <definedName name="SL012Title" localSheetId="27">#REF!</definedName>
    <definedName name="SL012Title" localSheetId="21">#REF!</definedName>
    <definedName name="SL012Title" localSheetId="15">#REF!</definedName>
    <definedName name="SL012Title" localSheetId="7">#REF!</definedName>
    <definedName name="SL012Title" localSheetId="8">#REF!</definedName>
    <definedName name="SL012Title" localSheetId="1">#REF!</definedName>
    <definedName name="SL012Title" localSheetId="25">#REF!</definedName>
    <definedName name="SL012Title" localSheetId="30">#REF!</definedName>
    <definedName name="SL012Title" localSheetId="4">#REF!</definedName>
    <definedName name="SL012Title" localSheetId="11">#REF!</definedName>
    <definedName name="SL012Title" localSheetId="24">#REF!</definedName>
    <definedName name="SL012Title">#REF!</definedName>
    <definedName name="SL012YTD" localSheetId="29">#REF!</definedName>
    <definedName name="SL012YTD" localSheetId="2">#REF!</definedName>
    <definedName name="SL012YTD" localSheetId="28">#REF!</definedName>
    <definedName name="SL012YTD" localSheetId="16">#REF!</definedName>
    <definedName name="SL012YTD" localSheetId="22">#REF!</definedName>
    <definedName name="SL012YTD" localSheetId="26">#REF!</definedName>
    <definedName name="SL012YTD" localSheetId="20">#REF!</definedName>
    <definedName name="SL012YTD" localSheetId="19">#REF!</definedName>
    <definedName name="SL012YTD" localSheetId="18">#REF!</definedName>
    <definedName name="SL012YTD" localSheetId="17">#REF!</definedName>
    <definedName name="SL012YTD" localSheetId="27">#REF!</definedName>
    <definedName name="SL012YTD" localSheetId="21">#REF!</definedName>
    <definedName name="SL012YTD" localSheetId="15">#REF!</definedName>
    <definedName name="SL012YTD" localSheetId="7">#REF!</definedName>
    <definedName name="SL012YTD" localSheetId="8">#REF!</definedName>
    <definedName name="SL012YTD" localSheetId="1">#REF!</definedName>
    <definedName name="SL012YTD" localSheetId="25">#REF!</definedName>
    <definedName name="SL012YTD" localSheetId="30">#REF!</definedName>
    <definedName name="SL012YTD" localSheetId="4">#REF!</definedName>
    <definedName name="SL012YTD" localSheetId="11">#REF!</definedName>
    <definedName name="SL012YTD" localSheetId="24">#REF!</definedName>
    <definedName name="SL012YTD">#REF!</definedName>
    <definedName name="SL013Month" localSheetId="29">#REF!</definedName>
    <definedName name="SL013Month" localSheetId="2">#REF!</definedName>
    <definedName name="SL013Month" localSheetId="28">#REF!</definedName>
    <definedName name="SL013Month" localSheetId="16">#REF!</definedName>
    <definedName name="SL013Month" localSheetId="22">#REF!</definedName>
    <definedName name="SL013Month" localSheetId="26">#REF!</definedName>
    <definedName name="SL013Month" localSheetId="20">#REF!</definedName>
    <definedName name="SL013Month" localSheetId="19">#REF!</definedName>
    <definedName name="SL013Month" localSheetId="18">#REF!</definedName>
    <definedName name="SL013Month" localSheetId="17">#REF!</definedName>
    <definedName name="SL013Month" localSheetId="27">#REF!</definedName>
    <definedName name="SL013Month" localSheetId="21">#REF!</definedName>
    <definedName name="SL013Month" localSheetId="15">#REF!</definedName>
    <definedName name="SL013Month" localSheetId="7">#REF!</definedName>
    <definedName name="SL013Month" localSheetId="8">#REF!</definedName>
    <definedName name="SL013Month" localSheetId="1">#REF!</definedName>
    <definedName name="SL013Month" localSheetId="25">#REF!</definedName>
    <definedName name="SL013Month" localSheetId="30">#REF!</definedName>
    <definedName name="SL013Month" localSheetId="4">#REF!</definedName>
    <definedName name="SL013Month" localSheetId="11">#REF!</definedName>
    <definedName name="SL013Month" localSheetId="24">#REF!</definedName>
    <definedName name="SL013Month">#REF!</definedName>
    <definedName name="SL013Text" localSheetId="29">#REF!</definedName>
    <definedName name="SL013Text" localSheetId="2">#REF!</definedName>
    <definedName name="SL013Text" localSheetId="28">#REF!</definedName>
    <definedName name="SL013Text" localSheetId="16">#REF!</definedName>
    <definedName name="SL013Text" localSheetId="22">#REF!</definedName>
    <definedName name="SL013Text" localSheetId="26">#REF!</definedName>
    <definedName name="SL013Text" localSheetId="20">#REF!</definedName>
    <definedName name="SL013Text" localSheetId="19">#REF!</definedName>
    <definedName name="SL013Text" localSheetId="18">#REF!</definedName>
    <definedName name="SL013Text" localSheetId="17">#REF!</definedName>
    <definedName name="SL013Text" localSheetId="27">#REF!</definedName>
    <definedName name="SL013Text" localSheetId="21">#REF!</definedName>
    <definedName name="SL013Text" localSheetId="15">#REF!</definedName>
    <definedName name="SL013Text" localSheetId="7">#REF!</definedName>
    <definedName name="SL013Text" localSheetId="8">#REF!</definedName>
    <definedName name="SL013Text" localSheetId="1">#REF!</definedName>
    <definedName name="SL013Text" localSheetId="25">#REF!</definedName>
    <definedName name="SL013Text" localSheetId="30">#REF!</definedName>
    <definedName name="SL013Text" localSheetId="4">#REF!</definedName>
    <definedName name="SL013Text" localSheetId="11">#REF!</definedName>
    <definedName name="SL013Text" localSheetId="24">#REF!</definedName>
    <definedName name="SL013Text">#REF!</definedName>
    <definedName name="SL013Title" localSheetId="29">#REF!</definedName>
    <definedName name="SL013Title" localSheetId="2">#REF!</definedName>
    <definedName name="SL013Title" localSheetId="28">#REF!</definedName>
    <definedName name="SL013Title" localSheetId="16">#REF!</definedName>
    <definedName name="SL013Title" localSheetId="22">#REF!</definedName>
    <definedName name="SL013Title" localSheetId="26">#REF!</definedName>
    <definedName name="SL013Title" localSheetId="20">#REF!</definedName>
    <definedName name="SL013Title" localSheetId="19">#REF!</definedName>
    <definedName name="SL013Title" localSheetId="18">#REF!</definedName>
    <definedName name="SL013Title" localSheetId="17">#REF!</definedName>
    <definedName name="SL013Title" localSheetId="27">#REF!</definedName>
    <definedName name="SL013Title" localSheetId="21">#REF!</definedName>
    <definedName name="SL013Title" localSheetId="15">#REF!</definedName>
    <definedName name="SL013Title" localSheetId="7">#REF!</definedName>
    <definedName name="SL013Title" localSheetId="8">#REF!</definedName>
    <definedName name="SL013Title" localSheetId="1">#REF!</definedName>
    <definedName name="SL013Title" localSheetId="25">#REF!</definedName>
    <definedName name="SL013Title" localSheetId="30">#REF!</definedName>
    <definedName name="SL013Title" localSheetId="4">#REF!</definedName>
    <definedName name="SL013Title" localSheetId="11">#REF!</definedName>
    <definedName name="SL013Title" localSheetId="24">#REF!</definedName>
    <definedName name="SL013Title">#REF!</definedName>
    <definedName name="SL013YTD" localSheetId="29">#REF!</definedName>
    <definedName name="SL013YTD" localSheetId="2">#REF!</definedName>
    <definedName name="SL013YTD" localSheetId="28">#REF!</definedName>
    <definedName name="SL013YTD" localSheetId="16">#REF!</definedName>
    <definedName name="SL013YTD" localSheetId="22">#REF!</definedName>
    <definedName name="SL013YTD" localSheetId="26">#REF!</definedName>
    <definedName name="SL013YTD" localSheetId="20">#REF!</definedName>
    <definedName name="SL013YTD" localSheetId="19">#REF!</definedName>
    <definedName name="SL013YTD" localSheetId="18">#REF!</definedName>
    <definedName name="SL013YTD" localSheetId="17">#REF!</definedName>
    <definedName name="SL013YTD" localSheetId="27">#REF!</definedName>
    <definedName name="SL013YTD" localSheetId="21">#REF!</definedName>
    <definedName name="SL013YTD" localSheetId="15">#REF!</definedName>
    <definedName name="SL013YTD" localSheetId="7">#REF!</definedName>
    <definedName name="SL013YTD" localSheetId="8">#REF!</definedName>
    <definedName name="SL013YTD" localSheetId="1">#REF!</definedName>
    <definedName name="SL013YTD" localSheetId="25">#REF!</definedName>
    <definedName name="SL013YTD" localSheetId="30">#REF!</definedName>
    <definedName name="SL013YTD" localSheetId="4">#REF!</definedName>
    <definedName name="SL013YTD" localSheetId="11">#REF!</definedName>
    <definedName name="SL013YTD" localSheetId="24">#REF!</definedName>
    <definedName name="SL013YTD">#REF!</definedName>
    <definedName name="SL014Month" localSheetId="29">#REF!</definedName>
    <definedName name="SL014Month" localSheetId="2">#REF!</definedName>
    <definedName name="SL014Month" localSheetId="28">#REF!</definedName>
    <definedName name="SL014Month" localSheetId="16">#REF!</definedName>
    <definedName name="SL014Month" localSheetId="22">#REF!</definedName>
    <definedName name="SL014Month" localSheetId="26">#REF!</definedName>
    <definedName name="SL014Month" localSheetId="20">#REF!</definedName>
    <definedName name="SL014Month" localSheetId="19">#REF!</definedName>
    <definedName name="SL014Month" localSheetId="18">#REF!</definedName>
    <definedName name="SL014Month" localSheetId="17">#REF!</definedName>
    <definedName name="SL014Month" localSheetId="27">#REF!</definedName>
    <definedName name="SL014Month" localSheetId="21">#REF!</definedName>
    <definedName name="SL014Month" localSheetId="15">#REF!</definedName>
    <definedName name="SL014Month" localSheetId="7">#REF!</definedName>
    <definedName name="SL014Month" localSheetId="8">#REF!</definedName>
    <definedName name="SL014Month" localSheetId="1">#REF!</definedName>
    <definedName name="SL014Month" localSheetId="25">#REF!</definedName>
    <definedName name="SL014Month" localSheetId="30">#REF!</definedName>
    <definedName name="SL014Month" localSheetId="4">#REF!</definedName>
    <definedName name="SL014Month" localSheetId="11">#REF!</definedName>
    <definedName name="SL014Month" localSheetId="24">#REF!</definedName>
    <definedName name="SL014Month">#REF!</definedName>
    <definedName name="SL014Text" localSheetId="29">#REF!</definedName>
    <definedName name="SL014Text" localSheetId="2">#REF!</definedName>
    <definedName name="SL014Text" localSheetId="28">#REF!</definedName>
    <definedName name="SL014Text" localSheetId="16">#REF!</definedName>
    <definedName name="SL014Text" localSheetId="22">#REF!</definedName>
    <definedName name="SL014Text" localSheetId="26">#REF!</definedName>
    <definedName name="SL014Text" localSheetId="20">#REF!</definedName>
    <definedName name="SL014Text" localSheetId="19">#REF!</definedName>
    <definedName name="SL014Text" localSheetId="18">#REF!</definedName>
    <definedName name="SL014Text" localSheetId="17">#REF!</definedName>
    <definedName name="SL014Text" localSheetId="27">#REF!</definedName>
    <definedName name="SL014Text" localSheetId="21">#REF!</definedName>
    <definedName name="SL014Text" localSheetId="15">#REF!</definedName>
    <definedName name="SL014Text" localSheetId="7">#REF!</definedName>
    <definedName name="SL014Text" localSheetId="8">#REF!</definedName>
    <definedName name="SL014Text" localSheetId="1">#REF!</definedName>
    <definedName name="SL014Text" localSheetId="25">#REF!</definedName>
    <definedName name="SL014Text" localSheetId="30">#REF!</definedName>
    <definedName name="SL014Text" localSheetId="4">#REF!</definedName>
    <definedName name="SL014Text" localSheetId="11">#REF!</definedName>
    <definedName name="SL014Text" localSheetId="24">#REF!</definedName>
    <definedName name="SL014Text">#REF!</definedName>
    <definedName name="SL014Title" localSheetId="29">#REF!</definedName>
    <definedName name="SL014Title" localSheetId="2">#REF!</definedName>
    <definedName name="SL014Title" localSheetId="28">#REF!</definedName>
    <definedName name="SL014Title" localSheetId="16">#REF!</definedName>
    <definedName name="SL014Title" localSheetId="22">#REF!</definedName>
    <definedName name="SL014Title" localSheetId="26">#REF!</definedName>
    <definedName name="SL014Title" localSheetId="20">#REF!</definedName>
    <definedName name="SL014Title" localSheetId="19">#REF!</definedName>
    <definedName name="SL014Title" localSheetId="18">#REF!</definedName>
    <definedName name="SL014Title" localSheetId="17">#REF!</definedName>
    <definedName name="SL014Title" localSheetId="27">#REF!</definedName>
    <definedName name="SL014Title" localSheetId="21">#REF!</definedName>
    <definedName name="SL014Title" localSheetId="15">#REF!</definedName>
    <definedName name="SL014Title" localSheetId="7">#REF!</definedName>
    <definedName name="SL014Title" localSheetId="8">#REF!</definedName>
    <definedName name="SL014Title" localSheetId="1">#REF!</definedName>
    <definedName name="SL014Title" localSheetId="25">#REF!</definedName>
    <definedName name="SL014Title" localSheetId="30">#REF!</definedName>
    <definedName name="SL014Title" localSheetId="4">#REF!</definedName>
    <definedName name="SL014Title" localSheetId="11">#REF!</definedName>
    <definedName name="SL014Title" localSheetId="24">#REF!</definedName>
    <definedName name="SL014Title">#REF!</definedName>
    <definedName name="SL014YTD" localSheetId="29">#REF!</definedName>
    <definedName name="SL014YTD" localSheetId="2">#REF!</definedName>
    <definedName name="SL014YTD" localSheetId="28">#REF!</definedName>
    <definedName name="SL014YTD" localSheetId="16">#REF!</definedName>
    <definedName name="SL014YTD" localSheetId="22">#REF!</definedName>
    <definedName name="SL014YTD" localSheetId="26">#REF!</definedName>
    <definedName name="SL014YTD" localSheetId="20">#REF!</definedName>
    <definedName name="SL014YTD" localSheetId="19">#REF!</definedName>
    <definedName name="SL014YTD" localSheetId="18">#REF!</definedName>
    <definedName name="SL014YTD" localSheetId="17">#REF!</definedName>
    <definedName name="SL014YTD" localSheetId="27">#REF!</definedName>
    <definedName name="SL014YTD" localSheetId="21">#REF!</definedName>
    <definedName name="SL014YTD" localSheetId="15">#REF!</definedName>
    <definedName name="SL014YTD" localSheetId="7">#REF!</definedName>
    <definedName name="SL014YTD" localSheetId="8">#REF!</definedName>
    <definedName name="SL014YTD" localSheetId="1">#REF!</definedName>
    <definedName name="SL014YTD" localSheetId="25">#REF!</definedName>
    <definedName name="SL014YTD" localSheetId="30">#REF!</definedName>
    <definedName name="SL014YTD" localSheetId="4">#REF!</definedName>
    <definedName name="SL014YTD" localSheetId="11">#REF!</definedName>
    <definedName name="SL014YTD" localSheetId="24">#REF!</definedName>
    <definedName name="SL014YTD">#REF!</definedName>
    <definedName name="SL015Month" localSheetId="29">#REF!</definedName>
    <definedName name="SL015Month" localSheetId="2">#REF!</definedName>
    <definedName name="SL015Month" localSheetId="28">#REF!</definedName>
    <definedName name="SL015Month" localSheetId="16">#REF!</definedName>
    <definedName name="SL015Month" localSheetId="22">#REF!</definedName>
    <definedName name="SL015Month" localSheetId="26">#REF!</definedName>
    <definedName name="SL015Month" localSheetId="20">#REF!</definedName>
    <definedName name="SL015Month" localSheetId="19">#REF!</definedName>
    <definedName name="SL015Month" localSheetId="18">#REF!</definedName>
    <definedName name="SL015Month" localSheetId="17">#REF!</definedName>
    <definedName name="SL015Month" localSheetId="27">#REF!</definedName>
    <definedName name="SL015Month" localSheetId="21">#REF!</definedName>
    <definedName name="SL015Month" localSheetId="15">#REF!</definedName>
    <definedName name="SL015Month" localSheetId="7">#REF!</definedName>
    <definedName name="SL015Month" localSheetId="8">#REF!</definedName>
    <definedName name="SL015Month" localSheetId="1">#REF!</definedName>
    <definedName name="SL015Month" localSheetId="25">#REF!</definedName>
    <definedName name="SL015Month" localSheetId="30">#REF!</definedName>
    <definedName name="SL015Month" localSheetId="4">#REF!</definedName>
    <definedName name="SL015Month" localSheetId="11">#REF!</definedName>
    <definedName name="SL015Month" localSheetId="24">#REF!</definedName>
    <definedName name="SL015Month">#REF!</definedName>
    <definedName name="SL015Text" localSheetId="29">#REF!</definedName>
    <definedName name="SL015Text" localSheetId="2">#REF!</definedName>
    <definedName name="SL015Text" localSheetId="28">#REF!</definedName>
    <definedName name="SL015Text" localSheetId="16">#REF!</definedName>
    <definedName name="SL015Text" localSheetId="22">#REF!</definedName>
    <definedName name="SL015Text" localSheetId="26">#REF!</definedName>
    <definedName name="SL015Text" localSheetId="20">#REF!</definedName>
    <definedName name="SL015Text" localSheetId="19">#REF!</definedName>
    <definedName name="SL015Text" localSheetId="18">#REF!</definedName>
    <definedName name="SL015Text" localSheetId="17">#REF!</definedName>
    <definedName name="SL015Text" localSheetId="27">#REF!</definedName>
    <definedName name="SL015Text" localSheetId="21">#REF!</definedName>
    <definedName name="SL015Text" localSheetId="15">#REF!</definedName>
    <definedName name="SL015Text" localSheetId="7">#REF!</definedName>
    <definedName name="SL015Text" localSheetId="8">#REF!</definedName>
    <definedName name="SL015Text" localSheetId="1">#REF!</definedName>
    <definedName name="SL015Text" localSheetId="25">#REF!</definedName>
    <definedName name="SL015Text" localSheetId="30">#REF!</definedName>
    <definedName name="SL015Text" localSheetId="4">#REF!</definedName>
    <definedName name="SL015Text" localSheetId="11">#REF!</definedName>
    <definedName name="SL015Text" localSheetId="24">#REF!</definedName>
    <definedName name="SL015Text">#REF!</definedName>
    <definedName name="SL015Title" localSheetId="29">#REF!</definedName>
    <definedName name="SL015Title" localSheetId="2">#REF!</definedName>
    <definedName name="SL015Title" localSheetId="28">#REF!</definedName>
    <definedName name="SL015Title" localSheetId="16">#REF!</definedName>
    <definedName name="SL015Title" localSheetId="22">#REF!</definedName>
    <definedName name="SL015Title" localSheetId="26">#REF!</definedName>
    <definedName name="SL015Title" localSheetId="20">#REF!</definedName>
    <definedName name="SL015Title" localSheetId="19">#REF!</definedName>
    <definedName name="SL015Title" localSheetId="18">#REF!</definedName>
    <definedName name="SL015Title" localSheetId="17">#REF!</definedName>
    <definedName name="SL015Title" localSheetId="27">#REF!</definedName>
    <definedName name="SL015Title" localSheetId="21">#REF!</definedName>
    <definedName name="SL015Title" localSheetId="15">#REF!</definedName>
    <definedName name="SL015Title" localSheetId="7">#REF!</definedName>
    <definedName name="SL015Title" localSheetId="8">#REF!</definedName>
    <definedName name="SL015Title" localSheetId="1">#REF!</definedName>
    <definedName name="SL015Title" localSheetId="25">#REF!</definedName>
    <definedName name="SL015Title" localSheetId="30">#REF!</definedName>
    <definedName name="SL015Title" localSheetId="4">#REF!</definedName>
    <definedName name="SL015Title" localSheetId="11">#REF!</definedName>
    <definedName name="SL015Title" localSheetId="24">#REF!</definedName>
    <definedName name="SL015Title">#REF!</definedName>
    <definedName name="SL015YTD" localSheetId="29">#REF!</definedName>
    <definedName name="SL015YTD" localSheetId="2">#REF!</definedName>
    <definedName name="SL015YTD" localSheetId="28">#REF!</definedName>
    <definedName name="SL015YTD" localSheetId="16">#REF!</definedName>
    <definedName name="SL015YTD" localSheetId="22">#REF!</definedName>
    <definedName name="SL015YTD" localSheetId="26">#REF!</definedName>
    <definedName name="SL015YTD" localSheetId="20">#REF!</definedName>
    <definedName name="SL015YTD" localSheetId="19">#REF!</definedName>
    <definedName name="SL015YTD" localSheetId="18">#REF!</definedName>
    <definedName name="SL015YTD" localSheetId="17">#REF!</definedName>
    <definedName name="SL015YTD" localSheetId="27">#REF!</definedName>
    <definedName name="SL015YTD" localSheetId="21">#REF!</definedName>
    <definedName name="SL015YTD" localSheetId="15">#REF!</definedName>
    <definedName name="SL015YTD" localSheetId="7">#REF!</definedName>
    <definedName name="SL015YTD" localSheetId="8">#REF!</definedName>
    <definedName name="SL015YTD" localSheetId="1">#REF!</definedName>
    <definedName name="SL015YTD" localSheetId="25">#REF!</definedName>
    <definedName name="SL015YTD" localSheetId="30">#REF!</definedName>
    <definedName name="SL015YTD" localSheetId="4">#REF!</definedName>
    <definedName name="SL015YTD" localSheetId="11">#REF!</definedName>
    <definedName name="SL015YTD" localSheetId="24">#REF!</definedName>
    <definedName name="SL015YTD">#REF!</definedName>
    <definedName name="SL016Text" localSheetId="29">#REF!</definedName>
    <definedName name="SL016Text" localSheetId="2">#REF!</definedName>
    <definedName name="SL016Text" localSheetId="28">#REF!</definedName>
    <definedName name="SL016Text" localSheetId="16">#REF!</definedName>
    <definedName name="SL016Text" localSheetId="22">#REF!</definedName>
    <definedName name="SL016Text" localSheetId="26">#REF!</definedName>
    <definedName name="SL016Text" localSheetId="20">#REF!</definedName>
    <definedName name="SL016Text" localSheetId="19">#REF!</definedName>
    <definedName name="SL016Text" localSheetId="18">#REF!</definedName>
    <definedName name="SL016Text" localSheetId="17">#REF!</definedName>
    <definedName name="SL016Text" localSheetId="27">#REF!</definedName>
    <definedName name="SL016Text" localSheetId="21">#REF!</definedName>
    <definedName name="SL016Text" localSheetId="15">#REF!</definedName>
    <definedName name="SL016Text" localSheetId="7">#REF!</definedName>
    <definedName name="SL016Text" localSheetId="8">#REF!</definedName>
    <definedName name="SL016Text" localSheetId="1">#REF!</definedName>
    <definedName name="SL016Text" localSheetId="25">#REF!</definedName>
    <definedName name="SL016Text" localSheetId="30">#REF!</definedName>
    <definedName name="SL016Text" localSheetId="4">#REF!</definedName>
    <definedName name="SL016Text" localSheetId="11">#REF!</definedName>
    <definedName name="SL016Text" localSheetId="24">#REF!</definedName>
    <definedName name="SL016Text">#REF!</definedName>
    <definedName name="SL016Title" localSheetId="29">#REF!</definedName>
    <definedName name="SL016Title" localSheetId="2">#REF!</definedName>
    <definedName name="SL016Title" localSheetId="28">#REF!</definedName>
    <definedName name="SL016Title" localSheetId="16">#REF!</definedName>
    <definedName name="SL016Title" localSheetId="22">#REF!</definedName>
    <definedName name="SL016Title" localSheetId="26">#REF!</definedName>
    <definedName name="SL016Title" localSheetId="20">#REF!</definedName>
    <definedName name="SL016Title" localSheetId="19">#REF!</definedName>
    <definedName name="SL016Title" localSheetId="18">#REF!</definedName>
    <definedName name="SL016Title" localSheetId="17">#REF!</definedName>
    <definedName name="SL016Title" localSheetId="27">#REF!</definedName>
    <definedName name="SL016Title" localSheetId="21">#REF!</definedName>
    <definedName name="SL016Title" localSheetId="15">#REF!</definedName>
    <definedName name="SL016Title" localSheetId="7">#REF!</definedName>
    <definedName name="SL016Title" localSheetId="8">#REF!</definedName>
    <definedName name="SL016Title" localSheetId="1">#REF!</definedName>
    <definedName name="SL016Title" localSheetId="25">#REF!</definedName>
    <definedName name="SL016Title" localSheetId="30">#REF!</definedName>
    <definedName name="SL016Title" localSheetId="4">#REF!</definedName>
    <definedName name="SL016Title" localSheetId="11">#REF!</definedName>
    <definedName name="SL016Title" localSheetId="24">#REF!</definedName>
    <definedName name="SL016Title">#REF!</definedName>
    <definedName name="SL017Text" localSheetId="29">#REF!</definedName>
    <definedName name="SL017Text" localSheetId="2">#REF!</definedName>
    <definedName name="SL017Text" localSheetId="28">#REF!</definedName>
    <definedName name="SL017Text" localSheetId="16">#REF!</definedName>
    <definedName name="SL017Text" localSheetId="22">#REF!</definedName>
    <definedName name="SL017Text" localSheetId="26">#REF!</definedName>
    <definedName name="SL017Text" localSheetId="20">#REF!</definedName>
    <definedName name="SL017Text" localSheetId="19">#REF!</definedName>
    <definedName name="SL017Text" localSheetId="18">#REF!</definedName>
    <definedName name="SL017Text" localSheetId="17">#REF!</definedName>
    <definedName name="SL017Text" localSheetId="27">#REF!</definedName>
    <definedName name="SL017Text" localSheetId="21">#REF!</definedName>
    <definedName name="SL017Text" localSheetId="15">#REF!</definedName>
    <definedName name="SL017Text" localSheetId="7">#REF!</definedName>
    <definedName name="SL017Text" localSheetId="8">#REF!</definedName>
    <definedName name="SL017Text" localSheetId="1">#REF!</definedName>
    <definedName name="SL017Text" localSheetId="25">#REF!</definedName>
    <definedName name="SL017Text" localSheetId="30">#REF!</definedName>
    <definedName name="SL017Text" localSheetId="4">#REF!</definedName>
    <definedName name="SL017Text" localSheetId="11">#REF!</definedName>
    <definedName name="SL017Text" localSheetId="24">#REF!</definedName>
    <definedName name="SL017Text">#REF!</definedName>
    <definedName name="SL017Title" localSheetId="29">#REF!</definedName>
    <definedName name="SL017Title" localSheetId="2">#REF!</definedName>
    <definedName name="SL017Title" localSheetId="28">#REF!</definedName>
    <definedName name="SL017Title" localSheetId="16">#REF!</definedName>
    <definedName name="SL017Title" localSheetId="22">#REF!</definedName>
    <definedName name="SL017Title" localSheetId="26">#REF!</definedName>
    <definedName name="SL017Title" localSheetId="20">#REF!</definedName>
    <definedName name="SL017Title" localSheetId="19">#REF!</definedName>
    <definedName name="SL017Title" localSheetId="18">#REF!</definedName>
    <definedName name="SL017Title" localSheetId="17">#REF!</definedName>
    <definedName name="SL017Title" localSheetId="27">#REF!</definedName>
    <definedName name="SL017Title" localSheetId="21">#REF!</definedName>
    <definedName name="SL017Title" localSheetId="15">#REF!</definedName>
    <definedName name="SL017Title" localSheetId="7">#REF!</definedName>
    <definedName name="SL017Title" localSheetId="8">#REF!</definedName>
    <definedName name="SL017Title" localSheetId="1">#REF!</definedName>
    <definedName name="SL017Title" localSheetId="25">#REF!</definedName>
    <definedName name="SL017Title" localSheetId="30">#REF!</definedName>
    <definedName name="SL017Title" localSheetId="4">#REF!</definedName>
    <definedName name="SL017Title" localSheetId="11">#REF!</definedName>
    <definedName name="SL017Title" localSheetId="24">#REF!</definedName>
    <definedName name="SL017Title">#REF!</definedName>
    <definedName name="SL018Month" localSheetId="29">#REF!</definedName>
    <definedName name="SL018Month" localSheetId="2">#REF!</definedName>
    <definedName name="SL018Month" localSheetId="28">#REF!</definedName>
    <definedName name="SL018Month" localSheetId="16">#REF!</definedName>
    <definedName name="SL018Month" localSheetId="22">#REF!</definedName>
    <definedName name="SL018Month" localSheetId="26">#REF!</definedName>
    <definedName name="SL018Month" localSheetId="20">#REF!</definedName>
    <definedName name="SL018Month" localSheetId="19">#REF!</definedName>
    <definedName name="SL018Month" localSheetId="18">#REF!</definedName>
    <definedName name="SL018Month" localSheetId="17">#REF!</definedName>
    <definedName name="SL018Month" localSheetId="27">#REF!</definedName>
    <definedName name="SL018Month" localSheetId="21">#REF!</definedName>
    <definedName name="SL018Month" localSheetId="15">#REF!</definedName>
    <definedName name="SL018Month" localSheetId="7">#REF!</definedName>
    <definedName name="SL018Month" localSheetId="8">#REF!</definedName>
    <definedName name="SL018Month" localSheetId="1">#REF!</definedName>
    <definedName name="SL018Month" localSheetId="25">#REF!</definedName>
    <definedName name="SL018Month" localSheetId="30">#REF!</definedName>
    <definedName name="SL018Month" localSheetId="4">#REF!</definedName>
    <definedName name="SL018Month" localSheetId="11">#REF!</definedName>
    <definedName name="SL018Month" localSheetId="24">#REF!</definedName>
    <definedName name="SL018Month">#REF!</definedName>
    <definedName name="SL018Text" localSheetId="29">#REF!</definedName>
    <definedName name="SL018Text" localSheetId="2">#REF!</definedName>
    <definedName name="SL018Text" localSheetId="28">#REF!</definedName>
    <definedName name="SL018Text" localSheetId="16">#REF!</definedName>
    <definedName name="SL018Text" localSheetId="22">#REF!</definedName>
    <definedName name="SL018Text" localSheetId="26">#REF!</definedName>
    <definedName name="SL018Text" localSheetId="20">#REF!</definedName>
    <definedName name="SL018Text" localSheetId="19">#REF!</definedName>
    <definedName name="SL018Text" localSheetId="18">#REF!</definedName>
    <definedName name="SL018Text" localSheetId="17">#REF!</definedName>
    <definedName name="SL018Text" localSheetId="27">#REF!</definedName>
    <definedName name="SL018Text" localSheetId="21">#REF!</definedName>
    <definedName name="SL018Text" localSheetId="15">#REF!</definedName>
    <definedName name="SL018Text" localSheetId="7">#REF!</definedName>
    <definedName name="SL018Text" localSheetId="8">#REF!</definedName>
    <definedName name="SL018Text" localSheetId="1">#REF!</definedName>
    <definedName name="SL018Text" localSheetId="25">#REF!</definedName>
    <definedName name="SL018Text" localSheetId="30">#REF!</definedName>
    <definedName name="SL018Text" localSheetId="4">#REF!</definedName>
    <definedName name="SL018Text" localSheetId="11">#REF!</definedName>
    <definedName name="SL018Text" localSheetId="24">#REF!</definedName>
    <definedName name="SL018Text">#REF!</definedName>
    <definedName name="SL018Title" localSheetId="29">#REF!</definedName>
    <definedName name="SL018Title" localSheetId="2">#REF!</definedName>
    <definedName name="SL018Title" localSheetId="28">#REF!</definedName>
    <definedName name="SL018Title" localSheetId="16">#REF!</definedName>
    <definedName name="SL018Title" localSheetId="22">#REF!</definedName>
    <definedName name="SL018Title" localSheetId="26">#REF!</definedName>
    <definedName name="SL018Title" localSheetId="20">#REF!</definedName>
    <definedName name="SL018Title" localSheetId="19">#REF!</definedName>
    <definedName name="SL018Title" localSheetId="18">#REF!</definedName>
    <definedName name="SL018Title" localSheetId="17">#REF!</definedName>
    <definedName name="SL018Title" localSheetId="27">#REF!</definedName>
    <definedName name="SL018Title" localSheetId="21">#REF!</definedName>
    <definedName name="SL018Title" localSheetId="15">#REF!</definedName>
    <definedName name="SL018Title" localSheetId="7">#REF!</definedName>
    <definedName name="SL018Title" localSheetId="8">#REF!</definedName>
    <definedName name="SL018Title" localSheetId="1">#REF!</definedName>
    <definedName name="SL018Title" localSheetId="25">#REF!</definedName>
    <definedName name="SL018Title" localSheetId="30">#REF!</definedName>
    <definedName name="SL018Title" localSheetId="4">#REF!</definedName>
    <definedName name="SL018Title" localSheetId="11">#REF!</definedName>
    <definedName name="SL018Title" localSheetId="24">#REF!</definedName>
    <definedName name="SL018Title">#REF!</definedName>
    <definedName name="SL018YTD" localSheetId="29">#REF!</definedName>
    <definedName name="SL018YTD" localSheetId="2">#REF!</definedName>
    <definedName name="SL018YTD" localSheetId="28">#REF!</definedName>
    <definedName name="SL018YTD" localSheetId="16">#REF!</definedName>
    <definedName name="SL018YTD" localSheetId="22">#REF!</definedName>
    <definedName name="SL018YTD" localSheetId="26">#REF!</definedName>
    <definedName name="SL018YTD" localSheetId="20">#REF!</definedName>
    <definedName name="SL018YTD" localSheetId="19">#REF!</definedName>
    <definedName name="SL018YTD" localSheetId="18">#REF!</definedName>
    <definedName name="SL018YTD" localSheetId="17">#REF!</definedName>
    <definedName name="SL018YTD" localSheetId="27">#REF!</definedName>
    <definedName name="SL018YTD" localSheetId="21">#REF!</definedName>
    <definedName name="SL018YTD" localSheetId="15">#REF!</definedName>
    <definedName name="SL018YTD" localSheetId="7">#REF!</definedName>
    <definedName name="SL018YTD" localSheetId="8">#REF!</definedName>
    <definedName name="SL018YTD" localSheetId="1">#REF!</definedName>
    <definedName name="SL018YTD" localSheetId="25">#REF!</definedName>
    <definedName name="SL018YTD" localSheetId="30">#REF!</definedName>
    <definedName name="SL018YTD" localSheetId="4">#REF!</definedName>
    <definedName name="SL018YTD" localSheetId="11">#REF!</definedName>
    <definedName name="SL018YTD" localSheetId="24">#REF!</definedName>
    <definedName name="SL018YTD">#REF!</definedName>
    <definedName name="SL019Month" localSheetId="29">#REF!</definedName>
    <definedName name="SL019Month" localSheetId="2">#REF!</definedName>
    <definedName name="SL019Month" localSheetId="28">#REF!</definedName>
    <definedName name="SL019Month" localSheetId="16">#REF!</definedName>
    <definedName name="SL019Month" localSheetId="22">#REF!</definedName>
    <definedName name="SL019Month" localSheetId="26">#REF!</definedName>
    <definedName name="SL019Month" localSheetId="20">#REF!</definedName>
    <definedName name="SL019Month" localSheetId="19">#REF!</definedName>
    <definedName name="SL019Month" localSheetId="18">#REF!</definedName>
    <definedName name="SL019Month" localSheetId="17">#REF!</definedName>
    <definedName name="SL019Month" localSheetId="27">#REF!</definedName>
    <definedName name="SL019Month" localSheetId="21">#REF!</definedName>
    <definedName name="SL019Month" localSheetId="15">#REF!</definedName>
    <definedName name="SL019Month" localSheetId="7">#REF!</definedName>
    <definedName name="SL019Month" localSheetId="8">#REF!</definedName>
    <definedName name="SL019Month" localSheetId="1">#REF!</definedName>
    <definedName name="SL019Month" localSheetId="25">#REF!</definedName>
    <definedName name="SL019Month" localSheetId="30">#REF!</definedName>
    <definedName name="SL019Month" localSheetId="4">#REF!</definedName>
    <definedName name="SL019Month" localSheetId="11">#REF!</definedName>
    <definedName name="SL019Month" localSheetId="24">#REF!</definedName>
    <definedName name="SL019Month">#REF!</definedName>
    <definedName name="SL019Text" localSheetId="29">#REF!</definedName>
    <definedName name="SL019Text" localSheetId="2">#REF!</definedName>
    <definedName name="SL019Text" localSheetId="28">#REF!</definedName>
    <definedName name="SL019Text" localSheetId="16">#REF!</definedName>
    <definedName name="SL019Text" localSheetId="22">#REF!</definedName>
    <definedName name="SL019Text" localSheetId="26">#REF!</definedName>
    <definedName name="SL019Text" localSheetId="20">#REF!</definedName>
    <definedName name="SL019Text" localSheetId="19">#REF!</definedName>
    <definedName name="SL019Text" localSheetId="18">#REF!</definedName>
    <definedName name="SL019Text" localSheetId="17">#REF!</definedName>
    <definedName name="SL019Text" localSheetId="27">#REF!</definedName>
    <definedName name="SL019Text" localSheetId="21">#REF!</definedName>
    <definedName name="SL019Text" localSheetId="15">#REF!</definedName>
    <definedName name="SL019Text" localSheetId="7">#REF!</definedName>
    <definedName name="SL019Text" localSheetId="8">#REF!</definedName>
    <definedName name="SL019Text" localSheetId="1">#REF!</definedName>
    <definedName name="SL019Text" localSheetId="25">#REF!</definedName>
    <definedName name="SL019Text" localSheetId="30">#REF!</definedName>
    <definedName name="SL019Text" localSheetId="4">#REF!</definedName>
    <definedName name="SL019Text" localSheetId="11">#REF!</definedName>
    <definedName name="SL019Text" localSheetId="24">#REF!</definedName>
    <definedName name="SL019Text">#REF!</definedName>
    <definedName name="SL019Title" localSheetId="29">#REF!</definedName>
    <definedName name="SL019Title" localSheetId="2">#REF!</definedName>
    <definedName name="SL019Title" localSheetId="28">#REF!</definedName>
    <definedName name="SL019Title" localSheetId="16">#REF!</definedName>
    <definedName name="SL019Title" localSheetId="22">#REF!</definedName>
    <definedName name="SL019Title" localSheetId="26">#REF!</definedName>
    <definedName name="SL019Title" localSheetId="20">#REF!</definedName>
    <definedName name="SL019Title" localSheetId="19">#REF!</definedName>
    <definedName name="SL019Title" localSheetId="18">#REF!</definedName>
    <definedName name="SL019Title" localSheetId="17">#REF!</definedName>
    <definedName name="SL019Title" localSheetId="27">#REF!</definedName>
    <definedName name="SL019Title" localSheetId="21">#REF!</definedName>
    <definedName name="SL019Title" localSheetId="15">#REF!</definedName>
    <definedName name="SL019Title" localSheetId="7">#REF!</definedName>
    <definedName name="SL019Title" localSheetId="8">#REF!</definedName>
    <definedName name="SL019Title" localSheetId="1">#REF!</definedName>
    <definedName name="SL019Title" localSheetId="25">#REF!</definedName>
    <definedName name="SL019Title" localSheetId="30">#REF!</definedName>
    <definedName name="SL019Title" localSheetId="4">#REF!</definedName>
    <definedName name="SL019Title" localSheetId="11">#REF!</definedName>
    <definedName name="SL019Title" localSheetId="24">#REF!</definedName>
    <definedName name="SL019Title">#REF!</definedName>
    <definedName name="SL019YTD" localSheetId="29">#REF!</definedName>
    <definedName name="SL019YTD" localSheetId="2">#REF!</definedName>
    <definedName name="SL019YTD" localSheetId="28">#REF!</definedName>
    <definedName name="SL019YTD" localSheetId="16">#REF!</definedName>
    <definedName name="SL019YTD" localSheetId="22">#REF!</definedName>
    <definedName name="SL019YTD" localSheetId="26">#REF!</definedName>
    <definedName name="SL019YTD" localSheetId="20">#REF!</definedName>
    <definedName name="SL019YTD" localSheetId="19">#REF!</definedName>
    <definedName name="SL019YTD" localSheetId="18">#REF!</definedName>
    <definedName name="SL019YTD" localSheetId="17">#REF!</definedName>
    <definedName name="SL019YTD" localSheetId="27">#REF!</definedName>
    <definedName name="SL019YTD" localSheetId="21">#REF!</definedName>
    <definedName name="SL019YTD" localSheetId="15">#REF!</definedName>
    <definedName name="SL019YTD" localSheetId="7">#REF!</definedName>
    <definedName name="SL019YTD" localSheetId="8">#REF!</definedName>
    <definedName name="SL019YTD" localSheetId="1">#REF!</definedName>
    <definedName name="SL019YTD" localSheetId="25">#REF!</definedName>
    <definedName name="SL019YTD" localSheetId="30">#REF!</definedName>
    <definedName name="SL019YTD" localSheetId="4">#REF!</definedName>
    <definedName name="SL019YTD" localSheetId="11">#REF!</definedName>
    <definedName name="SL019YTD" localSheetId="24">#REF!</definedName>
    <definedName name="SL019YTD">#REF!</definedName>
    <definedName name="SL021Month" localSheetId="29">#REF!</definedName>
    <definedName name="SL021Month" localSheetId="2">#REF!</definedName>
    <definedName name="SL021Month" localSheetId="28">#REF!</definedName>
    <definedName name="SL021Month" localSheetId="16">#REF!</definedName>
    <definedName name="SL021Month" localSheetId="22">#REF!</definedName>
    <definedName name="SL021Month" localSheetId="26">#REF!</definedName>
    <definedName name="SL021Month" localSheetId="20">#REF!</definedName>
    <definedName name="SL021Month" localSheetId="19">#REF!</definedName>
    <definedName name="SL021Month" localSheetId="18">#REF!</definedName>
    <definedName name="SL021Month" localSheetId="17">#REF!</definedName>
    <definedName name="SL021Month" localSheetId="27">#REF!</definedName>
    <definedName name="SL021Month" localSheetId="21">#REF!</definedName>
    <definedName name="SL021Month" localSheetId="15">#REF!</definedName>
    <definedName name="SL021Month" localSheetId="7">#REF!</definedName>
    <definedName name="SL021Month" localSheetId="8">#REF!</definedName>
    <definedName name="SL021Month" localSheetId="1">#REF!</definedName>
    <definedName name="SL021Month" localSheetId="25">#REF!</definedName>
    <definedName name="SL021Month" localSheetId="30">#REF!</definedName>
    <definedName name="SL021Month" localSheetId="4">#REF!</definedName>
    <definedName name="SL021Month" localSheetId="11">#REF!</definedName>
    <definedName name="SL021Month" localSheetId="24">#REF!</definedName>
    <definedName name="SL021Month">#REF!</definedName>
    <definedName name="SL021Text" localSheetId="29">#REF!</definedName>
    <definedName name="SL021Text" localSheetId="2">#REF!</definedName>
    <definedName name="SL021Text" localSheetId="28">#REF!</definedName>
    <definedName name="SL021Text" localSheetId="16">#REF!</definedName>
    <definedName name="SL021Text" localSheetId="22">#REF!</definedName>
    <definedName name="SL021Text" localSheetId="26">#REF!</definedName>
    <definedName name="SL021Text" localSheetId="20">#REF!</definedName>
    <definedName name="SL021Text" localSheetId="19">#REF!</definedName>
    <definedName name="SL021Text" localSheetId="18">#REF!</definedName>
    <definedName name="SL021Text" localSheetId="17">#REF!</definedName>
    <definedName name="SL021Text" localSheetId="27">#REF!</definedName>
    <definedName name="SL021Text" localSheetId="21">#REF!</definedName>
    <definedName name="SL021Text" localSheetId="15">#REF!</definedName>
    <definedName name="SL021Text" localSheetId="7">#REF!</definedName>
    <definedName name="SL021Text" localSheetId="8">#REF!</definedName>
    <definedName name="SL021Text" localSheetId="1">#REF!</definedName>
    <definedName name="SL021Text" localSheetId="25">#REF!</definedName>
    <definedName name="SL021Text" localSheetId="30">#REF!</definedName>
    <definedName name="SL021Text" localSheetId="4">#REF!</definedName>
    <definedName name="SL021Text" localSheetId="11">#REF!</definedName>
    <definedName name="SL021Text" localSheetId="24">#REF!</definedName>
    <definedName name="SL021Text">#REF!</definedName>
    <definedName name="SL021Title" localSheetId="29">#REF!</definedName>
    <definedName name="SL021Title" localSheetId="2">#REF!</definedName>
    <definedName name="SL021Title" localSheetId="28">#REF!</definedName>
    <definedName name="SL021Title" localSheetId="16">#REF!</definedName>
    <definedName name="SL021Title" localSheetId="22">#REF!</definedName>
    <definedName name="SL021Title" localSheetId="26">#REF!</definedName>
    <definedName name="SL021Title" localSheetId="20">#REF!</definedName>
    <definedName name="SL021Title" localSheetId="19">#REF!</definedName>
    <definedName name="SL021Title" localSheetId="18">#REF!</definedName>
    <definedName name="SL021Title" localSheetId="17">#REF!</definedName>
    <definedName name="SL021Title" localSheetId="27">#REF!</definedName>
    <definedName name="SL021Title" localSheetId="21">#REF!</definedName>
    <definedName name="SL021Title" localSheetId="15">#REF!</definedName>
    <definedName name="SL021Title" localSheetId="7">#REF!</definedName>
    <definedName name="SL021Title" localSheetId="8">#REF!</definedName>
    <definedName name="SL021Title" localSheetId="1">#REF!</definedName>
    <definedName name="SL021Title" localSheetId="25">#REF!</definedName>
    <definedName name="SL021Title" localSheetId="30">#REF!</definedName>
    <definedName name="SL021Title" localSheetId="4">#REF!</definedName>
    <definedName name="SL021Title" localSheetId="11">#REF!</definedName>
    <definedName name="SL021Title" localSheetId="24">#REF!</definedName>
    <definedName name="SL021Title">#REF!</definedName>
    <definedName name="SL021YTD" localSheetId="29">#REF!</definedName>
    <definedName name="SL021YTD" localSheetId="2">#REF!</definedName>
    <definedName name="SL021YTD" localSheetId="28">#REF!</definedName>
    <definedName name="SL021YTD" localSheetId="16">#REF!</definedName>
    <definedName name="SL021YTD" localSheetId="22">#REF!</definedName>
    <definedName name="SL021YTD" localSheetId="26">#REF!</definedName>
    <definedName name="SL021YTD" localSheetId="20">#REF!</definedName>
    <definedName name="SL021YTD" localSheetId="19">#REF!</definedName>
    <definedName name="SL021YTD" localSheetId="18">#REF!</definedName>
    <definedName name="SL021YTD" localSheetId="17">#REF!</definedName>
    <definedName name="SL021YTD" localSheetId="27">#REF!</definedName>
    <definedName name="SL021YTD" localSheetId="21">#REF!</definedName>
    <definedName name="SL021YTD" localSheetId="15">#REF!</definedName>
    <definedName name="SL021YTD" localSheetId="7">#REF!</definedName>
    <definedName name="SL021YTD" localSheetId="8">#REF!</definedName>
    <definedName name="SL021YTD" localSheetId="1">#REF!</definedName>
    <definedName name="SL021YTD" localSheetId="25">#REF!</definedName>
    <definedName name="SL021YTD" localSheetId="30">#REF!</definedName>
    <definedName name="SL021YTD" localSheetId="4">#REF!</definedName>
    <definedName name="SL021YTD" localSheetId="11">#REF!</definedName>
    <definedName name="SL021YTD" localSheetId="24">#REF!</definedName>
    <definedName name="SL021YTD">#REF!</definedName>
    <definedName name="SL022Month" localSheetId="29">#REF!</definedName>
    <definedName name="SL022Month" localSheetId="2">#REF!</definedName>
    <definedName name="SL022Month" localSheetId="28">#REF!</definedName>
    <definedName name="SL022Month" localSheetId="16">#REF!</definedName>
    <definedName name="SL022Month" localSheetId="22">#REF!</definedName>
    <definedName name="SL022Month" localSheetId="26">#REF!</definedName>
    <definedName name="SL022Month" localSheetId="20">#REF!</definedName>
    <definedName name="SL022Month" localSheetId="19">#REF!</definedName>
    <definedName name="SL022Month" localSheetId="18">#REF!</definedName>
    <definedName name="SL022Month" localSheetId="17">#REF!</definedName>
    <definedName name="SL022Month" localSheetId="27">#REF!</definedName>
    <definedName name="SL022Month" localSheetId="21">#REF!</definedName>
    <definedName name="SL022Month" localSheetId="15">#REF!</definedName>
    <definedName name="SL022Month" localSheetId="7">#REF!</definedName>
    <definedName name="SL022Month" localSheetId="8">#REF!</definedName>
    <definedName name="SL022Month" localSheetId="1">#REF!</definedName>
    <definedName name="SL022Month" localSheetId="25">#REF!</definedName>
    <definedName name="SL022Month" localSheetId="30">#REF!</definedName>
    <definedName name="SL022Month" localSheetId="4">#REF!</definedName>
    <definedName name="SL022Month" localSheetId="11">#REF!</definedName>
    <definedName name="SL022Month" localSheetId="24">#REF!</definedName>
    <definedName name="SL022Month">#REF!</definedName>
    <definedName name="SL022Text" localSheetId="29">#REF!</definedName>
    <definedName name="SL022Text" localSheetId="2">#REF!</definedName>
    <definedName name="SL022Text" localSheetId="28">#REF!</definedName>
    <definedName name="SL022Text" localSheetId="16">#REF!</definedName>
    <definedName name="SL022Text" localSheetId="22">#REF!</definedName>
    <definedName name="SL022Text" localSheetId="26">#REF!</definedName>
    <definedName name="SL022Text" localSheetId="20">#REF!</definedName>
    <definedName name="SL022Text" localSheetId="19">#REF!</definedName>
    <definedName name="SL022Text" localSheetId="18">#REF!</definedName>
    <definedName name="SL022Text" localSheetId="17">#REF!</definedName>
    <definedName name="SL022Text" localSheetId="27">#REF!</definedName>
    <definedName name="SL022Text" localSheetId="21">#REF!</definedName>
    <definedName name="SL022Text" localSheetId="15">#REF!</definedName>
    <definedName name="SL022Text" localSheetId="7">#REF!</definedName>
    <definedName name="SL022Text" localSheetId="8">#REF!</definedName>
    <definedName name="SL022Text" localSheetId="1">#REF!</definedName>
    <definedName name="SL022Text" localSheetId="25">#REF!</definedName>
    <definedName name="SL022Text" localSheetId="30">#REF!</definedName>
    <definedName name="SL022Text" localSheetId="4">#REF!</definedName>
    <definedName name="SL022Text" localSheetId="11">#REF!</definedName>
    <definedName name="SL022Text" localSheetId="24">#REF!</definedName>
    <definedName name="SL022Text">#REF!</definedName>
    <definedName name="SL022Title" localSheetId="29">#REF!</definedName>
    <definedName name="SL022Title" localSheetId="2">#REF!</definedName>
    <definedName name="SL022Title" localSheetId="28">#REF!</definedName>
    <definedName name="SL022Title" localSheetId="16">#REF!</definedName>
    <definedName name="SL022Title" localSheetId="22">#REF!</definedName>
    <definedName name="SL022Title" localSheetId="26">#REF!</definedName>
    <definedName name="SL022Title" localSheetId="20">#REF!</definedName>
    <definedName name="SL022Title" localSheetId="19">#REF!</definedName>
    <definedName name="SL022Title" localSheetId="18">#REF!</definedName>
    <definedName name="SL022Title" localSheetId="17">#REF!</definedName>
    <definedName name="SL022Title" localSheetId="27">#REF!</definedName>
    <definedName name="SL022Title" localSheetId="21">#REF!</definedName>
    <definedName name="SL022Title" localSheetId="15">#REF!</definedName>
    <definedName name="SL022Title" localSheetId="7">#REF!</definedName>
    <definedName name="SL022Title" localSheetId="8">#REF!</definedName>
    <definedName name="SL022Title" localSheetId="1">#REF!</definedName>
    <definedName name="SL022Title" localSheetId="25">#REF!</definedName>
    <definedName name="SL022Title" localSheetId="30">#REF!</definedName>
    <definedName name="SL022Title" localSheetId="4">#REF!</definedName>
    <definedName name="SL022Title" localSheetId="11">#REF!</definedName>
    <definedName name="SL022Title" localSheetId="24">#REF!</definedName>
    <definedName name="SL022Title">#REF!</definedName>
    <definedName name="SL022YTD" localSheetId="29">#REF!</definedName>
    <definedName name="SL022YTD" localSheetId="2">#REF!</definedName>
    <definedName name="SL022YTD" localSheetId="28">#REF!</definedName>
    <definedName name="SL022YTD" localSheetId="16">#REF!</definedName>
    <definedName name="SL022YTD" localSheetId="22">#REF!</definedName>
    <definedName name="SL022YTD" localSheetId="26">#REF!</definedName>
    <definedName name="SL022YTD" localSheetId="20">#REF!</definedName>
    <definedName name="SL022YTD" localSheetId="19">#REF!</definedName>
    <definedName name="SL022YTD" localSheetId="18">#REF!</definedName>
    <definedName name="SL022YTD" localSheetId="17">#REF!</definedName>
    <definedName name="SL022YTD" localSheetId="27">#REF!</definedName>
    <definedName name="SL022YTD" localSheetId="21">#REF!</definedName>
    <definedName name="SL022YTD" localSheetId="15">#REF!</definedName>
    <definedName name="SL022YTD" localSheetId="7">#REF!</definedName>
    <definedName name="SL022YTD" localSheetId="8">#REF!</definedName>
    <definedName name="SL022YTD" localSheetId="1">#REF!</definedName>
    <definedName name="SL022YTD" localSheetId="25">#REF!</definedName>
    <definedName name="SL022YTD" localSheetId="30">#REF!</definedName>
    <definedName name="SL022YTD" localSheetId="4">#REF!</definedName>
    <definedName name="SL022YTD" localSheetId="11">#REF!</definedName>
    <definedName name="SL022YTD" localSheetId="24">#REF!</definedName>
    <definedName name="SL022YTD">#REF!</definedName>
    <definedName name="SL023Month" localSheetId="29">#REF!</definedName>
    <definedName name="SL023Month" localSheetId="2">#REF!</definedName>
    <definedName name="SL023Month" localSheetId="28">#REF!</definedName>
    <definedName name="SL023Month" localSheetId="16">#REF!</definedName>
    <definedName name="SL023Month" localSheetId="22">#REF!</definedName>
    <definedName name="SL023Month" localSheetId="26">#REF!</definedName>
    <definedName name="SL023Month" localSheetId="20">#REF!</definedName>
    <definedName name="SL023Month" localSheetId="19">#REF!</definedName>
    <definedName name="SL023Month" localSheetId="18">#REF!</definedName>
    <definedName name="SL023Month" localSheetId="17">#REF!</definedName>
    <definedName name="SL023Month" localSheetId="27">#REF!</definedName>
    <definedName name="SL023Month" localSheetId="21">#REF!</definedName>
    <definedName name="SL023Month" localSheetId="15">#REF!</definedName>
    <definedName name="SL023Month" localSheetId="7">#REF!</definedName>
    <definedName name="SL023Month" localSheetId="8">#REF!</definedName>
    <definedName name="SL023Month" localSheetId="1">#REF!</definedName>
    <definedName name="SL023Month" localSheetId="25">#REF!</definedName>
    <definedName name="SL023Month" localSheetId="30">#REF!</definedName>
    <definedName name="SL023Month" localSheetId="4">#REF!</definedName>
    <definedName name="SL023Month" localSheetId="11">#REF!</definedName>
    <definedName name="SL023Month" localSheetId="24">#REF!</definedName>
    <definedName name="SL023Month">#REF!</definedName>
    <definedName name="SL023Text" localSheetId="29">#REF!</definedName>
    <definedName name="SL023Text" localSheetId="2">#REF!</definedName>
    <definedName name="SL023Text" localSheetId="28">#REF!</definedName>
    <definedName name="SL023Text" localSheetId="16">#REF!</definedName>
    <definedName name="SL023Text" localSheetId="22">#REF!</definedName>
    <definedName name="SL023Text" localSheetId="26">#REF!</definedName>
    <definedName name="SL023Text" localSheetId="20">#REF!</definedName>
    <definedName name="SL023Text" localSheetId="19">#REF!</definedName>
    <definedName name="SL023Text" localSheetId="18">#REF!</definedName>
    <definedName name="SL023Text" localSheetId="17">#REF!</definedName>
    <definedName name="SL023Text" localSheetId="27">#REF!</definedName>
    <definedName name="SL023Text" localSheetId="21">#REF!</definedName>
    <definedName name="SL023Text" localSheetId="15">#REF!</definedName>
    <definedName name="SL023Text" localSheetId="7">#REF!</definedName>
    <definedName name="SL023Text" localSheetId="8">#REF!</definedName>
    <definedName name="SL023Text" localSheetId="1">#REF!</definedName>
    <definedName name="SL023Text" localSheetId="25">#REF!</definedName>
    <definedName name="SL023Text" localSheetId="30">#REF!</definedName>
    <definedName name="SL023Text" localSheetId="4">#REF!</definedName>
    <definedName name="SL023Text" localSheetId="11">#REF!</definedName>
    <definedName name="SL023Text" localSheetId="24">#REF!</definedName>
    <definedName name="SL023Text">#REF!</definedName>
    <definedName name="SL023Title" localSheetId="29">#REF!</definedName>
    <definedName name="SL023Title" localSheetId="2">#REF!</definedName>
    <definedName name="SL023Title" localSheetId="28">#REF!</definedName>
    <definedName name="SL023Title" localSheetId="16">#REF!</definedName>
    <definedName name="SL023Title" localSheetId="22">#REF!</definedName>
    <definedName name="SL023Title" localSheetId="26">#REF!</definedName>
    <definedName name="SL023Title" localSheetId="20">#REF!</definedName>
    <definedName name="SL023Title" localSheetId="19">#REF!</definedName>
    <definedName name="SL023Title" localSheetId="18">#REF!</definedName>
    <definedName name="SL023Title" localSheetId="17">#REF!</definedName>
    <definedName name="SL023Title" localSheetId="27">#REF!</definedName>
    <definedName name="SL023Title" localSheetId="21">#REF!</definedName>
    <definedName name="SL023Title" localSheetId="15">#REF!</definedName>
    <definedName name="SL023Title" localSheetId="7">#REF!</definedName>
    <definedName name="SL023Title" localSheetId="8">#REF!</definedName>
    <definedName name="SL023Title" localSheetId="1">#REF!</definedName>
    <definedName name="SL023Title" localSheetId="25">#REF!</definedName>
    <definedName name="SL023Title" localSheetId="30">#REF!</definedName>
    <definedName name="SL023Title" localSheetId="4">#REF!</definedName>
    <definedName name="SL023Title" localSheetId="11">#REF!</definedName>
    <definedName name="SL023Title" localSheetId="24">#REF!</definedName>
    <definedName name="SL023Title">#REF!</definedName>
    <definedName name="SL023YTD" localSheetId="29">#REF!</definedName>
    <definedName name="SL023YTD" localSheetId="2">#REF!</definedName>
    <definedName name="SL023YTD" localSheetId="28">#REF!</definedName>
    <definedName name="SL023YTD" localSheetId="16">#REF!</definedName>
    <definedName name="SL023YTD" localSheetId="22">#REF!</definedName>
    <definedName name="SL023YTD" localSheetId="26">#REF!</definedName>
    <definedName name="SL023YTD" localSheetId="20">#REF!</definedName>
    <definedName name="SL023YTD" localSheetId="19">#REF!</definedName>
    <definedName name="SL023YTD" localSheetId="18">#REF!</definedName>
    <definedName name="SL023YTD" localSheetId="17">#REF!</definedName>
    <definedName name="SL023YTD" localSheetId="27">#REF!</definedName>
    <definedName name="SL023YTD" localSheetId="21">#REF!</definedName>
    <definedName name="SL023YTD" localSheetId="15">#REF!</definedName>
    <definedName name="SL023YTD" localSheetId="7">#REF!</definedName>
    <definedName name="SL023YTD" localSheetId="8">#REF!</definedName>
    <definedName name="SL023YTD" localSheetId="1">#REF!</definedName>
    <definedName name="SL023YTD" localSheetId="25">#REF!</definedName>
    <definedName name="SL023YTD" localSheetId="30">#REF!</definedName>
    <definedName name="SL023YTD" localSheetId="4">#REF!</definedName>
    <definedName name="SL023YTD" localSheetId="11">#REF!</definedName>
    <definedName name="SL023YTD" localSheetId="24">#REF!</definedName>
    <definedName name="SL023YTD">#REF!</definedName>
    <definedName name="SL024Month" localSheetId="29">#REF!</definedName>
    <definedName name="SL024Month" localSheetId="2">#REF!</definedName>
    <definedName name="SL024Month" localSheetId="28">#REF!</definedName>
    <definedName name="SL024Month" localSheetId="16">#REF!</definedName>
    <definedName name="SL024Month" localSheetId="22">#REF!</definedName>
    <definedName name="SL024Month" localSheetId="26">#REF!</definedName>
    <definedName name="SL024Month" localSheetId="20">#REF!</definedName>
    <definedName name="SL024Month" localSheetId="19">#REF!</definedName>
    <definedName name="SL024Month" localSheetId="18">#REF!</definedName>
    <definedName name="SL024Month" localSheetId="17">#REF!</definedName>
    <definedName name="SL024Month" localSheetId="27">#REF!</definedName>
    <definedName name="SL024Month" localSheetId="21">#REF!</definedName>
    <definedName name="SL024Month" localSheetId="15">#REF!</definedName>
    <definedName name="SL024Month" localSheetId="7">#REF!</definedName>
    <definedName name="SL024Month" localSheetId="8">#REF!</definedName>
    <definedName name="SL024Month" localSheetId="1">#REF!</definedName>
    <definedName name="SL024Month" localSheetId="25">#REF!</definedName>
    <definedName name="SL024Month" localSheetId="30">#REF!</definedName>
    <definedName name="SL024Month" localSheetId="4">#REF!</definedName>
    <definedName name="SL024Month" localSheetId="11">#REF!</definedName>
    <definedName name="SL024Month" localSheetId="24">#REF!</definedName>
    <definedName name="SL024Month">#REF!</definedName>
    <definedName name="SL024Text" localSheetId="29">#REF!</definedName>
    <definedName name="SL024Text" localSheetId="2">#REF!</definedName>
    <definedName name="SL024Text" localSheetId="28">#REF!</definedName>
    <definedName name="SL024Text" localSheetId="16">#REF!</definedName>
    <definedName name="SL024Text" localSheetId="22">#REF!</definedName>
    <definedName name="SL024Text" localSheetId="26">#REF!</definedName>
    <definedName name="SL024Text" localSheetId="20">#REF!</definedName>
    <definedName name="SL024Text" localSheetId="19">#REF!</definedName>
    <definedName name="SL024Text" localSheetId="18">#REF!</definedName>
    <definedName name="SL024Text" localSheetId="17">#REF!</definedName>
    <definedName name="SL024Text" localSheetId="27">#REF!</definedName>
    <definedName name="SL024Text" localSheetId="21">#REF!</definedName>
    <definedName name="SL024Text" localSheetId="15">#REF!</definedName>
    <definedName name="SL024Text" localSheetId="7">#REF!</definedName>
    <definedName name="SL024Text" localSheetId="8">#REF!</definedName>
    <definedName name="SL024Text" localSheetId="1">#REF!</definedName>
    <definedName name="SL024Text" localSheetId="25">#REF!</definedName>
    <definedName name="SL024Text" localSheetId="30">#REF!</definedName>
    <definedName name="SL024Text" localSheetId="4">#REF!</definedName>
    <definedName name="SL024Text" localSheetId="11">#REF!</definedName>
    <definedName name="SL024Text" localSheetId="24">#REF!</definedName>
    <definedName name="SL024Text">#REF!</definedName>
    <definedName name="SL024Title" localSheetId="29">#REF!</definedName>
    <definedName name="SL024Title" localSheetId="2">#REF!</definedName>
    <definedName name="SL024Title" localSheetId="28">#REF!</definedName>
    <definedName name="SL024Title" localSheetId="16">#REF!</definedName>
    <definedName name="SL024Title" localSheetId="22">#REF!</definedName>
    <definedName name="SL024Title" localSheetId="26">#REF!</definedName>
    <definedName name="SL024Title" localSheetId="20">#REF!</definedName>
    <definedName name="SL024Title" localSheetId="19">#REF!</definedName>
    <definedName name="SL024Title" localSheetId="18">#REF!</definedName>
    <definedName name="SL024Title" localSheetId="17">#REF!</definedName>
    <definedName name="SL024Title" localSheetId="27">#REF!</definedName>
    <definedName name="SL024Title" localSheetId="21">#REF!</definedName>
    <definedName name="SL024Title" localSheetId="15">#REF!</definedName>
    <definedName name="SL024Title" localSheetId="7">#REF!</definedName>
    <definedName name="SL024Title" localSheetId="8">#REF!</definedName>
    <definedName name="SL024Title" localSheetId="1">#REF!</definedName>
    <definedName name="SL024Title" localSheetId="25">#REF!</definedName>
    <definedName name="SL024Title" localSheetId="30">#REF!</definedName>
    <definedName name="SL024Title" localSheetId="4">#REF!</definedName>
    <definedName name="SL024Title" localSheetId="11">#REF!</definedName>
    <definedName name="SL024Title" localSheetId="24">#REF!</definedName>
    <definedName name="SL024Title">#REF!</definedName>
    <definedName name="SL024YTD" localSheetId="29">#REF!</definedName>
    <definedName name="SL024YTD" localSheetId="2">#REF!</definedName>
    <definedName name="SL024YTD" localSheetId="28">#REF!</definedName>
    <definedName name="SL024YTD" localSheetId="16">#REF!</definedName>
    <definedName name="SL024YTD" localSheetId="22">#REF!</definedName>
    <definedName name="SL024YTD" localSheetId="26">#REF!</definedName>
    <definedName name="SL024YTD" localSheetId="20">#REF!</definedName>
    <definedName name="SL024YTD" localSheetId="19">#REF!</definedName>
    <definedName name="SL024YTD" localSheetId="18">#REF!</definedName>
    <definedName name="SL024YTD" localSheetId="17">#REF!</definedName>
    <definedName name="SL024YTD" localSheetId="27">#REF!</definedName>
    <definedName name="SL024YTD" localSheetId="21">#REF!</definedName>
    <definedName name="SL024YTD" localSheetId="15">#REF!</definedName>
    <definedName name="SL024YTD" localSheetId="7">#REF!</definedName>
    <definedName name="SL024YTD" localSheetId="8">#REF!</definedName>
    <definedName name="SL024YTD" localSheetId="1">#REF!</definedName>
    <definedName name="SL024YTD" localSheetId="25">#REF!</definedName>
    <definedName name="SL024YTD" localSheetId="30">#REF!</definedName>
    <definedName name="SL024YTD" localSheetId="4">#REF!</definedName>
    <definedName name="SL024YTD" localSheetId="11">#REF!</definedName>
    <definedName name="SL024YTD" localSheetId="24">#REF!</definedName>
    <definedName name="SL024YTD">#REF!</definedName>
    <definedName name="SL025Month" localSheetId="29">#REF!</definedName>
    <definedName name="SL025Month" localSheetId="2">#REF!</definedName>
    <definedName name="SL025Month" localSheetId="28">#REF!</definedName>
    <definedName name="SL025Month" localSheetId="16">#REF!</definedName>
    <definedName name="SL025Month" localSheetId="22">#REF!</definedName>
    <definedName name="SL025Month" localSheetId="26">#REF!</definedName>
    <definedName name="SL025Month" localSheetId="20">#REF!</definedName>
    <definedName name="SL025Month" localSheetId="19">#REF!</definedName>
    <definedName name="SL025Month" localSheetId="18">#REF!</definedName>
    <definedName name="SL025Month" localSheetId="17">#REF!</definedName>
    <definedName name="SL025Month" localSheetId="27">#REF!</definedName>
    <definedName name="SL025Month" localSheetId="21">#REF!</definedName>
    <definedName name="SL025Month" localSheetId="15">#REF!</definedName>
    <definedName name="SL025Month" localSheetId="7">#REF!</definedName>
    <definedName name="SL025Month" localSheetId="8">#REF!</definedName>
    <definedName name="SL025Month" localSheetId="1">#REF!</definedName>
    <definedName name="SL025Month" localSheetId="25">#REF!</definedName>
    <definedName name="SL025Month" localSheetId="30">#REF!</definedName>
    <definedName name="SL025Month" localSheetId="4">#REF!</definedName>
    <definedName name="SL025Month" localSheetId="11">#REF!</definedName>
    <definedName name="SL025Month" localSheetId="24">#REF!</definedName>
    <definedName name="SL025Month">#REF!</definedName>
    <definedName name="SL025Text" localSheetId="29">#REF!</definedName>
    <definedName name="SL025Text" localSheetId="2">#REF!</definedName>
    <definedName name="SL025Text" localSheetId="28">#REF!</definedName>
    <definedName name="SL025Text" localSheetId="16">#REF!</definedName>
    <definedName name="SL025Text" localSheetId="22">#REF!</definedName>
    <definedName name="SL025Text" localSheetId="26">#REF!</definedName>
    <definedName name="SL025Text" localSheetId="20">#REF!</definedName>
    <definedName name="SL025Text" localSheetId="19">#REF!</definedName>
    <definedName name="SL025Text" localSheetId="18">#REF!</definedName>
    <definedName name="SL025Text" localSheetId="17">#REF!</definedName>
    <definedName name="SL025Text" localSheetId="27">#REF!</definedName>
    <definedName name="SL025Text" localSheetId="21">#REF!</definedName>
    <definedName name="SL025Text" localSheetId="15">#REF!</definedName>
    <definedName name="SL025Text" localSheetId="7">#REF!</definedName>
    <definedName name="SL025Text" localSheetId="8">#REF!</definedName>
    <definedName name="SL025Text" localSheetId="1">#REF!</definedName>
    <definedName name="SL025Text" localSheetId="25">#REF!</definedName>
    <definedName name="SL025Text" localSheetId="30">#REF!</definedName>
    <definedName name="SL025Text" localSheetId="4">#REF!</definedName>
    <definedName name="SL025Text" localSheetId="11">#REF!</definedName>
    <definedName name="SL025Text" localSheetId="24">#REF!</definedName>
    <definedName name="SL025Text">#REF!</definedName>
    <definedName name="SL025Title" localSheetId="29">#REF!</definedName>
    <definedName name="SL025Title" localSheetId="2">#REF!</definedName>
    <definedName name="SL025Title" localSheetId="28">#REF!</definedName>
    <definedName name="SL025Title" localSheetId="16">#REF!</definedName>
    <definedName name="SL025Title" localSheetId="22">#REF!</definedName>
    <definedName name="SL025Title" localSheetId="26">#REF!</definedName>
    <definedName name="SL025Title" localSheetId="20">#REF!</definedName>
    <definedName name="SL025Title" localSheetId="19">#REF!</definedName>
    <definedName name="SL025Title" localSheetId="18">#REF!</definedName>
    <definedName name="SL025Title" localSheetId="17">#REF!</definedName>
    <definedName name="SL025Title" localSheetId="27">#REF!</definedName>
    <definedName name="SL025Title" localSheetId="21">#REF!</definedName>
    <definedName name="SL025Title" localSheetId="15">#REF!</definedName>
    <definedName name="SL025Title" localSheetId="7">#REF!</definedName>
    <definedName name="SL025Title" localSheetId="8">#REF!</definedName>
    <definedName name="SL025Title" localSheetId="1">#REF!</definedName>
    <definedName name="SL025Title" localSheetId="25">#REF!</definedName>
    <definedName name="SL025Title" localSheetId="30">#REF!</definedName>
    <definedName name="SL025Title" localSheetId="4">#REF!</definedName>
    <definedName name="SL025Title" localSheetId="11">#REF!</definedName>
    <definedName name="SL025Title" localSheetId="24">#REF!</definedName>
    <definedName name="SL025Title">#REF!</definedName>
    <definedName name="SL025YTD" localSheetId="29">#REF!</definedName>
    <definedName name="SL025YTD" localSheetId="2">#REF!</definedName>
    <definedName name="SL025YTD" localSheetId="28">#REF!</definedName>
    <definedName name="SL025YTD" localSheetId="16">#REF!</definedName>
    <definedName name="SL025YTD" localSheetId="22">#REF!</definedName>
    <definedName name="SL025YTD" localSheetId="26">#REF!</definedName>
    <definedName name="SL025YTD" localSheetId="20">#REF!</definedName>
    <definedName name="SL025YTD" localSheetId="19">#REF!</definedName>
    <definedName name="SL025YTD" localSheetId="18">#REF!</definedName>
    <definedName name="SL025YTD" localSheetId="17">#REF!</definedName>
    <definedName name="SL025YTD" localSheetId="27">#REF!</definedName>
    <definedName name="SL025YTD" localSheetId="21">#REF!</definedName>
    <definedName name="SL025YTD" localSheetId="15">#REF!</definedName>
    <definedName name="SL025YTD" localSheetId="7">#REF!</definedName>
    <definedName name="SL025YTD" localSheetId="8">#REF!</definedName>
    <definedName name="SL025YTD" localSheetId="1">#REF!</definedName>
    <definedName name="SL025YTD" localSheetId="25">#REF!</definedName>
    <definedName name="SL025YTD" localSheetId="30">#REF!</definedName>
    <definedName name="SL025YTD" localSheetId="4">#REF!</definedName>
    <definedName name="SL025YTD" localSheetId="11">#REF!</definedName>
    <definedName name="SL025YTD" localSheetId="24">#REF!</definedName>
    <definedName name="SL025YTD">#REF!</definedName>
    <definedName name="StartMonth" localSheetId="29">#REF!</definedName>
    <definedName name="StartMonth" localSheetId="2">#REF!</definedName>
    <definedName name="StartMonth" localSheetId="28">#REF!</definedName>
    <definedName name="StartMonth" localSheetId="16">#REF!</definedName>
    <definedName name="StartMonth" localSheetId="22">#REF!</definedName>
    <definedName name="StartMonth" localSheetId="26">#REF!</definedName>
    <definedName name="StartMonth" localSheetId="20">#REF!</definedName>
    <definedName name="StartMonth" localSheetId="19">#REF!</definedName>
    <definedName name="StartMonth" localSheetId="18">#REF!</definedName>
    <definedName name="StartMonth" localSheetId="17">#REF!</definedName>
    <definedName name="StartMonth" localSheetId="27">#REF!</definedName>
    <definedName name="StartMonth" localSheetId="21">#REF!</definedName>
    <definedName name="StartMonth" localSheetId="15">#REF!</definedName>
    <definedName name="StartMonth" localSheetId="7">#REF!</definedName>
    <definedName name="StartMonth" localSheetId="8">#REF!</definedName>
    <definedName name="StartMonth" localSheetId="1">#REF!</definedName>
    <definedName name="StartMonth" localSheetId="25">#REF!</definedName>
    <definedName name="StartMonth" localSheetId="30">#REF!</definedName>
    <definedName name="StartMonth" localSheetId="4">#REF!</definedName>
    <definedName name="StartMonth" localSheetId="11">#REF!</definedName>
    <definedName name="StartMonth" localSheetId="24">#REF!</definedName>
    <definedName name="StartMonth">#REF!</definedName>
    <definedName name="SWSC">'national caseload'!$B$39</definedName>
    <definedName name="Target1516M" localSheetId="29">#REF!</definedName>
    <definedName name="Target1516M" localSheetId="2">#REF!</definedName>
    <definedName name="Target1516M" localSheetId="28">#REF!</definedName>
    <definedName name="Target1516M" localSheetId="16">#REF!</definedName>
    <definedName name="Target1516M" localSheetId="22">#REF!</definedName>
    <definedName name="Target1516M" localSheetId="26">#REF!</definedName>
    <definedName name="Target1516M" localSheetId="20">#REF!</definedName>
    <definedName name="Target1516M" localSheetId="19">#REF!</definedName>
    <definedName name="Target1516M" localSheetId="18">#REF!</definedName>
    <definedName name="Target1516M" localSheetId="17">#REF!</definedName>
    <definedName name="Target1516M" localSheetId="27">#REF!</definedName>
    <definedName name="Target1516M" localSheetId="21">#REF!</definedName>
    <definedName name="Target1516M" localSheetId="15">#REF!</definedName>
    <definedName name="Target1516M" localSheetId="7">#REF!</definedName>
    <definedName name="Target1516M" localSheetId="8">#REF!</definedName>
    <definedName name="Target1516M" localSheetId="1">#REF!</definedName>
    <definedName name="Target1516M" localSheetId="25">#REF!</definedName>
    <definedName name="Target1516M" localSheetId="30">#REF!</definedName>
    <definedName name="Target1516M" localSheetId="4">#REF!</definedName>
    <definedName name="Target1516M" localSheetId="11">#REF!</definedName>
    <definedName name="Target1516M" localSheetId="24">#REF!</definedName>
    <definedName name="Target1516M">#REF!</definedName>
    <definedName name="Target1516Ref" localSheetId="29">#REF!</definedName>
    <definedName name="Target1516Ref" localSheetId="2">#REF!</definedName>
    <definedName name="Target1516Ref" localSheetId="28">#REF!</definedName>
    <definedName name="Target1516Ref" localSheetId="16">#REF!</definedName>
    <definedName name="Target1516Ref" localSheetId="22">#REF!</definedName>
    <definedName name="Target1516Ref" localSheetId="26">#REF!</definedName>
    <definedName name="Target1516Ref" localSheetId="20">#REF!</definedName>
    <definedName name="Target1516Ref" localSheetId="19">#REF!</definedName>
    <definedName name="Target1516Ref" localSheetId="18">#REF!</definedName>
    <definedName name="Target1516Ref" localSheetId="17">#REF!</definedName>
    <definedName name="Target1516Ref" localSheetId="27">#REF!</definedName>
    <definedName name="Target1516Ref" localSheetId="21">#REF!</definedName>
    <definedName name="Target1516Ref" localSheetId="15">#REF!</definedName>
    <definedName name="Target1516Ref" localSheetId="7">#REF!</definedName>
    <definedName name="Target1516Ref" localSheetId="8">#REF!</definedName>
    <definedName name="Target1516Ref" localSheetId="1">#REF!</definedName>
    <definedName name="Target1516Ref" localSheetId="25">#REF!</definedName>
    <definedName name="Target1516Ref" localSheetId="30">#REF!</definedName>
    <definedName name="Target1516Ref" localSheetId="4">#REF!</definedName>
    <definedName name="Target1516Ref" localSheetId="11">#REF!</definedName>
    <definedName name="Target1516Ref" localSheetId="24">#REF!</definedName>
    <definedName name="Target1516Ref">#REF!</definedName>
    <definedName name="Target1516YTD" localSheetId="29">#REF!</definedName>
    <definedName name="Target1516YTD" localSheetId="2">#REF!</definedName>
    <definedName name="Target1516YTD" localSheetId="28">#REF!</definedName>
    <definedName name="Target1516YTD" localSheetId="16">#REF!</definedName>
    <definedName name="Target1516YTD" localSheetId="22">#REF!</definedName>
    <definedName name="Target1516YTD" localSheetId="26">#REF!</definedName>
    <definedName name="Target1516YTD" localSheetId="20">#REF!</definedName>
    <definedName name="Target1516YTD" localSheetId="19">#REF!</definedName>
    <definedName name="Target1516YTD" localSheetId="18">#REF!</definedName>
    <definedName name="Target1516YTD" localSheetId="17">#REF!</definedName>
    <definedName name="Target1516YTD" localSheetId="27">#REF!</definedName>
    <definedName name="Target1516YTD" localSheetId="21">#REF!</definedName>
    <definedName name="Target1516YTD" localSheetId="15">#REF!</definedName>
    <definedName name="Target1516YTD" localSheetId="7">#REF!</definedName>
    <definedName name="Target1516YTD" localSheetId="8">#REF!</definedName>
    <definedName name="Target1516YTD" localSheetId="1">#REF!</definedName>
    <definedName name="Target1516YTD" localSheetId="25">#REF!</definedName>
    <definedName name="Target1516YTD" localSheetId="30">#REF!</definedName>
    <definedName name="Target1516YTD" localSheetId="4">#REF!</definedName>
    <definedName name="Target1516YTD" localSheetId="11">#REF!</definedName>
    <definedName name="Target1516YTD" localSheetId="24">#REF!</definedName>
    <definedName name="Target1516YTD">#REF!</definedName>
    <definedName name="Targets" localSheetId="29">#REF!</definedName>
    <definedName name="Targets" localSheetId="2">#REF!</definedName>
    <definedName name="Targets" localSheetId="28">#REF!</definedName>
    <definedName name="Targets" localSheetId="16">#REF!</definedName>
    <definedName name="Targets" localSheetId="22">#REF!</definedName>
    <definedName name="Targets" localSheetId="26">#REF!</definedName>
    <definedName name="Targets" localSheetId="20">#REF!</definedName>
    <definedName name="Targets" localSheetId="19">#REF!</definedName>
    <definedName name="Targets" localSheetId="18">#REF!</definedName>
    <definedName name="Targets" localSheetId="17">#REF!</definedName>
    <definedName name="Targets" localSheetId="27">#REF!</definedName>
    <definedName name="Targets" localSheetId="21">#REF!</definedName>
    <definedName name="Targets" localSheetId="15">#REF!</definedName>
    <definedName name="Targets" localSheetId="7">#REF!</definedName>
    <definedName name="Targets" localSheetId="8">#REF!</definedName>
    <definedName name="Targets" localSheetId="1">#REF!</definedName>
    <definedName name="Targets" localSheetId="25">#REF!</definedName>
    <definedName name="Targets" localSheetId="30">#REF!</definedName>
    <definedName name="Targets" localSheetId="4">#REF!</definedName>
    <definedName name="Targets" localSheetId="11">#REF!</definedName>
    <definedName name="Targets" localSheetId="24">#REF!</definedName>
    <definedName name="Targets">#REF!</definedName>
    <definedName name="Targets2" localSheetId="29">#REF!</definedName>
    <definedName name="Targets2" localSheetId="2">#REF!</definedName>
    <definedName name="Targets2" localSheetId="28">#REF!</definedName>
    <definedName name="Targets2" localSheetId="16">#REF!</definedName>
    <definedName name="Targets2" localSheetId="22">#REF!</definedName>
    <definedName name="Targets2" localSheetId="26">#REF!</definedName>
    <definedName name="Targets2" localSheetId="20">#REF!</definedName>
    <definedName name="Targets2" localSheetId="19">#REF!</definedName>
    <definedName name="Targets2" localSheetId="18">#REF!</definedName>
    <definedName name="Targets2" localSheetId="17">#REF!</definedName>
    <definedName name="Targets2" localSheetId="27">#REF!</definedName>
    <definedName name="Targets2" localSheetId="21">#REF!</definedName>
    <definedName name="Targets2" localSheetId="15">#REF!</definedName>
    <definedName name="Targets2" localSheetId="7">#REF!</definedName>
    <definedName name="Targets2" localSheetId="8">#REF!</definedName>
    <definedName name="Targets2" localSheetId="1">#REF!</definedName>
    <definedName name="Targets2" localSheetId="25">#REF!</definedName>
    <definedName name="Targets2" localSheetId="30">#REF!</definedName>
    <definedName name="Targets2" localSheetId="4">#REF!</definedName>
    <definedName name="Targets2" localSheetId="11">#REF!</definedName>
    <definedName name="Targets2" localSheetId="24">#REF!</definedName>
    <definedName name="Targets2">#REF!</definedName>
    <definedName name="Team_Regions">PDUs!$N$1:$Y$1</definedName>
    <definedName name="W">'national caseload'!$B$43</definedName>
    <definedName name="Wales" localSheetId="20">#REF!</definedName>
    <definedName name="Wales" localSheetId="19">#REF!</definedName>
    <definedName name="Wales" localSheetId="18">#REF!</definedName>
    <definedName name="Wales" localSheetId="17">#REF!</definedName>
    <definedName name="Wales" localSheetId="15">#REF!</definedName>
    <definedName name="Wales" localSheetId="11">#REF!</definedName>
    <definedName name="Wales">#REF!</definedName>
    <definedName name="Weighting" localSheetId="29">#REF!</definedName>
    <definedName name="Weighting" localSheetId="2">#REF!</definedName>
    <definedName name="Weighting" localSheetId="28">#REF!</definedName>
    <definedName name="Weighting" localSheetId="16">#REF!</definedName>
    <definedName name="Weighting" localSheetId="22">#REF!</definedName>
    <definedName name="Weighting" localSheetId="26">#REF!</definedName>
    <definedName name="Weighting" localSheetId="20">#REF!</definedName>
    <definedName name="Weighting" localSheetId="19">#REF!</definedName>
    <definedName name="Weighting" localSheetId="18">#REF!</definedName>
    <definedName name="Weighting" localSheetId="17">#REF!</definedName>
    <definedName name="Weighting" localSheetId="27">#REF!</definedName>
    <definedName name="Weighting" localSheetId="21">#REF!</definedName>
    <definedName name="Weighting" localSheetId="15">#REF!</definedName>
    <definedName name="Weighting" localSheetId="7">#REF!</definedName>
    <definedName name="Weighting" localSheetId="8">#REF!</definedName>
    <definedName name="Weighting" localSheetId="1">#REF!</definedName>
    <definedName name="Weighting" localSheetId="25">#REF!</definedName>
    <definedName name="Weighting" localSheetId="30">#REF!</definedName>
    <definedName name="Weighting" localSheetId="4">#REF!</definedName>
    <definedName name="Weighting" localSheetId="11">#REF!</definedName>
    <definedName name="Weighting" localSheetId="24">#REF!</definedName>
    <definedName name="Weighting">#REF!</definedName>
    <definedName name="WMR">'national caseload'!$B$47</definedName>
    <definedName name="WorkPackages" localSheetId="2">'[3]List Data'!$A$2:$A$77</definedName>
    <definedName name="WorkPackages" localSheetId="16">'[3]List Data'!$A$2:$A$77</definedName>
    <definedName name="WorkPackages" localSheetId="22">'[3]List Data'!$A$2:$A$77</definedName>
    <definedName name="WorkPackages" localSheetId="26">'[3]List Data'!$A$2:$A$77</definedName>
    <definedName name="WorkPackages" localSheetId="27">'[3]List Data'!$A$2:$A$77</definedName>
    <definedName name="WorkPackages" localSheetId="21">'[3]List Data'!$A$2:$A$77</definedName>
    <definedName name="WorkPackages" localSheetId="1">'[3]List Data'!$A$2:$A$77</definedName>
    <definedName name="WorkPackages" localSheetId="25">'[3]List Data'!$A$2:$A$77</definedName>
    <definedName name="WorkPackages" localSheetId="4">'[3]List Data'!$A$2:$A$77</definedName>
    <definedName name="WorkPackages" localSheetId="24">'[3]List Data'!$A$2:$A$77</definedName>
    <definedName name="WorkPackages">'[2]List Data'!$A$2:$A$77</definedName>
    <definedName name="YATH">'national caseload'!$B$51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2" i="89" l="1"/>
  <c r="D36" i="98"/>
  <c r="D35" i="98"/>
  <c r="D35" i="114" l="1"/>
  <c r="D36" i="114"/>
  <c r="D37" i="114"/>
  <c r="D38" i="114"/>
  <c r="D39" i="114"/>
  <c r="D40" i="114"/>
  <c r="D41" i="114"/>
  <c r="D42" i="114"/>
  <c r="D43" i="114"/>
  <c r="D44" i="114"/>
  <c r="D45" i="114"/>
  <c r="D46" i="114"/>
  <c r="D47" i="114"/>
  <c r="D48" i="114"/>
  <c r="D49" i="114"/>
  <c r="D50" i="114"/>
  <c r="D51" i="114"/>
  <c r="D52" i="114"/>
  <c r="D53" i="114"/>
  <c r="D54" i="114"/>
  <c r="D55" i="114"/>
  <c r="D56" i="114"/>
  <c r="D57" i="114"/>
  <c r="D58" i="114"/>
  <c r="D59" i="114"/>
  <c r="D60" i="114"/>
  <c r="D61" i="114"/>
  <c r="D62" i="114"/>
  <c r="D63" i="114"/>
  <c r="D64" i="114"/>
  <c r="D65" i="114"/>
  <c r="D66" i="114"/>
  <c r="D67" i="114"/>
  <c r="D68" i="114"/>
  <c r="D69" i="114"/>
  <c r="D70" i="114"/>
  <c r="D71" i="114"/>
  <c r="D72" i="114"/>
  <c r="D73" i="114"/>
  <c r="D74" i="114"/>
  <c r="D75" i="114"/>
  <c r="D76" i="114"/>
  <c r="D77" i="114"/>
  <c r="D78" i="114"/>
  <c r="D79" i="114"/>
  <c r="D80" i="114"/>
  <c r="D81" i="114"/>
  <c r="D82" i="114"/>
  <c r="D83" i="114"/>
  <c r="D84" i="114"/>
  <c r="D85" i="114"/>
  <c r="D86" i="114"/>
  <c r="D87" i="114"/>
  <c r="D88" i="114"/>
  <c r="C35" i="114"/>
  <c r="C36" i="114"/>
  <c r="C37" i="114"/>
  <c r="C38" i="114"/>
  <c r="C39" i="114"/>
  <c r="C40" i="114"/>
  <c r="C41" i="114"/>
  <c r="C42" i="114"/>
  <c r="C43" i="114"/>
  <c r="C44" i="114"/>
  <c r="C45" i="114"/>
  <c r="C46" i="114"/>
  <c r="C47" i="114"/>
  <c r="C48" i="114"/>
  <c r="C49" i="114"/>
  <c r="C50" i="114"/>
  <c r="C51" i="114"/>
  <c r="C52" i="114"/>
  <c r="C53" i="114"/>
  <c r="C54" i="114"/>
  <c r="C55" i="114"/>
  <c r="C56" i="114"/>
  <c r="C57" i="114"/>
  <c r="C58" i="114"/>
  <c r="C59" i="114"/>
  <c r="C60" i="114"/>
  <c r="C61" i="114"/>
  <c r="C62" i="114"/>
  <c r="C63" i="114"/>
  <c r="C64" i="114"/>
  <c r="C65" i="114"/>
  <c r="C66" i="114"/>
  <c r="C67" i="114"/>
  <c r="C68" i="114"/>
  <c r="C69" i="114"/>
  <c r="C70" i="114"/>
  <c r="C71" i="114"/>
  <c r="C72" i="114"/>
  <c r="C73" i="114"/>
  <c r="C74" i="114"/>
  <c r="C75" i="114"/>
  <c r="C76" i="114"/>
  <c r="C77" i="114"/>
  <c r="C78" i="114"/>
  <c r="C79" i="114"/>
  <c r="C80" i="114"/>
  <c r="C81" i="114"/>
  <c r="C82" i="114"/>
  <c r="C83" i="114"/>
  <c r="C84" i="114"/>
  <c r="C85" i="114"/>
  <c r="C86" i="114"/>
  <c r="C87" i="114"/>
  <c r="C88" i="114"/>
  <c r="D43" i="98"/>
  <c r="D44" i="98"/>
  <c r="D45" i="98"/>
  <c r="D46" i="98"/>
  <c r="D47" i="98"/>
  <c r="D48" i="98"/>
  <c r="D49" i="98"/>
  <c r="D50" i="98"/>
  <c r="D51" i="98"/>
  <c r="D52" i="98"/>
  <c r="D53" i="98"/>
  <c r="D54" i="98"/>
  <c r="D55" i="98"/>
  <c r="D56" i="98"/>
  <c r="D57" i="98"/>
  <c r="D58" i="98"/>
  <c r="D59" i="98"/>
  <c r="D60" i="98"/>
  <c r="D61" i="98"/>
  <c r="D62" i="98"/>
  <c r="D63" i="98"/>
  <c r="D64" i="98"/>
  <c r="D65" i="98"/>
  <c r="D66" i="98"/>
  <c r="D67" i="98"/>
  <c r="D68" i="98"/>
  <c r="D69" i="98"/>
  <c r="D70" i="98"/>
  <c r="D71" i="98"/>
  <c r="D72" i="98"/>
  <c r="D73" i="98"/>
  <c r="D74" i="98"/>
  <c r="D75" i="98"/>
  <c r="D76" i="98"/>
  <c r="D77" i="98"/>
  <c r="D78" i="98"/>
  <c r="D79" i="98"/>
  <c r="D80" i="98"/>
  <c r="D81" i="98"/>
  <c r="D82" i="98"/>
  <c r="D83" i="98"/>
  <c r="D84" i="98"/>
  <c r="D85" i="98"/>
  <c r="D86" i="98"/>
  <c r="D87" i="98"/>
  <c r="D88" i="98"/>
  <c r="C35" i="98"/>
  <c r="C36" i="98"/>
  <c r="C37" i="98"/>
  <c r="C38" i="98"/>
  <c r="C39" i="98"/>
  <c r="C40" i="98"/>
  <c r="C41" i="98"/>
  <c r="C42" i="98"/>
  <c r="C43" i="98"/>
  <c r="C44" i="98"/>
  <c r="C45" i="98"/>
  <c r="C46" i="98"/>
  <c r="C47" i="98"/>
  <c r="C48" i="98"/>
  <c r="C49" i="98"/>
  <c r="C50" i="98"/>
  <c r="C51" i="98"/>
  <c r="C52" i="98"/>
  <c r="C53" i="98"/>
  <c r="C54" i="98"/>
  <c r="C55" i="98"/>
  <c r="C56" i="98"/>
  <c r="C57" i="98"/>
  <c r="C58" i="98"/>
  <c r="C59" i="98"/>
  <c r="C60" i="98"/>
  <c r="C61" i="98"/>
  <c r="C62" i="98"/>
  <c r="C63" i="98"/>
  <c r="C64" i="98"/>
  <c r="C65" i="98"/>
  <c r="C66" i="98"/>
  <c r="C67" i="98"/>
  <c r="C68" i="98"/>
  <c r="C69" i="98"/>
  <c r="C70" i="98"/>
  <c r="C71" i="98"/>
  <c r="C72" i="98"/>
  <c r="C73" i="98"/>
  <c r="C74" i="98"/>
  <c r="C75" i="98"/>
  <c r="C76" i="98"/>
  <c r="C77" i="98"/>
  <c r="C78" i="98"/>
  <c r="C79" i="98"/>
  <c r="C80" i="98"/>
  <c r="C81" i="98"/>
  <c r="C82" i="98"/>
  <c r="C83" i="98"/>
  <c r="C84" i="98"/>
  <c r="C85" i="98"/>
  <c r="C86" i="98"/>
  <c r="C87" i="98"/>
  <c r="C88" i="98"/>
  <c r="C61" i="101"/>
  <c r="C62" i="101"/>
  <c r="C63" i="101"/>
  <c r="C64" i="101"/>
  <c r="C65" i="101"/>
  <c r="C66" i="101"/>
  <c r="C67" i="101"/>
  <c r="C68" i="101"/>
  <c r="C69" i="101"/>
  <c r="C70" i="101"/>
  <c r="C71" i="101"/>
  <c r="C72" i="101"/>
  <c r="C73" i="101"/>
  <c r="C74" i="101"/>
  <c r="C75" i="101"/>
  <c r="C76" i="101"/>
  <c r="C77" i="101"/>
  <c r="C78" i="101"/>
  <c r="C79" i="101"/>
  <c r="C80" i="101"/>
  <c r="C81" i="101"/>
  <c r="C82" i="101"/>
  <c r="C83" i="101"/>
  <c r="C84" i="101"/>
  <c r="C85" i="101"/>
  <c r="C86" i="101"/>
  <c r="C87" i="101"/>
  <c r="C88" i="101"/>
  <c r="D56" i="101"/>
  <c r="D57" i="101"/>
  <c r="D58" i="101"/>
  <c r="D59" i="101"/>
  <c r="D60" i="101"/>
  <c r="D61" i="101"/>
  <c r="D62" i="101"/>
  <c r="D63" i="101"/>
  <c r="D64" i="101"/>
  <c r="D65" i="101"/>
  <c r="D66" i="101"/>
  <c r="D67" i="101"/>
  <c r="D68" i="101"/>
  <c r="D69" i="101"/>
  <c r="D70" i="101"/>
  <c r="D71" i="101"/>
  <c r="D72" i="101"/>
  <c r="D73" i="101"/>
  <c r="D74" i="101"/>
  <c r="D75" i="101"/>
  <c r="D76" i="101"/>
  <c r="D77" i="101"/>
  <c r="D78" i="101"/>
  <c r="D79" i="101"/>
  <c r="D80" i="101"/>
  <c r="D81" i="101"/>
  <c r="D82" i="101"/>
  <c r="D83" i="101"/>
  <c r="D84" i="101"/>
  <c r="D85" i="101"/>
  <c r="D86" i="101"/>
  <c r="D87" i="101"/>
  <c r="D88" i="101"/>
  <c r="D35" i="101"/>
  <c r="D36" i="101"/>
  <c r="D37" i="101"/>
  <c r="D38" i="101"/>
  <c r="D39" i="101"/>
  <c r="D40" i="101"/>
  <c r="D41" i="101"/>
  <c r="D42" i="101"/>
  <c r="D43" i="101"/>
  <c r="D44" i="101"/>
  <c r="D45" i="101"/>
  <c r="D46" i="101"/>
  <c r="D47" i="101"/>
  <c r="D48" i="101"/>
  <c r="D49" i="101"/>
  <c r="D50" i="101"/>
  <c r="D51" i="101"/>
  <c r="D52" i="101"/>
  <c r="D53" i="101"/>
  <c r="D54" i="101"/>
  <c r="D55" i="101"/>
  <c r="D34" i="101"/>
  <c r="C35" i="101"/>
  <c r="C36" i="101"/>
  <c r="C37" i="101"/>
  <c r="C38" i="101"/>
  <c r="C39" i="101"/>
  <c r="C40" i="101"/>
  <c r="C41" i="101"/>
  <c r="C42" i="101"/>
  <c r="C43" i="101"/>
  <c r="C44" i="101"/>
  <c r="C45" i="101"/>
  <c r="C46" i="101"/>
  <c r="C47" i="101"/>
  <c r="C48" i="101"/>
  <c r="C49" i="101"/>
  <c r="C50" i="101"/>
  <c r="C51" i="101"/>
  <c r="C52" i="101"/>
  <c r="C53" i="101"/>
  <c r="C54" i="101"/>
  <c r="C55" i="101"/>
  <c r="C56" i="101"/>
  <c r="C57" i="101"/>
  <c r="C58" i="101"/>
  <c r="C59" i="101"/>
  <c r="C60" i="101"/>
  <c r="C34" i="101"/>
  <c r="H8" i="106"/>
  <c r="H9" i="106"/>
  <c r="H10" i="106"/>
  <c r="H11" i="106"/>
  <c r="H12" i="106"/>
  <c r="H13" i="106"/>
  <c r="H14" i="106"/>
  <c r="H15" i="106"/>
  <c r="H16" i="106"/>
  <c r="H17" i="106"/>
  <c r="H18" i="106"/>
  <c r="H19" i="106"/>
  <c r="H20" i="106"/>
  <c r="H21" i="106"/>
  <c r="H22" i="106"/>
  <c r="H23" i="106"/>
  <c r="H24" i="106"/>
  <c r="H25" i="106"/>
  <c r="H26" i="106"/>
  <c r="H27" i="106"/>
  <c r="H28" i="106"/>
  <c r="H29" i="106"/>
  <c r="H30" i="106"/>
  <c r="H31" i="106"/>
  <c r="H32" i="106"/>
  <c r="H33" i="106"/>
  <c r="H34" i="106"/>
  <c r="H35" i="106"/>
  <c r="H36" i="106"/>
  <c r="H37" i="106"/>
  <c r="H38" i="106"/>
  <c r="H39" i="106"/>
  <c r="H40" i="106"/>
  <c r="H41" i="106"/>
  <c r="H42" i="106"/>
  <c r="H43" i="106"/>
  <c r="H44" i="106"/>
  <c r="H45" i="106"/>
  <c r="H46" i="106"/>
  <c r="H47" i="106"/>
  <c r="H48" i="106"/>
  <c r="H49" i="106"/>
  <c r="H50" i="106"/>
  <c r="H51" i="106"/>
  <c r="H52" i="106"/>
  <c r="H53" i="106"/>
  <c r="H54" i="106"/>
  <c r="H55" i="106"/>
  <c r="H56" i="106"/>
  <c r="H57" i="106"/>
  <c r="H58" i="106"/>
  <c r="H59" i="106"/>
  <c r="H60" i="106"/>
  <c r="H7" i="106"/>
  <c r="H6" i="106"/>
  <c r="B18" i="89" l="1"/>
  <c r="C18" i="89"/>
  <c r="C34" i="87"/>
  <c r="D34" i="87"/>
  <c r="E34" i="87"/>
  <c r="F34" i="87"/>
  <c r="G34" i="87"/>
  <c r="H34" i="87"/>
  <c r="I34" i="87"/>
  <c r="J34" i="87"/>
  <c r="K34" i="87"/>
  <c r="L34" i="87"/>
  <c r="M34" i="87"/>
  <c r="N34" i="87"/>
  <c r="O34" i="87"/>
  <c r="D42" i="98"/>
  <c r="D14" i="106"/>
  <c r="E14" i="106" s="1"/>
  <c r="C136" i="87"/>
  <c r="B59" i="89"/>
  <c r="C59" i="89"/>
  <c r="B60" i="89"/>
  <c r="C60" i="89"/>
  <c r="B61" i="89"/>
  <c r="C61" i="89"/>
  <c r="C130" i="87"/>
  <c r="D130" i="87"/>
  <c r="E130" i="87"/>
  <c r="F130" i="87"/>
  <c r="G130" i="87"/>
  <c r="H130" i="87"/>
  <c r="I130" i="87"/>
  <c r="J130" i="87"/>
  <c r="K130" i="87"/>
  <c r="L130" i="87"/>
  <c r="M130" i="87"/>
  <c r="N130" i="87"/>
  <c r="O130" i="87"/>
  <c r="C131" i="87"/>
  <c r="D131" i="87"/>
  <c r="E131" i="87"/>
  <c r="F131" i="87"/>
  <c r="G131" i="87"/>
  <c r="H131" i="87"/>
  <c r="I131" i="87"/>
  <c r="J131" i="87"/>
  <c r="K131" i="87"/>
  <c r="L131" i="87"/>
  <c r="M131" i="87"/>
  <c r="N131" i="87"/>
  <c r="O131" i="87"/>
  <c r="C76" i="87"/>
  <c r="D76" i="87"/>
  <c r="E76" i="87"/>
  <c r="F76" i="87"/>
  <c r="G76" i="87"/>
  <c r="H76" i="87"/>
  <c r="I76" i="87"/>
  <c r="J76" i="87"/>
  <c r="K76" i="87"/>
  <c r="L76" i="87"/>
  <c r="M76" i="87"/>
  <c r="N76" i="87"/>
  <c r="O76" i="87"/>
  <c r="C77" i="87"/>
  <c r="D77" i="87"/>
  <c r="E77" i="87"/>
  <c r="F77" i="87"/>
  <c r="G77" i="87"/>
  <c r="H77" i="87"/>
  <c r="I77" i="87"/>
  <c r="J77" i="87"/>
  <c r="K77" i="87"/>
  <c r="L77" i="87"/>
  <c r="M77" i="87"/>
  <c r="N77" i="87"/>
  <c r="O77" i="87"/>
  <c r="C78" i="87"/>
  <c r="D78" i="87"/>
  <c r="E78" i="87"/>
  <c r="F78" i="87"/>
  <c r="G78" i="87"/>
  <c r="H78" i="87"/>
  <c r="I78" i="87"/>
  <c r="J78" i="87"/>
  <c r="K78" i="87"/>
  <c r="L78" i="87"/>
  <c r="M78" i="87"/>
  <c r="N78" i="87"/>
  <c r="O78" i="87"/>
  <c r="D36" i="106"/>
  <c r="E36" i="106" s="1"/>
  <c r="D37" i="106"/>
  <c r="E37" i="106" s="1"/>
  <c r="D38" i="106"/>
  <c r="E38" i="106" s="1"/>
  <c r="D39" i="106"/>
  <c r="E39" i="106" s="1"/>
  <c r="D40" i="106"/>
  <c r="E40" i="106" s="1"/>
  <c r="D41" i="106"/>
  <c r="E41" i="106" s="1"/>
  <c r="D42" i="106"/>
  <c r="E42" i="106" s="1"/>
  <c r="D43" i="106"/>
  <c r="E43" i="106" s="1"/>
  <c r="D44" i="106"/>
  <c r="E44" i="106" s="1"/>
  <c r="D45" i="106"/>
  <c r="E45" i="106" s="1"/>
  <c r="W5" i="117" l="1" a="1"/>
  <c r="W5" i="117" s="1"/>
  <c r="W4" i="115" a="1"/>
  <c r="W4" i="115" s="1"/>
  <c r="W5" i="115" a="1"/>
  <c r="W5" i="115" s="1"/>
  <c r="Z4" i="115" a="1"/>
  <c r="Z4" i="115" s="1"/>
  <c r="Z5" i="115" a="1"/>
  <c r="Z5" i="115" s="1"/>
  <c r="Z6" i="115" s="1"/>
  <c r="N10" i="115" s="1"/>
  <c r="N12" i="117" s="1"/>
  <c r="W6" i="115" l="1"/>
  <c r="N9" i="115" s="1"/>
  <c r="W6" i="117" a="1"/>
  <c r="W6" i="117" s="1"/>
  <c r="W7" i="117" s="1"/>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C44" i="115"/>
  <c r="S43" i="115"/>
  <c r="R43" i="115"/>
  <c r="Q43" i="115"/>
  <c r="P43" i="115"/>
  <c r="O43" i="115"/>
  <c r="N43" i="115"/>
  <c r="M43" i="115"/>
  <c r="L43" i="115"/>
  <c r="K43" i="115"/>
  <c r="J43" i="115"/>
  <c r="I43" i="115"/>
  <c r="H43" i="115"/>
  <c r="G43" i="115"/>
  <c r="F43" i="115"/>
  <c r="E43" i="115"/>
  <c r="D43" i="115"/>
  <c r="C43" i="115"/>
  <c r="F17" i="115"/>
  <c r="E17" i="115"/>
  <c r="D17" i="115"/>
  <c r="C17" i="115"/>
  <c r="F16" i="115"/>
  <c r="E16" i="115"/>
  <c r="D16" i="115"/>
  <c r="C16" i="115"/>
  <c r="B27" i="115"/>
  <c r="H16" i="115"/>
  <c r="H17" i="117"/>
  <c r="C87" i="87"/>
  <c r="D87" i="87"/>
  <c r="E87" i="87"/>
  <c r="F87" i="87"/>
  <c r="G87" i="87"/>
  <c r="H87" i="87"/>
  <c r="I87" i="87"/>
  <c r="J87" i="87"/>
  <c r="K87" i="87"/>
  <c r="L87" i="87"/>
  <c r="M87" i="87"/>
  <c r="N87" i="87"/>
  <c r="O87" i="87"/>
  <c r="C88" i="87"/>
  <c r="D88" i="87"/>
  <c r="E88" i="87"/>
  <c r="F88" i="87"/>
  <c r="G88" i="87"/>
  <c r="H88" i="87"/>
  <c r="I88" i="87"/>
  <c r="J88" i="87"/>
  <c r="K88" i="87"/>
  <c r="L88" i="87"/>
  <c r="M88" i="87"/>
  <c r="N88" i="87"/>
  <c r="O88" i="87"/>
  <c r="C89" i="87"/>
  <c r="D89" i="87"/>
  <c r="E89" i="87"/>
  <c r="F89" i="87"/>
  <c r="G89" i="87"/>
  <c r="H89" i="87"/>
  <c r="I89" i="87"/>
  <c r="J89" i="87"/>
  <c r="K89" i="87"/>
  <c r="L89" i="87"/>
  <c r="M89" i="87"/>
  <c r="N89" i="87"/>
  <c r="O89" i="87"/>
  <c r="C90" i="87"/>
  <c r="D90" i="87"/>
  <c r="E90" i="87"/>
  <c r="F90" i="87"/>
  <c r="G90" i="87"/>
  <c r="H90" i="87"/>
  <c r="I90" i="87"/>
  <c r="J90" i="87"/>
  <c r="K90" i="87"/>
  <c r="L90" i="87"/>
  <c r="M90" i="87"/>
  <c r="N90" i="87"/>
  <c r="O90" i="87"/>
  <c r="C91" i="87"/>
  <c r="D91" i="87"/>
  <c r="E91" i="87"/>
  <c r="F91" i="87"/>
  <c r="G91" i="87"/>
  <c r="H91" i="87"/>
  <c r="I91" i="87"/>
  <c r="J91" i="87"/>
  <c r="K91" i="87"/>
  <c r="L91" i="87"/>
  <c r="M91" i="87"/>
  <c r="N91" i="87"/>
  <c r="O91" i="87"/>
  <c r="C92" i="87"/>
  <c r="D92" i="87"/>
  <c r="E92" i="87"/>
  <c r="F92" i="87"/>
  <c r="G92" i="87"/>
  <c r="H92" i="87"/>
  <c r="I92" i="87"/>
  <c r="J92" i="87"/>
  <c r="K92" i="87"/>
  <c r="L92" i="87"/>
  <c r="M92" i="87"/>
  <c r="N92" i="87"/>
  <c r="O92" i="87"/>
  <c r="C93" i="87"/>
  <c r="D93" i="87"/>
  <c r="E93" i="87"/>
  <c r="F93" i="87"/>
  <c r="G93" i="87"/>
  <c r="H93" i="87"/>
  <c r="I93" i="87"/>
  <c r="J93" i="87"/>
  <c r="K93" i="87"/>
  <c r="L93" i="87"/>
  <c r="M93" i="87"/>
  <c r="N93" i="87"/>
  <c r="O93" i="87"/>
  <c r="C94" i="87"/>
  <c r="D94" i="87"/>
  <c r="E94" i="87"/>
  <c r="F94" i="87"/>
  <c r="G94" i="87"/>
  <c r="H94" i="87"/>
  <c r="I94" i="87"/>
  <c r="J94" i="87"/>
  <c r="K94" i="87"/>
  <c r="L94" i="87"/>
  <c r="M94" i="87"/>
  <c r="N94" i="87"/>
  <c r="O94" i="87"/>
  <c r="C95" i="87"/>
  <c r="D95" i="87"/>
  <c r="E95" i="87"/>
  <c r="F95" i="87"/>
  <c r="G95" i="87"/>
  <c r="H95" i="87"/>
  <c r="I95" i="87"/>
  <c r="J95" i="87"/>
  <c r="K95" i="87"/>
  <c r="L95" i="87"/>
  <c r="M95" i="87"/>
  <c r="N95" i="87"/>
  <c r="O95" i="87"/>
  <c r="C96" i="87"/>
  <c r="D96" i="87"/>
  <c r="E96" i="87"/>
  <c r="F96" i="87"/>
  <c r="G96" i="87"/>
  <c r="H96" i="87"/>
  <c r="I96" i="87"/>
  <c r="J96" i="87"/>
  <c r="K96" i="87"/>
  <c r="L96" i="87"/>
  <c r="M96" i="87"/>
  <c r="N96" i="87"/>
  <c r="O96" i="87"/>
  <c r="C97" i="87"/>
  <c r="D97" i="87"/>
  <c r="E97" i="87"/>
  <c r="F97" i="87"/>
  <c r="G97" i="87"/>
  <c r="H97" i="87"/>
  <c r="I97" i="87"/>
  <c r="J97" i="87"/>
  <c r="K97" i="87"/>
  <c r="L97" i="87"/>
  <c r="M97" i="87"/>
  <c r="N97" i="87"/>
  <c r="O97" i="87"/>
  <c r="C98" i="87"/>
  <c r="D98" i="87"/>
  <c r="E98" i="87"/>
  <c r="F98" i="87"/>
  <c r="G98" i="87"/>
  <c r="H98" i="87"/>
  <c r="I98" i="87"/>
  <c r="J98" i="87"/>
  <c r="K98" i="87"/>
  <c r="L98" i="87"/>
  <c r="M98" i="87"/>
  <c r="N98" i="87"/>
  <c r="O98" i="87"/>
  <c r="C99" i="87"/>
  <c r="D99" i="87"/>
  <c r="E99" i="87"/>
  <c r="F99" i="87"/>
  <c r="G99" i="87"/>
  <c r="H99" i="87"/>
  <c r="I99" i="87"/>
  <c r="J99" i="87"/>
  <c r="K99" i="87"/>
  <c r="L99" i="87"/>
  <c r="M99" i="87"/>
  <c r="N99" i="87"/>
  <c r="O99" i="87"/>
  <c r="C100" i="87"/>
  <c r="D100" i="87"/>
  <c r="E100" i="87"/>
  <c r="F100" i="87"/>
  <c r="G100" i="87"/>
  <c r="H100" i="87"/>
  <c r="I100" i="87"/>
  <c r="J100" i="87"/>
  <c r="K100" i="87"/>
  <c r="L100" i="87"/>
  <c r="M100" i="87"/>
  <c r="N100" i="87"/>
  <c r="O100" i="87"/>
  <c r="C101" i="87"/>
  <c r="D101" i="87"/>
  <c r="E101" i="87"/>
  <c r="F101" i="87"/>
  <c r="G101" i="87"/>
  <c r="H101" i="87"/>
  <c r="I101" i="87"/>
  <c r="J101" i="87"/>
  <c r="K101" i="87"/>
  <c r="L101" i="87"/>
  <c r="M101" i="87"/>
  <c r="N101" i="87"/>
  <c r="O101" i="87"/>
  <c r="C102" i="87"/>
  <c r="D102" i="87"/>
  <c r="E102" i="87"/>
  <c r="F102" i="87"/>
  <c r="G102" i="87"/>
  <c r="H102" i="87"/>
  <c r="I102" i="87"/>
  <c r="J102" i="87"/>
  <c r="K102" i="87"/>
  <c r="L102" i="87"/>
  <c r="M102" i="87"/>
  <c r="N102" i="87"/>
  <c r="O102" i="87"/>
  <c r="C103" i="87"/>
  <c r="D103" i="87"/>
  <c r="E103" i="87"/>
  <c r="F103" i="87"/>
  <c r="G103" i="87"/>
  <c r="H103" i="87"/>
  <c r="I103" i="87"/>
  <c r="J103" i="87"/>
  <c r="K103" i="87"/>
  <c r="L103" i="87"/>
  <c r="M103" i="87"/>
  <c r="N103" i="87"/>
  <c r="O103" i="87"/>
  <c r="C104" i="87"/>
  <c r="D104" i="87"/>
  <c r="E104" i="87"/>
  <c r="F104" i="87"/>
  <c r="G104" i="87"/>
  <c r="H104" i="87"/>
  <c r="I104" i="87"/>
  <c r="J104" i="87"/>
  <c r="K104" i="87"/>
  <c r="L104" i="87"/>
  <c r="M104" i="87"/>
  <c r="N104" i="87"/>
  <c r="O104" i="87"/>
  <c r="C105" i="87"/>
  <c r="D105" i="87"/>
  <c r="E105" i="87"/>
  <c r="F105" i="87"/>
  <c r="G105" i="87"/>
  <c r="H105" i="87"/>
  <c r="I105" i="87"/>
  <c r="J105" i="87"/>
  <c r="K105" i="87"/>
  <c r="L105" i="87"/>
  <c r="M105" i="87"/>
  <c r="N105" i="87"/>
  <c r="O105" i="87"/>
  <c r="C106" i="87"/>
  <c r="D106" i="87"/>
  <c r="E106" i="87"/>
  <c r="F106" i="87"/>
  <c r="G106" i="87"/>
  <c r="H106" i="87"/>
  <c r="I106" i="87"/>
  <c r="J106" i="87"/>
  <c r="K106" i="87"/>
  <c r="L106" i="87"/>
  <c r="M106" i="87"/>
  <c r="N106" i="87"/>
  <c r="O106" i="87"/>
  <c r="C107" i="87"/>
  <c r="D107" i="87"/>
  <c r="E107" i="87"/>
  <c r="F107" i="87"/>
  <c r="G107" i="87"/>
  <c r="H107" i="87"/>
  <c r="I107" i="87"/>
  <c r="J107" i="87"/>
  <c r="K107" i="87"/>
  <c r="L107" i="87"/>
  <c r="M107" i="87"/>
  <c r="N107" i="87"/>
  <c r="O107" i="87"/>
  <c r="C108" i="87"/>
  <c r="D108" i="87"/>
  <c r="E108" i="87"/>
  <c r="F108" i="87"/>
  <c r="G108" i="87"/>
  <c r="H108" i="87"/>
  <c r="I108" i="87"/>
  <c r="J108" i="87"/>
  <c r="K108" i="87"/>
  <c r="L108" i="87"/>
  <c r="M108" i="87"/>
  <c r="N108" i="87"/>
  <c r="O108" i="87"/>
  <c r="C109" i="87"/>
  <c r="D109" i="87"/>
  <c r="E109" i="87"/>
  <c r="F109" i="87"/>
  <c r="G109" i="87"/>
  <c r="H109" i="87"/>
  <c r="I109" i="87"/>
  <c r="J109" i="87"/>
  <c r="K109" i="87"/>
  <c r="L109" i="87"/>
  <c r="M109" i="87"/>
  <c r="N109" i="87"/>
  <c r="O109" i="87"/>
  <c r="C110" i="87"/>
  <c r="D110" i="87"/>
  <c r="E110" i="87"/>
  <c r="F110" i="87"/>
  <c r="G110" i="87"/>
  <c r="H110" i="87"/>
  <c r="I110" i="87"/>
  <c r="J110" i="87"/>
  <c r="K110" i="87"/>
  <c r="L110" i="87"/>
  <c r="M110" i="87"/>
  <c r="N110" i="87"/>
  <c r="O110" i="87"/>
  <c r="C111" i="87"/>
  <c r="D111" i="87"/>
  <c r="E111" i="87"/>
  <c r="F111" i="87"/>
  <c r="G111" i="87"/>
  <c r="H111" i="87"/>
  <c r="I111" i="87"/>
  <c r="J111" i="87"/>
  <c r="K111" i="87"/>
  <c r="L111" i="87"/>
  <c r="M111" i="87"/>
  <c r="N111" i="87"/>
  <c r="O111" i="87"/>
  <c r="C112" i="87"/>
  <c r="D112" i="87"/>
  <c r="E112" i="87"/>
  <c r="F112" i="87"/>
  <c r="G112" i="87"/>
  <c r="H112" i="87"/>
  <c r="I112" i="87"/>
  <c r="J112" i="87"/>
  <c r="K112" i="87"/>
  <c r="L112" i="87"/>
  <c r="M112" i="87"/>
  <c r="N112" i="87"/>
  <c r="O112" i="87"/>
  <c r="C113" i="87"/>
  <c r="D113" i="87"/>
  <c r="E113" i="87"/>
  <c r="F113" i="87"/>
  <c r="G113" i="87"/>
  <c r="H113" i="87"/>
  <c r="I113" i="87"/>
  <c r="J113" i="87"/>
  <c r="K113" i="87"/>
  <c r="L113" i="87"/>
  <c r="M113" i="87"/>
  <c r="N113" i="87"/>
  <c r="O113" i="87"/>
  <c r="C114" i="87"/>
  <c r="D114" i="87"/>
  <c r="E114" i="87"/>
  <c r="F114" i="87"/>
  <c r="G114" i="87"/>
  <c r="H114" i="87"/>
  <c r="I114" i="87"/>
  <c r="J114" i="87"/>
  <c r="K114" i="87"/>
  <c r="L114" i="87"/>
  <c r="M114" i="87"/>
  <c r="N114" i="87"/>
  <c r="O114" i="87"/>
  <c r="C115" i="87"/>
  <c r="D115" i="87"/>
  <c r="E115" i="87"/>
  <c r="F115" i="87"/>
  <c r="G115" i="87"/>
  <c r="H115" i="87"/>
  <c r="I115" i="87"/>
  <c r="J115" i="87"/>
  <c r="K115" i="87"/>
  <c r="L115" i="87"/>
  <c r="M115" i="87"/>
  <c r="N115" i="87"/>
  <c r="O115" i="87"/>
  <c r="C116" i="87"/>
  <c r="D116" i="87"/>
  <c r="E116" i="87"/>
  <c r="F116" i="87"/>
  <c r="G116" i="87"/>
  <c r="H116" i="87"/>
  <c r="I116" i="87"/>
  <c r="J116" i="87"/>
  <c r="K116" i="87"/>
  <c r="L116" i="87"/>
  <c r="M116" i="87"/>
  <c r="N116" i="87"/>
  <c r="O116" i="87"/>
  <c r="C117" i="87"/>
  <c r="D117" i="87"/>
  <c r="E117" i="87"/>
  <c r="F117" i="87"/>
  <c r="G117" i="87"/>
  <c r="H117" i="87"/>
  <c r="I117" i="87"/>
  <c r="J117" i="87"/>
  <c r="K117" i="87"/>
  <c r="L117" i="87"/>
  <c r="M117" i="87"/>
  <c r="N117" i="87"/>
  <c r="O117" i="87"/>
  <c r="C118" i="87"/>
  <c r="D118" i="87"/>
  <c r="E118" i="87"/>
  <c r="F118" i="87"/>
  <c r="G118" i="87"/>
  <c r="H118" i="87"/>
  <c r="I118" i="87"/>
  <c r="J118" i="87"/>
  <c r="K118" i="87"/>
  <c r="L118" i="87"/>
  <c r="M118" i="87"/>
  <c r="N118" i="87"/>
  <c r="O118" i="87"/>
  <c r="C119" i="87"/>
  <c r="D119" i="87"/>
  <c r="E119" i="87"/>
  <c r="F119" i="87"/>
  <c r="G119" i="87"/>
  <c r="H119" i="87"/>
  <c r="I119" i="87"/>
  <c r="J119" i="87"/>
  <c r="K119" i="87"/>
  <c r="L119" i="87"/>
  <c r="M119" i="87"/>
  <c r="N119" i="87"/>
  <c r="O119" i="87"/>
  <c r="C120" i="87"/>
  <c r="D120" i="87"/>
  <c r="E120" i="87"/>
  <c r="F120" i="87"/>
  <c r="G120" i="87"/>
  <c r="H120" i="87"/>
  <c r="I120" i="87"/>
  <c r="J120" i="87"/>
  <c r="K120" i="87"/>
  <c r="L120" i="87"/>
  <c r="M120" i="87"/>
  <c r="N120" i="87"/>
  <c r="O120" i="87"/>
  <c r="C121" i="87"/>
  <c r="D121" i="87"/>
  <c r="E121" i="87"/>
  <c r="F121" i="87"/>
  <c r="G121" i="87"/>
  <c r="H121" i="87"/>
  <c r="I121" i="87"/>
  <c r="J121" i="87"/>
  <c r="K121" i="87"/>
  <c r="L121" i="87"/>
  <c r="M121" i="87"/>
  <c r="N121" i="87"/>
  <c r="O121" i="87"/>
  <c r="C122" i="87"/>
  <c r="D122" i="87"/>
  <c r="E122" i="87"/>
  <c r="F122" i="87"/>
  <c r="G122" i="87"/>
  <c r="H122" i="87"/>
  <c r="I122" i="87"/>
  <c r="J122" i="87"/>
  <c r="K122" i="87"/>
  <c r="L122" i="87"/>
  <c r="M122" i="87"/>
  <c r="N122" i="87"/>
  <c r="O122" i="87"/>
  <c r="C123" i="87"/>
  <c r="D123" i="87"/>
  <c r="E123" i="87"/>
  <c r="F123" i="87"/>
  <c r="G123" i="87"/>
  <c r="H123" i="87"/>
  <c r="I123" i="87"/>
  <c r="J123" i="87"/>
  <c r="K123" i="87"/>
  <c r="L123" i="87"/>
  <c r="M123" i="87"/>
  <c r="N123" i="87"/>
  <c r="O123" i="87"/>
  <c r="C124" i="87"/>
  <c r="D124" i="87"/>
  <c r="E124" i="87"/>
  <c r="F124" i="87"/>
  <c r="G124" i="87"/>
  <c r="H124" i="87"/>
  <c r="I124" i="87"/>
  <c r="J124" i="87"/>
  <c r="K124" i="87"/>
  <c r="L124" i="87"/>
  <c r="M124" i="87"/>
  <c r="N124" i="87"/>
  <c r="O124" i="87"/>
  <c r="C125" i="87"/>
  <c r="D125" i="87"/>
  <c r="E125" i="87"/>
  <c r="F125" i="87"/>
  <c r="G125" i="87"/>
  <c r="H125" i="87"/>
  <c r="I125" i="87"/>
  <c r="J125" i="87"/>
  <c r="K125" i="87"/>
  <c r="L125" i="87"/>
  <c r="M125" i="87"/>
  <c r="N125" i="87"/>
  <c r="O125" i="87"/>
  <c r="C126" i="87"/>
  <c r="D126" i="87"/>
  <c r="E126" i="87"/>
  <c r="F126" i="87"/>
  <c r="G126" i="87"/>
  <c r="H126" i="87"/>
  <c r="I126" i="87"/>
  <c r="J126" i="87"/>
  <c r="K126" i="87"/>
  <c r="L126" i="87"/>
  <c r="M126" i="87"/>
  <c r="N126" i="87"/>
  <c r="O126" i="87"/>
  <c r="C127" i="87"/>
  <c r="D127" i="87"/>
  <c r="E127" i="87"/>
  <c r="F127" i="87"/>
  <c r="G127" i="87"/>
  <c r="H127" i="87"/>
  <c r="I127" i="87"/>
  <c r="J127" i="87"/>
  <c r="K127" i="87"/>
  <c r="L127" i="87"/>
  <c r="M127" i="87"/>
  <c r="N127" i="87"/>
  <c r="O127" i="87"/>
  <c r="C128" i="87"/>
  <c r="D128" i="87"/>
  <c r="E128" i="87"/>
  <c r="F128" i="87"/>
  <c r="G128" i="87"/>
  <c r="H128" i="87"/>
  <c r="I128" i="87"/>
  <c r="J128" i="87"/>
  <c r="K128" i="87"/>
  <c r="L128" i="87"/>
  <c r="M128" i="87"/>
  <c r="N128" i="87"/>
  <c r="O128" i="87"/>
  <c r="C129" i="87"/>
  <c r="D129" i="87"/>
  <c r="E129" i="87"/>
  <c r="F129" i="87"/>
  <c r="G129" i="87"/>
  <c r="H129" i="87"/>
  <c r="I129" i="87"/>
  <c r="J129" i="87"/>
  <c r="K129" i="87"/>
  <c r="L129" i="87"/>
  <c r="M129" i="87"/>
  <c r="N129" i="87"/>
  <c r="O129" i="87"/>
  <c r="C132" i="87"/>
  <c r="D132" i="87"/>
  <c r="E132" i="87"/>
  <c r="F132" i="87"/>
  <c r="G132" i="87"/>
  <c r="H132" i="87"/>
  <c r="I132" i="87"/>
  <c r="J132" i="87"/>
  <c r="K132" i="87"/>
  <c r="L132" i="87"/>
  <c r="M132" i="87"/>
  <c r="N132" i="87"/>
  <c r="O132" i="87"/>
  <c r="C133" i="87"/>
  <c r="D133" i="87"/>
  <c r="E133" i="87"/>
  <c r="F133" i="87"/>
  <c r="G133" i="87"/>
  <c r="H133" i="87"/>
  <c r="I133" i="87"/>
  <c r="J133" i="87"/>
  <c r="K133" i="87"/>
  <c r="L133" i="87"/>
  <c r="M133" i="87"/>
  <c r="N133" i="87"/>
  <c r="O133" i="87"/>
  <c r="C134" i="87"/>
  <c r="D134" i="87"/>
  <c r="E134" i="87"/>
  <c r="F134" i="87"/>
  <c r="G134" i="87"/>
  <c r="H134" i="87"/>
  <c r="I134" i="87"/>
  <c r="J134" i="87"/>
  <c r="K134" i="87"/>
  <c r="L134" i="87"/>
  <c r="M134" i="87"/>
  <c r="N134" i="87"/>
  <c r="O134" i="87"/>
  <c r="C135" i="87"/>
  <c r="D135" i="87"/>
  <c r="E135" i="87"/>
  <c r="F135" i="87"/>
  <c r="G135" i="87"/>
  <c r="H135" i="87"/>
  <c r="I135" i="87"/>
  <c r="J135" i="87"/>
  <c r="K135" i="87"/>
  <c r="L135" i="87"/>
  <c r="M135" i="87"/>
  <c r="N135" i="87"/>
  <c r="O135" i="87"/>
  <c r="D136" i="87"/>
  <c r="E136" i="87"/>
  <c r="F136" i="87"/>
  <c r="G136" i="87"/>
  <c r="H136" i="87"/>
  <c r="I136" i="87"/>
  <c r="J136" i="87"/>
  <c r="K136" i="87"/>
  <c r="L136" i="87"/>
  <c r="M136" i="87"/>
  <c r="N136" i="87"/>
  <c r="O136" i="87"/>
  <c r="N11" i="117" l="1"/>
  <c r="C27" i="87"/>
  <c r="D27" i="87"/>
  <c r="E27" i="87"/>
  <c r="F27" i="87"/>
  <c r="G27" i="87"/>
  <c r="H27" i="87"/>
  <c r="I27" i="87"/>
  <c r="J27" i="87"/>
  <c r="K27" i="87"/>
  <c r="L27" i="87"/>
  <c r="M27" i="87"/>
  <c r="N27" i="87"/>
  <c r="O27" i="87"/>
  <c r="C28" i="87"/>
  <c r="D28" i="87"/>
  <c r="E28" i="87"/>
  <c r="F28" i="87"/>
  <c r="G28" i="87"/>
  <c r="H28" i="87"/>
  <c r="I28" i="87"/>
  <c r="J28" i="87"/>
  <c r="K28" i="87"/>
  <c r="L28" i="87"/>
  <c r="M28" i="87"/>
  <c r="N28" i="87"/>
  <c r="O28" i="87"/>
  <c r="C29" i="87"/>
  <c r="D29" i="87"/>
  <c r="E29" i="87"/>
  <c r="F29" i="87"/>
  <c r="G29" i="87"/>
  <c r="H29" i="87"/>
  <c r="I29" i="87"/>
  <c r="J29" i="87"/>
  <c r="K29" i="87"/>
  <c r="L29" i="87"/>
  <c r="M29" i="87"/>
  <c r="N29" i="87"/>
  <c r="O29" i="87"/>
  <c r="C30" i="87"/>
  <c r="D30" i="87"/>
  <c r="E30" i="87"/>
  <c r="F30" i="87"/>
  <c r="G30" i="87"/>
  <c r="H30" i="87"/>
  <c r="I30" i="87"/>
  <c r="J30" i="87"/>
  <c r="K30" i="87"/>
  <c r="L30" i="87"/>
  <c r="M30" i="87"/>
  <c r="N30" i="87"/>
  <c r="O30" i="87"/>
  <c r="C31" i="87"/>
  <c r="D31" i="87"/>
  <c r="E31" i="87"/>
  <c r="F31" i="87"/>
  <c r="G31" i="87"/>
  <c r="H31" i="87"/>
  <c r="I31" i="87"/>
  <c r="J31" i="87"/>
  <c r="K31" i="87"/>
  <c r="L31" i="87"/>
  <c r="M31" i="87"/>
  <c r="N31" i="87"/>
  <c r="O31" i="87"/>
  <c r="C32" i="87"/>
  <c r="D32" i="87"/>
  <c r="E32" i="87"/>
  <c r="F32" i="87"/>
  <c r="G32" i="87"/>
  <c r="H32" i="87"/>
  <c r="I32" i="87"/>
  <c r="J32" i="87"/>
  <c r="K32" i="87"/>
  <c r="L32" i="87"/>
  <c r="M32" i="87"/>
  <c r="N32" i="87"/>
  <c r="O32" i="87"/>
  <c r="C33" i="87"/>
  <c r="D33" i="87"/>
  <c r="E33" i="87"/>
  <c r="F33" i="87"/>
  <c r="G33" i="87"/>
  <c r="H33" i="87"/>
  <c r="I33" i="87"/>
  <c r="J33" i="87"/>
  <c r="K33" i="87"/>
  <c r="L33" i="87"/>
  <c r="M33" i="87"/>
  <c r="N33" i="87"/>
  <c r="O33" i="87"/>
  <c r="C35" i="87"/>
  <c r="D35" i="87"/>
  <c r="E35" i="87"/>
  <c r="F35" i="87"/>
  <c r="G35" i="87"/>
  <c r="H35" i="87"/>
  <c r="I35" i="87"/>
  <c r="J35" i="87"/>
  <c r="K35" i="87"/>
  <c r="L35" i="87"/>
  <c r="M35" i="87"/>
  <c r="N35" i="87"/>
  <c r="O35" i="87"/>
  <c r="C36" i="87"/>
  <c r="D36" i="87"/>
  <c r="E36" i="87"/>
  <c r="F36" i="87"/>
  <c r="G36" i="87"/>
  <c r="H36" i="87"/>
  <c r="I36" i="87"/>
  <c r="J36" i="87"/>
  <c r="K36" i="87"/>
  <c r="L36" i="87"/>
  <c r="M36" i="87"/>
  <c r="N36" i="87"/>
  <c r="O36" i="87"/>
  <c r="C37" i="87"/>
  <c r="D37" i="87"/>
  <c r="E37" i="87"/>
  <c r="F37" i="87"/>
  <c r="G37" i="87"/>
  <c r="H37" i="87"/>
  <c r="I37" i="87"/>
  <c r="J37" i="87"/>
  <c r="K37" i="87"/>
  <c r="L37" i="87"/>
  <c r="M37" i="87"/>
  <c r="N37" i="87"/>
  <c r="O37" i="87"/>
  <c r="C38" i="87"/>
  <c r="D38" i="87"/>
  <c r="E38" i="87"/>
  <c r="F38" i="87"/>
  <c r="G38" i="87"/>
  <c r="H38" i="87"/>
  <c r="I38" i="87"/>
  <c r="J38" i="87"/>
  <c r="K38" i="87"/>
  <c r="L38" i="87"/>
  <c r="M38" i="87"/>
  <c r="N38" i="87"/>
  <c r="O38" i="87"/>
  <c r="C39" i="87"/>
  <c r="D39" i="87"/>
  <c r="E39" i="87"/>
  <c r="F39" i="87"/>
  <c r="G39" i="87"/>
  <c r="H39" i="87"/>
  <c r="I39" i="87"/>
  <c r="J39" i="87"/>
  <c r="K39" i="87"/>
  <c r="L39" i="87"/>
  <c r="M39" i="87"/>
  <c r="N39" i="87"/>
  <c r="O39" i="87"/>
  <c r="C40" i="87"/>
  <c r="D40" i="87"/>
  <c r="E40" i="87"/>
  <c r="F40" i="87"/>
  <c r="G40" i="87"/>
  <c r="H40" i="87"/>
  <c r="I40" i="87"/>
  <c r="J40" i="87"/>
  <c r="K40" i="87"/>
  <c r="L40" i="87"/>
  <c r="M40" i="87"/>
  <c r="N40" i="87"/>
  <c r="O40" i="87"/>
  <c r="C41" i="87"/>
  <c r="D41" i="87"/>
  <c r="E41" i="87"/>
  <c r="F41" i="87"/>
  <c r="G41" i="87"/>
  <c r="H41" i="87"/>
  <c r="I41" i="87"/>
  <c r="J41" i="87"/>
  <c r="K41" i="87"/>
  <c r="L41" i="87"/>
  <c r="M41" i="87"/>
  <c r="N41" i="87"/>
  <c r="O41" i="87"/>
  <c r="C42" i="87"/>
  <c r="D42" i="87"/>
  <c r="E42" i="87"/>
  <c r="F42" i="87"/>
  <c r="G42" i="87"/>
  <c r="H42" i="87"/>
  <c r="I42" i="87"/>
  <c r="J42" i="87"/>
  <c r="K42" i="87"/>
  <c r="L42" i="87"/>
  <c r="M42" i="87"/>
  <c r="N42" i="87"/>
  <c r="O42" i="87"/>
  <c r="C43" i="87"/>
  <c r="D43" i="87"/>
  <c r="E43" i="87"/>
  <c r="F43" i="87"/>
  <c r="G43" i="87"/>
  <c r="H43" i="87"/>
  <c r="I43" i="87"/>
  <c r="J43" i="87"/>
  <c r="K43" i="87"/>
  <c r="L43" i="87"/>
  <c r="M43" i="87"/>
  <c r="N43" i="87"/>
  <c r="O43" i="87"/>
  <c r="C44" i="87"/>
  <c r="D44" i="87"/>
  <c r="E44" i="87"/>
  <c r="F44" i="87"/>
  <c r="G44" i="87"/>
  <c r="H44" i="87"/>
  <c r="I44" i="87"/>
  <c r="J44" i="87"/>
  <c r="K44" i="87"/>
  <c r="L44" i="87"/>
  <c r="M44" i="87"/>
  <c r="N44" i="87"/>
  <c r="O44" i="87"/>
  <c r="C45" i="87"/>
  <c r="D45" i="87"/>
  <c r="E45" i="87"/>
  <c r="F45" i="87"/>
  <c r="G45" i="87"/>
  <c r="H45" i="87"/>
  <c r="I45" i="87"/>
  <c r="J45" i="87"/>
  <c r="K45" i="87"/>
  <c r="L45" i="87"/>
  <c r="M45" i="87"/>
  <c r="N45" i="87"/>
  <c r="O45" i="87"/>
  <c r="C46" i="87"/>
  <c r="D46" i="87"/>
  <c r="E46" i="87"/>
  <c r="F46" i="87"/>
  <c r="G46" i="87"/>
  <c r="H46" i="87"/>
  <c r="I46" i="87"/>
  <c r="J46" i="87"/>
  <c r="K46" i="87"/>
  <c r="L46" i="87"/>
  <c r="M46" i="87"/>
  <c r="N46" i="87"/>
  <c r="O46" i="87"/>
  <c r="C47" i="87"/>
  <c r="D47" i="87"/>
  <c r="E47" i="87"/>
  <c r="F47" i="87"/>
  <c r="G47" i="87"/>
  <c r="H47" i="87"/>
  <c r="I47" i="87"/>
  <c r="J47" i="87"/>
  <c r="K47" i="87"/>
  <c r="L47" i="87"/>
  <c r="M47" i="87"/>
  <c r="N47" i="87"/>
  <c r="O47" i="87"/>
  <c r="C48" i="87"/>
  <c r="D48" i="87"/>
  <c r="E48" i="87"/>
  <c r="F48" i="87"/>
  <c r="G48" i="87"/>
  <c r="H48" i="87"/>
  <c r="I48" i="87"/>
  <c r="J48" i="87"/>
  <c r="K48" i="87"/>
  <c r="L48" i="87"/>
  <c r="M48" i="87"/>
  <c r="N48" i="87"/>
  <c r="O48" i="87"/>
  <c r="C49" i="87"/>
  <c r="D49" i="87"/>
  <c r="E49" i="87"/>
  <c r="F49" i="87"/>
  <c r="G49" i="87"/>
  <c r="H49" i="87"/>
  <c r="I49" i="87"/>
  <c r="J49" i="87"/>
  <c r="K49" i="87"/>
  <c r="L49" i="87"/>
  <c r="M49" i="87"/>
  <c r="N49" i="87"/>
  <c r="O49" i="87"/>
  <c r="C50" i="87"/>
  <c r="D50" i="87"/>
  <c r="E50" i="87"/>
  <c r="F50" i="87"/>
  <c r="G50" i="87"/>
  <c r="H50" i="87"/>
  <c r="I50" i="87"/>
  <c r="J50" i="87"/>
  <c r="K50" i="87"/>
  <c r="L50" i="87"/>
  <c r="M50" i="87"/>
  <c r="N50" i="87"/>
  <c r="O50" i="87"/>
  <c r="C51" i="87"/>
  <c r="D51" i="87"/>
  <c r="E51" i="87"/>
  <c r="F51" i="87"/>
  <c r="G51" i="87"/>
  <c r="H51" i="87"/>
  <c r="I51" i="87"/>
  <c r="J51" i="87"/>
  <c r="K51" i="87"/>
  <c r="L51" i="87"/>
  <c r="M51" i="87"/>
  <c r="N51" i="87"/>
  <c r="O51" i="87"/>
  <c r="C52" i="87"/>
  <c r="D52" i="87"/>
  <c r="E52" i="87"/>
  <c r="F52" i="87"/>
  <c r="G52" i="87"/>
  <c r="H52" i="87"/>
  <c r="I52" i="87"/>
  <c r="J52" i="87"/>
  <c r="K52" i="87"/>
  <c r="L52" i="87"/>
  <c r="M52" i="87"/>
  <c r="N52" i="87"/>
  <c r="O52" i="87"/>
  <c r="C53" i="87"/>
  <c r="D53" i="87"/>
  <c r="E53" i="87"/>
  <c r="F53" i="87"/>
  <c r="G53" i="87"/>
  <c r="H53" i="87"/>
  <c r="I53" i="87"/>
  <c r="J53" i="87"/>
  <c r="K53" i="87"/>
  <c r="L53" i="87"/>
  <c r="M53" i="87"/>
  <c r="N53" i="87"/>
  <c r="O53" i="87"/>
  <c r="C54" i="87"/>
  <c r="D54" i="87"/>
  <c r="E54" i="87"/>
  <c r="F54" i="87"/>
  <c r="G54" i="87"/>
  <c r="H54" i="87"/>
  <c r="I54" i="87"/>
  <c r="J54" i="87"/>
  <c r="K54" i="87"/>
  <c r="L54" i="87"/>
  <c r="M54" i="87"/>
  <c r="N54" i="87"/>
  <c r="O54" i="87"/>
  <c r="C55" i="87"/>
  <c r="D55" i="87"/>
  <c r="E55" i="87"/>
  <c r="F55" i="87"/>
  <c r="G55" i="87"/>
  <c r="H55" i="87"/>
  <c r="I55" i="87"/>
  <c r="J55" i="87"/>
  <c r="K55" i="87"/>
  <c r="L55" i="87"/>
  <c r="M55" i="87"/>
  <c r="N55" i="87"/>
  <c r="O55" i="87"/>
  <c r="C56" i="87"/>
  <c r="D56" i="87"/>
  <c r="E56" i="87"/>
  <c r="F56" i="87"/>
  <c r="G56" i="87"/>
  <c r="H56" i="87"/>
  <c r="I56" i="87"/>
  <c r="J56" i="87"/>
  <c r="K56" i="87"/>
  <c r="L56" i="87"/>
  <c r="M56" i="87"/>
  <c r="N56" i="87"/>
  <c r="O56" i="87"/>
  <c r="C57" i="87"/>
  <c r="D57" i="87"/>
  <c r="E57" i="87"/>
  <c r="F57" i="87"/>
  <c r="G57" i="87"/>
  <c r="H57" i="87"/>
  <c r="I57" i="87"/>
  <c r="J57" i="87"/>
  <c r="K57" i="87"/>
  <c r="L57" i="87"/>
  <c r="M57" i="87"/>
  <c r="N57" i="87"/>
  <c r="O57" i="87"/>
  <c r="C58" i="87"/>
  <c r="D58" i="87"/>
  <c r="E58" i="87"/>
  <c r="F58" i="87"/>
  <c r="G58" i="87"/>
  <c r="H58" i="87"/>
  <c r="I58" i="87"/>
  <c r="J58" i="87"/>
  <c r="K58" i="87"/>
  <c r="L58" i="87"/>
  <c r="M58" i="87"/>
  <c r="N58" i="87"/>
  <c r="O58" i="87"/>
  <c r="C59" i="87"/>
  <c r="D59" i="87"/>
  <c r="E59" i="87"/>
  <c r="F59" i="87"/>
  <c r="G59" i="87"/>
  <c r="H59" i="87"/>
  <c r="I59" i="87"/>
  <c r="J59" i="87"/>
  <c r="K59" i="87"/>
  <c r="L59" i="87"/>
  <c r="M59" i="87"/>
  <c r="N59" i="87"/>
  <c r="O59" i="87"/>
  <c r="C60" i="87"/>
  <c r="D60" i="87"/>
  <c r="E60" i="87"/>
  <c r="F60" i="87"/>
  <c r="G60" i="87"/>
  <c r="H60" i="87"/>
  <c r="I60" i="87"/>
  <c r="J60" i="87"/>
  <c r="K60" i="87"/>
  <c r="L60" i="87"/>
  <c r="M60" i="87"/>
  <c r="N60" i="87"/>
  <c r="O60" i="87"/>
  <c r="C61" i="87"/>
  <c r="D61" i="87"/>
  <c r="E61" i="87"/>
  <c r="F61" i="87"/>
  <c r="G61" i="87"/>
  <c r="H61" i="87"/>
  <c r="I61" i="87"/>
  <c r="J61" i="87"/>
  <c r="K61" i="87"/>
  <c r="L61" i="87"/>
  <c r="M61" i="87"/>
  <c r="N61" i="87"/>
  <c r="O61" i="87"/>
  <c r="C62" i="87"/>
  <c r="D62" i="87"/>
  <c r="E62" i="87"/>
  <c r="F62" i="87"/>
  <c r="G62" i="87"/>
  <c r="H62" i="87"/>
  <c r="I62" i="87"/>
  <c r="J62" i="87"/>
  <c r="K62" i="87"/>
  <c r="L62" i="87"/>
  <c r="M62" i="87"/>
  <c r="N62" i="87"/>
  <c r="O62" i="87"/>
  <c r="C63" i="87"/>
  <c r="D63" i="87"/>
  <c r="E63" i="87"/>
  <c r="F63" i="87"/>
  <c r="G63" i="87"/>
  <c r="H63" i="87"/>
  <c r="I63" i="87"/>
  <c r="J63" i="87"/>
  <c r="K63" i="87"/>
  <c r="L63" i="87"/>
  <c r="M63" i="87"/>
  <c r="N63" i="87"/>
  <c r="O63" i="87"/>
  <c r="C64" i="87"/>
  <c r="D64" i="87"/>
  <c r="E64" i="87"/>
  <c r="F64" i="87"/>
  <c r="G64" i="87"/>
  <c r="H64" i="87"/>
  <c r="I64" i="87"/>
  <c r="J64" i="87"/>
  <c r="K64" i="87"/>
  <c r="L64" i="87"/>
  <c r="M64" i="87"/>
  <c r="N64" i="87"/>
  <c r="O64" i="87"/>
  <c r="C65" i="87"/>
  <c r="D65" i="87"/>
  <c r="E65" i="87"/>
  <c r="F65" i="87"/>
  <c r="G65" i="87"/>
  <c r="H65" i="87"/>
  <c r="I65" i="87"/>
  <c r="J65" i="87"/>
  <c r="K65" i="87"/>
  <c r="L65" i="87"/>
  <c r="M65" i="87"/>
  <c r="N65" i="87"/>
  <c r="O65" i="87"/>
  <c r="C66" i="87"/>
  <c r="D66" i="87"/>
  <c r="E66" i="87"/>
  <c r="F66" i="87"/>
  <c r="G66" i="87"/>
  <c r="H66" i="87"/>
  <c r="I66" i="87"/>
  <c r="J66" i="87"/>
  <c r="K66" i="87"/>
  <c r="L66" i="87"/>
  <c r="M66" i="87"/>
  <c r="N66" i="87"/>
  <c r="O66" i="87"/>
  <c r="C67" i="87"/>
  <c r="D67" i="87"/>
  <c r="E67" i="87"/>
  <c r="F67" i="87"/>
  <c r="G67" i="87"/>
  <c r="H67" i="87"/>
  <c r="I67" i="87"/>
  <c r="J67" i="87"/>
  <c r="K67" i="87"/>
  <c r="L67" i="87"/>
  <c r="M67" i="87"/>
  <c r="N67" i="87"/>
  <c r="O67" i="87"/>
  <c r="C68" i="87"/>
  <c r="D68" i="87"/>
  <c r="E68" i="87"/>
  <c r="F68" i="87"/>
  <c r="G68" i="87"/>
  <c r="H68" i="87"/>
  <c r="I68" i="87"/>
  <c r="J68" i="87"/>
  <c r="K68" i="87"/>
  <c r="L68" i="87"/>
  <c r="M68" i="87"/>
  <c r="N68" i="87"/>
  <c r="O68" i="87"/>
  <c r="C69" i="87"/>
  <c r="D69" i="87"/>
  <c r="E69" i="87"/>
  <c r="F69" i="87"/>
  <c r="G69" i="87"/>
  <c r="H69" i="87"/>
  <c r="I69" i="87"/>
  <c r="J69" i="87"/>
  <c r="K69" i="87"/>
  <c r="L69" i="87"/>
  <c r="M69" i="87"/>
  <c r="N69" i="87"/>
  <c r="O69" i="87"/>
  <c r="C70" i="87"/>
  <c r="D70" i="87"/>
  <c r="E70" i="87"/>
  <c r="F70" i="87"/>
  <c r="G70" i="87"/>
  <c r="H70" i="87"/>
  <c r="I70" i="87"/>
  <c r="J70" i="87"/>
  <c r="K70" i="87"/>
  <c r="L70" i="87"/>
  <c r="M70" i="87"/>
  <c r="N70" i="87"/>
  <c r="O70" i="87"/>
  <c r="C71" i="87"/>
  <c r="D71" i="87"/>
  <c r="E71" i="87"/>
  <c r="F71" i="87"/>
  <c r="G71" i="87"/>
  <c r="H71" i="87"/>
  <c r="I71" i="87"/>
  <c r="J71" i="87"/>
  <c r="K71" i="87"/>
  <c r="L71" i="87"/>
  <c r="M71" i="87"/>
  <c r="N71" i="87"/>
  <c r="O71" i="87"/>
  <c r="C72" i="87"/>
  <c r="D72" i="87"/>
  <c r="E72" i="87"/>
  <c r="F72" i="87"/>
  <c r="G72" i="87"/>
  <c r="H72" i="87"/>
  <c r="I72" i="87"/>
  <c r="J72" i="87"/>
  <c r="K72" i="87"/>
  <c r="L72" i="87"/>
  <c r="M72" i="87"/>
  <c r="N72" i="87"/>
  <c r="O72" i="87"/>
  <c r="C73" i="87"/>
  <c r="D73" i="87"/>
  <c r="E73" i="87"/>
  <c r="F73" i="87"/>
  <c r="G73" i="87"/>
  <c r="H73" i="87"/>
  <c r="I73" i="87"/>
  <c r="J73" i="87"/>
  <c r="K73" i="87"/>
  <c r="L73" i="87"/>
  <c r="M73" i="87"/>
  <c r="N73" i="87"/>
  <c r="O73" i="87"/>
  <c r="C74" i="87"/>
  <c r="D74" i="87"/>
  <c r="E74" i="87"/>
  <c r="F74" i="87"/>
  <c r="G74" i="87"/>
  <c r="H74" i="87"/>
  <c r="I74" i="87"/>
  <c r="J74" i="87"/>
  <c r="K74" i="87"/>
  <c r="L74" i="87"/>
  <c r="M74" i="87"/>
  <c r="N74" i="87"/>
  <c r="O74" i="87"/>
  <c r="C75" i="87"/>
  <c r="D75" i="87"/>
  <c r="E75" i="87"/>
  <c r="F75" i="87"/>
  <c r="G75" i="87"/>
  <c r="H75" i="87"/>
  <c r="I75" i="87"/>
  <c r="J75" i="87"/>
  <c r="K75" i="87"/>
  <c r="L75" i="87"/>
  <c r="M75" i="87"/>
  <c r="N75" i="87"/>
  <c r="O75" i="87"/>
  <c r="C79" i="87"/>
  <c r="D79" i="87"/>
  <c r="E79" i="87"/>
  <c r="F79" i="87"/>
  <c r="G79" i="87"/>
  <c r="H79" i="87"/>
  <c r="I79" i="87"/>
  <c r="J79" i="87"/>
  <c r="K79" i="87"/>
  <c r="L79" i="87"/>
  <c r="M79" i="87"/>
  <c r="N79" i="87"/>
  <c r="O79" i="87"/>
  <c r="C80" i="87"/>
  <c r="D80" i="87"/>
  <c r="E80" i="87"/>
  <c r="F80" i="87"/>
  <c r="G80" i="87"/>
  <c r="H80" i="87"/>
  <c r="I80" i="87"/>
  <c r="J80" i="87"/>
  <c r="K80" i="87"/>
  <c r="L80" i="87"/>
  <c r="M80" i="87"/>
  <c r="N80" i="87"/>
  <c r="O80" i="87"/>
  <c r="N11" i="115" l="1"/>
  <c r="N13" i="117"/>
  <c r="M11" i="117" a="1"/>
  <c r="M11" i="117" s="1"/>
  <c r="M12" i="117" a="1"/>
  <c r="M12" i="117" s="1"/>
  <c r="B42" i="89"/>
  <c r="C42" i="89"/>
  <c r="B43" i="89"/>
  <c r="C43" i="89"/>
  <c r="B44" i="89"/>
  <c r="C44" i="89"/>
  <c r="B45" i="89"/>
  <c r="C45" i="89"/>
  <c r="B46" i="89"/>
  <c r="C46" i="89"/>
  <c r="B47" i="89"/>
  <c r="C47" i="89"/>
  <c r="B48" i="89"/>
  <c r="C48" i="89"/>
  <c r="B49" i="89"/>
  <c r="C49" i="89"/>
  <c r="B37" i="89"/>
  <c r="C37" i="89"/>
  <c r="B38" i="89"/>
  <c r="C38" i="89"/>
  <c r="D47" i="106"/>
  <c r="E47" i="106" s="1"/>
  <c r="D48" i="106"/>
  <c r="E48" i="106" s="1"/>
  <c r="D49" i="106"/>
  <c r="E49" i="106" s="1"/>
  <c r="D50" i="106"/>
  <c r="E50" i="106" s="1"/>
  <c r="D51" i="106"/>
  <c r="E51" i="106" s="1"/>
  <c r="D52" i="106"/>
  <c r="E52" i="106" s="1"/>
  <c r="D53" i="106"/>
  <c r="E53" i="106" s="1"/>
  <c r="D54" i="106"/>
  <c r="E54" i="106" s="1"/>
  <c r="D55" i="106"/>
  <c r="E55" i="106" s="1"/>
  <c r="D56" i="106"/>
  <c r="E56" i="106" s="1"/>
  <c r="D57" i="106"/>
  <c r="E57" i="106" s="1"/>
  <c r="D58" i="106"/>
  <c r="E58" i="106" s="1"/>
  <c r="D59" i="106"/>
  <c r="E59" i="106" s="1"/>
  <c r="D60" i="106"/>
  <c r="E60" i="106" s="1"/>
  <c r="M10" i="115" a="1"/>
  <c r="M10" i="115" s="1"/>
  <c r="M9" i="115" a="1"/>
  <c r="M9" i="115" s="1"/>
  <c r="M11" i="115" l="1"/>
  <c r="M13" i="117"/>
  <c r="C2" i="92"/>
  <c r="C2" i="91"/>
  <c r="C2" i="93"/>
  <c r="M18" i="88"/>
  <c r="L18" i="88"/>
  <c r="J18" i="88"/>
  <c r="I18" i="88"/>
  <c r="G18" i="88"/>
  <c r="F18" i="88"/>
  <c r="D18" i="88"/>
  <c r="C18" i="88"/>
  <c r="M17" i="88"/>
  <c r="L17" i="88"/>
  <c r="J17" i="88"/>
  <c r="I17" i="88"/>
  <c r="G17" i="88"/>
  <c r="F17" i="88"/>
  <c r="D17" i="88"/>
  <c r="C17" i="88"/>
  <c r="M16" i="88"/>
  <c r="L16" i="88"/>
  <c r="J16" i="88"/>
  <c r="I16" i="88"/>
  <c r="G16" i="88"/>
  <c r="F16" i="88"/>
  <c r="D16" i="88"/>
  <c r="C16" i="88"/>
  <c r="M15" i="88"/>
  <c r="L15" i="88"/>
  <c r="J15" i="88"/>
  <c r="I15" i="88"/>
  <c r="G15" i="88"/>
  <c r="F15" i="88"/>
  <c r="D15" i="88"/>
  <c r="C15" i="88"/>
  <c r="M14" i="88"/>
  <c r="L14" i="88"/>
  <c r="J14" i="88"/>
  <c r="I14" i="88"/>
  <c r="G14" i="88"/>
  <c r="F14" i="88"/>
  <c r="D14" i="88"/>
  <c r="C14" i="88"/>
  <c r="M13" i="88"/>
  <c r="L13" i="88"/>
  <c r="J13" i="88"/>
  <c r="I13" i="88"/>
  <c r="G13" i="88"/>
  <c r="F13" i="88"/>
  <c r="D13" i="88"/>
  <c r="C13" i="88"/>
  <c r="M12" i="88"/>
  <c r="L12" i="88"/>
  <c r="J12" i="88"/>
  <c r="I12" i="88"/>
  <c r="G12" i="88"/>
  <c r="F12" i="88"/>
  <c r="D12" i="88"/>
  <c r="C12" i="88"/>
  <c r="M11" i="88"/>
  <c r="L11" i="88"/>
  <c r="J11" i="88"/>
  <c r="I11" i="88"/>
  <c r="G11" i="88"/>
  <c r="F11" i="88"/>
  <c r="D11" i="88"/>
  <c r="C11" i="88"/>
  <c r="M10" i="88"/>
  <c r="L10" i="88"/>
  <c r="J10" i="88"/>
  <c r="I10" i="88"/>
  <c r="G10" i="88"/>
  <c r="F10" i="88"/>
  <c r="D10" i="88"/>
  <c r="C10" i="88"/>
  <c r="M9" i="88"/>
  <c r="L9" i="88"/>
  <c r="J9" i="88"/>
  <c r="I9" i="88"/>
  <c r="G9" i="88"/>
  <c r="F9" i="88"/>
  <c r="D9" i="88"/>
  <c r="C9" i="88"/>
  <c r="M8" i="88"/>
  <c r="L8" i="88"/>
  <c r="J8" i="88"/>
  <c r="I8" i="88"/>
  <c r="G8" i="88"/>
  <c r="F8" i="88"/>
  <c r="D8" i="88"/>
  <c r="C8" i="88"/>
  <c r="M7" i="88"/>
  <c r="L7" i="88"/>
  <c r="J7" i="88"/>
  <c r="I7" i="88"/>
  <c r="G7" i="88"/>
  <c r="F7" i="88"/>
  <c r="D7" i="88"/>
  <c r="C7" i="88"/>
  <c r="M6" i="88"/>
  <c r="L6" i="88"/>
  <c r="J6" i="88"/>
  <c r="I6" i="88"/>
  <c r="G6" i="88"/>
  <c r="F6" i="88"/>
  <c r="D6" i="88"/>
  <c r="C6" i="88"/>
  <c r="C64" i="89"/>
  <c r="B64" i="89"/>
  <c r="C63" i="89"/>
  <c r="B63" i="89"/>
  <c r="C62" i="89"/>
  <c r="B62" i="89"/>
  <c r="C58" i="89"/>
  <c r="B58" i="89"/>
  <c r="C57" i="89"/>
  <c r="B57" i="89"/>
  <c r="C56" i="89"/>
  <c r="B56" i="89"/>
  <c r="C55" i="89"/>
  <c r="B55" i="89"/>
  <c r="C54" i="89"/>
  <c r="B54" i="89"/>
  <c r="C53" i="89"/>
  <c r="B53" i="89"/>
  <c r="C52" i="89"/>
  <c r="B52" i="89"/>
  <c r="C51" i="89"/>
  <c r="B51" i="89"/>
  <c r="C41" i="89"/>
  <c r="B41" i="89"/>
  <c r="C36" i="89"/>
  <c r="B36" i="89"/>
  <c r="C40" i="89"/>
  <c r="B40" i="89"/>
  <c r="C35" i="89"/>
  <c r="B35" i="89"/>
  <c r="C39" i="89"/>
  <c r="B39" i="89"/>
  <c r="C34" i="89"/>
  <c r="B34" i="89"/>
  <c r="C50" i="89"/>
  <c r="B50" i="89"/>
  <c r="C33" i="89"/>
  <c r="B33" i="89"/>
  <c r="C32" i="89"/>
  <c r="B32" i="89"/>
  <c r="C31" i="89"/>
  <c r="B31" i="89"/>
  <c r="C30" i="89"/>
  <c r="B30" i="89"/>
  <c r="C29" i="89"/>
  <c r="B29" i="89"/>
  <c r="C28" i="89"/>
  <c r="B28" i="89"/>
  <c r="C27" i="89"/>
  <c r="B27" i="89"/>
  <c r="C24" i="89"/>
  <c r="B24" i="89"/>
  <c r="C26" i="89"/>
  <c r="B26" i="89"/>
  <c r="C23" i="89"/>
  <c r="B23" i="89"/>
  <c r="C25" i="89"/>
  <c r="B25" i="89"/>
  <c r="C22" i="89"/>
  <c r="B22" i="89"/>
  <c r="C21" i="89"/>
  <c r="B21" i="89"/>
  <c r="C20" i="89"/>
  <c r="B20" i="89"/>
  <c r="C19" i="89"/>
  <c r="B19" i="89"/>
  <c r="C17" i="89"/>
  <c r="B17" i="89"/>
  <c r="C16" i="89"/>
  <c r="B16" i="89"/>
  <c r="C15" i="89"/>
  <c r="B15" i="89"/>
  <c r="C14" i="89"/>
  <c r="B14" i="89"/>
  <c r="C13" i="89"/>
  <c r="B13" i="89"/>
  <c r="F12" i="89"/>
  <c r="C11" i="89"/>
  <c r="B11" i="89"/>
  <c r="F11" i="89"/>
  <c r="B12" i="89"/>
  <c r="F10" i="89"/>
  <c r="C10" i="89"/>
  <c r="B10" i="89"/>
  <c r="N138" i="87"/>
  <c r="M138" i="87"/>
  <c r="L138" i="87"/>
  <c r="K138" i="87"/>
  <c r="J138" i="87"/>
  <c r="I138" i="87"/>
  <c r="H138" i="87"/>
  <c r="G138" i="87"/>
  <c r="F138" i="87"/>
  <c r="E138" i="87"/>
  <c r="D138" i="87"/>
  <c r="C138" i="87"/>
  <c r="O137" i="87"/>
  <c r="N137" i="87"/>
  <c r="M137" i="87"/>
  <c r="L137" i="87"/>
  <c r="K137" i="87"/>
  <c r="J137" i="87"/>
  <c r="I137" i="87"/>
  <c r="H137" i="87"/>
  <c r="G137" i="87"/>
  <c r="F137" i="87"/>
  <c r="E137" i="87"/>
  <c r="D137" i="87"/>
  <c r="C137" i="87"/>
  <c r="O86" i="87"/>
  <c r="N86" i="87"/>
  <c r="M86" i="87"/>
  <c r="L86" i="87"/>
  <c r="K86" i="87"/>
  <c r="J86" i="87"/>
  <c r="I86" i="87"/>
  <c r="H86" i="87"/>
  <c r="G86" i="87"/>
  <c r="F86" i="87"/>
  <c r="E86" i="87"/>
  <c r="D86" i="87"/>
  <c r="C86" i="87"/>
  <c r="O81" i="87"/>
  <c r="N81" i="87"/>
  <c r="M81" i="87"/>
  <c r="L81" i="87"/>
  <c r="K81" i="87"/>
  <c r="J81" i="87"/>
  <c r="I81" i="87"/>
  <c r="H81" i="87"/>
  <c r="G81" i="87"/>
  <c r="F81" i="87"/>
  <c r="E81" i="87"/>
  <c r="D81" i="87"/>
  <c r="C81" i="87"/>
  <c r="O26" i="87"/>
  <c r="N26" i="87"/>
  <c r="M26" i="87"/>
  <c r="L26" i="87"/>
  <c r="K26" i="87"/>
  <c r="J26" i="87"/>
  <c r="I26" i="87"/>
  <c r="H26" i="87"/>
  <c r="G26" i="87"/>
  <c r="F26" i="87"/>
  <c r="E26" i="87"/>
  <c r="D26" i="87"/>
  <c r="C26" i="87"/>
  <c r="C22" i="87"/>
  <c r="G18" i="84"/>
  <c r="D18" i="84"/>
  <c r="C18" i="84"/>
  <c r="G17" i="84"/>
  <c r="D17" i="84"/>
  <c r="C17" i="84"/>
  <c r="G16" i="84"/>
  <c r="D16" i="84"/>
  <c r="C16" i="84"/>
  <c r="G15" i="84"/>
  <c r="D15" i="84"/>
  <c r="C15" i="84"/>
  <c r="G14" i="84"/>
  <c r="D14" i="84"/>
  <c r="C14" i="84"/>
  <c r="G13" i="84"/>
  <c r="D13" i="84"/>
  <c r="C13" i="84"/>
  <c r="G12" i="84"/>
  <c r="D12" i="84"/>
  <c r="C12" i="84"/>
  <c r="G11" i="84"/>
  <c r="D11" i="84"/>
  <c r="C11" i="84"/>
  <c r="G10" i="84"/>
  <c r="D10" i="84"/>
  <c r="C10" i="84"/>
  <c r="G9" i="84"/>
  <c r="D9" i="84"/>
  <c r="C9" i="84"/>
  <c r="G8" i="84"/>
  <c r="D8" i="84"/>
  <c r="C8" i="84"/>
  <c r="G7" i="84"/>
  <c r="D7" i="84"/>
  <c r="C7" i="84"/>
  <c r="G6" i="84"/>
  <c r="D6" i="84"/>
  <c r="C6" i="84"/>
  <c r="J35" i="95"/>
  <c r="I35" i="95"/>
  <c r="D35" i="95"/>
  <c r="C35" i="95"/>
  <c r="J34" i="95"/>
  <c r="I34" i="95"/>
  <c r="F34" i="95" a="1"/>
  <c r="F34" i="95" s="1"/>
  <c r="D34" i="95"/>
  <c r="C34" i="95"/>
  <c r="J33" i="95"/>
  <c r="I33" i="95"/>
  <c r="F33" i="95" a="1"/>
  <c r="F33" i="95" s="1"/>
  <c r="D33" i="95"/>
  <c r="C33" i="95"/>
  <c r="J32" i="95"/>
  <c r="I32" i="95"/>
  <c r="F32" i="95" a="1"/>
  <c r="F32" i="95" s="1"/>
  <c r="D32" i="95"/>
  <c r="C32" i="95"/>
  <c r="J31" i="95"/>
  <c r="I31" i="95"/>
  <c r="F31" i="95" a="1"/>
  <c r="F31" i="95" s="1"/>
  <c r="D31" i="95"/>
  <c r="C31" i="95"/>
  <c r="J30" i="95"/>
  <c r="K30" i="95" s="1"/>
  <c r="I30" i="95"/>
  <c r="F30" i="95" a="1"/>
  <c r="F30" i="95" s="1"/>
  <c r="D30" i="95"/>
  <c r="C30" i="95"/>
  <c r="J29" i="95"/>
  <c r="I29" i="95"/>
  <c r="F29" i="95" a="1"/>
  <c r="F29" i="95" s="1"/>
  <c r="D29" i="95"/>
  <c r="C29" i="95"/>
  <c r="J28" i="95"/>
  <c r="I28" i="95"/>
  <c r="F28" i="95" a="1"/>
  <c r="F28" i="95" s="1"/>
  <c r="D28" i="95"/>
  <c r="C28" i="95"/>
  <c r="J27" i="95"/>
  <c r="I27" i="95"/>
  <c r="F27" i="95" a="1"/>
  <c r="F27" i="95" s="1"/>
  <c r="D27" i="95"/>
  <c r="C27" i="95"/>
  <c r="J26" i="95"/>
  <c r="I26" i="95"/>
  <c r="F26" i="95" a="1"/>
  <c r="F26" i="95" s="1"/>
  <c r="D26" i="95"/>
  <c r="C26" i="95"/>
  <c r="J25" i="95"/>
  <c r="I25" i="95"/>
  <c r="F25" i="95" a="1"/>
  <c r="F25" i="95" s="1"/>
  <c r="D25" i="95"/>
  <c r="C25" i="95"/>
  <c r="J24" i="95"/>
  <c r="K24" i="95" s="1"/>
  <c r="I24" i="95"/>
  <c r="F24" i="95" a="1"/>
  <c r="F24" i="95" s="1"/>
  <c r="D24" i="95"/>
  <c r="C24" i="95"/>
  <c r="J23" i="95"/>
  <c r="I23" i="95"/>
  <c r="F23" i="95" a="1"/>
  <c r="F23" i="95" s="1"/>
  <c r="D23" i="95"/>
  <c r="C23" i="95"/>
  <c r="J18" i="95"/>
  <c r="K18" i="95" s="1"/>
  <c r="I18" i="95"/>
  <c r="D18" i="95"/>
  <c r="C18" i="95"/>
  <c r="L17" i="95" a="1"/>
  <c r="L17" i="95" s="1"/>
  <c r="J17" i="95"/>
  <c r="I17" i="95"/>
  <c r="F17" i="95" a="1"/>
  <c r="F17" i="95" s="1"/>
  <c r="D17" i="95"/>
  <c r="C17" i="95"/>
  <c r="L16" i="95" a="1"/>
  <c r="L16" i="95" s="1"/>
  <c r="J16" i="95"/>
  <c r="I16" i="95"/>
  <c r="F16" i="95" a="1"/>
  <c r="F16" i="95" s="1"/>
  <c r="D16" i="95"/>
  <c r="C16" i="95"/>
  <c r="L15" i="95" a="1"/>
  <c r="L15" i="95" s="1"/>
  <c r="J15" i="95"/>
  <c r="I15" i="95"/>
  <c r="F15" i="95" a="1"/>
  <c r="F15" i="95" s="1"/>
  <c r="D15" i="95"/>
  <c r="C15" i="95"/>
  <c r="E15" i="95" s="1"/>
  <c r="L14" i="95" a="1"/>
  <c r="L14" i="95" s="1"/>
  <c r="J14" i="95"/>
  <c r="I14" i="95"/>
  <c r="F14" i="95" a="1"/>
  <c r="F14" i="95" s="1"/>
  <c r="D14" i="95"/>
  <c r="C14" i="95"/>
  <c r="L13" i="95" a="1"/>
  <c r="L13" i="95" s="1"/>
  <c r="J13" i="95"/>
  <c r="I13" i="95"/>
  <c r="F13" i="95" a="1"/>
  <c r="F13" i="95" s="1"/>
  <c r="D13" i="95"/>
  <c r="C13" i="95"/>
  <c r="L12" i="95" a="1"/>
  <c r="L12" i="95" s="1"/>
  <c r="J12" i="95"/>
  <c r="I12" i="95"/>
  <c r="F12" i="95" a="1"/>
  <c r="F12" i="95" s="1"/>
  <c r="D12" i="95"/>
  <c r="C12" i="95"/>
  <c r="L11" i="95" a="1"/>
  <c r="L11" i="95" s="1"/>
  <c r="J11" i="95"/>
  <c r="I11" i="95"/>
  <c r="F11" i="95" a="1"/>
  <c r="F11" i="95" s="1"/>
  <c r="D11" i="95"/>
  <c r="C11" i="95"/>
  <c r="E11" i="95" s="1"/>
  <c r="L10" i="95" a="1"/>
  <c r="L10" i="95" s="1"/>
  <c r="J10" i="95"/>
  <c r="I10" i="95"/>
  <c r="F10" i="95" a="1"/>
  <c r="F10" i="95" s="1"/>
  <c r="D10" i="95"/>
  <c r="C10" i="95"/>
  <c r="L9" i="95" a="1"/>
  <c r="L9" i="95" s="1"/>
  <c r="J9" i="95"/>
  <c r="I9" i="95"/>
  <c r="F9" i="95" a="1"/>
  <c r="F9" i="95" s="1"/>
  <c r="D9" i="95"/>
  <c r="C9" i="95"/>
  <c r="L8" i="95" a="1"/>
  <c r="L8" i="95" s="1"/>
  <c r="J8" i="95"/>
  <c r="I8" i="95"/>
  <c r="F8" i="95" a="1"/>
  <c r="F8" i="95" s="1"/>
  <c r="D8" i="95"/>
  <c r="C8" i="95"/>
  <c r="L7" i="95" a="1"/>
  <c r="L7" i="95" s="1"/>
  <c r="J7" i="95"/>
  <c r="I7" i="95"/>
  <c r="F7" i="95" a="1"/>
  <c r="F7" i="95" s="1"/>
  <c r="D7" i="95"/>
  <c r="C7" i="95"/>
  <c r="L6" i="95" a="1"/>
  <c r="L6" i="95" s="1"/>
  <c r="J6" i="95"/>
  <c r="I6" i="95"/>
  <c r="F6" i="95" a="1"/>
  <c r="F6" i="95" s="1"/>
  <c r="D6" i="95"/>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T99" i="110"/>
  <c r="AG104" i="110" s="1" a="1"/>
  <c r="B99" i="110"/>
  <c r="E102" i="110" s="1" a="1"/>
  <c r="T92" i="110"/>
  <c r="AF97" i="110" s="1" a="1"/>
  <c r="B92" i="110"/>
  <c r="P97" i="110" s="1" a="1"/>
  <c r="T85" i="110"/>
  <c r="AF89" i="110" s="1" a="1"/>
  <c r="B85" i="110"/>
  <c r="D90" i="110" s="1" a="1"/>
  <c r="T78" i="110"/>
  <c r="AG81" i="110" s="1" a="1"/>
  <c r="B78" i="110"/>
  <c r="O83" i="110" s="1" a="1"/>
  <c r="T71" i="110"/>
  <c r="X76" i="110" s="1" a="1"/>
  <c r="B71" i="110"/>
  <c r="T64" i="110"/>
  <c r="AE69" i="110" s="1"/>
  <c r="B64" i="110"/>
  <c r="Q69" i="110" s="1"/>
  <c r="T57" i="110"/>
  <c r="B57" i="110"/>
  <c r="H60" i="110" s="1"/>
  <c r="T50" i="110"/>
  <c r="AB55" i="110" s="1"/>
  <c r="B50" i="110"/>
  <c r="J54" i="110" s="1"/>
  <c r="T43" i="110"/>
  <c r="Z47" i="110" s="1"/>
  <c r="B43" i="110"/>
  <c r="N48" i="110" s="1"/>
  <c r="T36" i="110"/>
  <c r="AA41" i="110" s="1"/>
  <c r="B36" i="110"/>
  <c r="I39" i="110" s="1"/>
  <c r="T29" i="110"/>
  <c r="B29" i="110"/>
  <c r="P34" i="110" s="1"/>
  <c r="T22" i="110"/>
  <c r="B22" i="110"/>
  <c r="J27" i="110" s="1"/>
  <c r="T15" i="110"/>
  <c r="AJ20" i="110" s="1"/>
  <c r="B15" i="110"/>
  <c r="G20" i="110" s="1"/>
  <c r="T8" i="110"/>
  <c r="V12" i="110" s="1"/>
  <c r="B8" i="110"/>
  <c r="J12" i="110" s="1"/>
  <c r="B99" i="108"/>
  <c r="G102" i="108" s="1" a="1"/>
  <c r="T92" i="108"/>
  <c r="AF94" i="108" s="1" a="1"/>
  <c r="AF94" i="108" s="1"/>
  <c r="B92" i="108"/>
  <c r="L96" i="108" s="1" a="1"/>
  <c r="L96" i="108" s="1"/>
  <c r="T85" i="108"/>
  <c r="AJ90" i="108" s="1" a="1"/>
  <c r="AJ90" i="108" s="1"/>
  <c r="B85" i="108"/>
  <c r="T78" i="108"/>
  <c r="B78" i="108"/>
  <c r="G80" i="108" s="1" a="1"/>
  <c r="G80" i="108" s="1"/>
  <c r="T71" i="108"/>
  <c r="X75" i="108" s="1" a="1"/>
  <c r="X75" i="108" s="1"/>
  <c r="B71" i="108"/>
  <c r="Q73" i="108" s="1"/>
  <c r="T64" i="108"/>
  <c r="V69" i="108" s="1"/>
  <c r="B64" i="108"/>
  <c r="D68" i="108" s="1"/>
  <c r="T57" i="108"/>
  <c r="AB60" i="108" s="1"/>
  <c r="B57" i="108"/>
  <c r="T50" i="108"/>
  <c r="Z55" i="108" s="1"/>
  <c r="B50" i="108"/>
  <c r="C55" i="108" s="1"/>
  <c r="T43" i="108"/>
  <c r="Y46" i="108" s="1"/>
  <c r="B43" i="108"/>
  <c r="H47" i="108" s="1"/>
  <c r="T36" i="108"/>
  <c r="AC41" i="108" s="1"/>
  <c r="B36" i="108"/>
  <c r="M41" i="108" s="1"/>
  <c r="T29" i="108"/>
  <c r="AH31" i="108" s="1"/>
  <c r="B29" i="108"/>
  <c r="O34" i="108" s="1"/>
  <c r="T22" i="108"/>
  <c r="AC27" i="108" s="1"/>
  <c r="B22" i="108"/>
  <c r="F24" i="108" s="1"/>
  <c r="T15" i="108"/>
  <c r="B15" i="108"/>
  <c r="L20" i="108" s="1"/>
  <c r="T8" i="108"/>
  <c r="U11" i="108" s="1"/>
  <c r="B8" i="108"/>
  <c r="B99" i="109"/>
  <c r="T92" i="109"/>
  <c r="V94" i="109" s="1"/>
  <c r="B92" i="109"/>
  <c r="C97" i="109" s="1"/>
  <c r="T85" i="109"/>
  <c r="AB89" i="109" s="1"/>
  <c r="B85" i="109"/>
  <c r="K88" i="109" s="1"/>
  <c r="T78" i="109"/>
  <c r="V83" i="109" s="1"/>
  <c r="B78" i="109"/>
  <c r="T71" i="109"/>
  <c r="AB76" i="109" s="1"/>
  <c r="B71" i="109"/>
  <c r="J74" i="109" s="1"/>
  <c r="T64" i="109"/>
  <c r="AB69" i="109" s="1"/>
  <c r="B64" i="109"/>
  <c r="O67" i="109" s="1"/>
  <c r="T57" i="109"/>
  <c r="AB62" i="109" s="1"/>
  <c r="B57" i="109"/>
  <c r="R59" i="109" s="1"/>
  <c r="T50" i="109"/>
  <c r="AB55" i="109" s="1"/>
  <c r="B50" i="109"/>
  <c r="K53" i="109" s="1"/>
  <c r="T43" i="109"/>
  <c r="X47" i="109" s="1"/>
  <c r="B43" i="109"/>
  <c r="T36" i="109"/>
  <c r="W38" i="109" s="1"/>
  <c r="B36" i="109"/>
  <c r="J41" i="109" s="1"/>
  <c r="T29" i="109"/>
  <c r="AB33" i="109" s="1"/>
  <c r="B29" i="109"/>
  <c r="L34" i="109" s="1"/>
  <c r="T22" i="109"/>
  <c r="U27" i="109" s="1"/>
  <c r="B22" i="109"/>
  <c r="Q27" i="109" s="1"/>
  <c r="T15" i="109"/>
  <c r="B15" i="109"/>
  <c r="T8" i="109"/>
  <c r="B8" i="109"/>
  <c r="O13" i="109" s="1"/>
  <c r="T99" i="107"/>
  <c r="Z103" i="107" s="1"/>
  <c r="B99" i="107"/>
  <c r="R104" i="107" s="1"/>
  <c r="T92" i="107"/>
  <c r="AE95" i="107" s="1"/>
  <c r="B92" i="107"/>
  <c r="M97" i="107" s="1"/>
  <c r="T85" i="107"/>
  <c r="B85" i="107"/>
  <c r="R87" i="107" s="1"/>
  <c r="T78" i="107"/>
  <c r="B78" i="107"/>
  <c r="N83" i="107" s="1"/>
  <c r="T71" i="107"/>
  <c r="AB73" i="107" s="1"/>
  <c r="B71" i="107"/>
  <c r="R76" i="107" s="1"/>
  <c r="T64" i="107"/>
  <c r="Z69" i="107" s="1"/>
  <c r="B64" i="107"/>
  <c r="R69" i="107" s="1"/>
  <c r="T57" i="107"/>
  <c r="AI62" i="107" s="1"/>
  <c r="B57" i="107"/>
  <c r="R62" i="107" s="1"/>
  <c r="T50" i="107"/>
  <c r="U55" i="107" s="1"/>
  <c r="B50" i="107"/>
  <c r="R55" i="107" s="1"/>
  <c r="T43" i="107"/>
  <c r="AH48" i="107" s="1"/>
  <c r="B43" i="107"/>
  <c r="R48" i="107" s="1"/>
  <c r="T36" i="107"/>
  <c r="X39" i="107" s="1"/>
  <c r="B36" i="107"/>
  <c r="R41" i="107" s="1"/>
  <c r="T29" i="107"/>
  <c r="AJ34" i="107" s="1"/>
  <c r="B29" i="107"/>
  <c r="R34" i="107" s="1"/>
  <c r="T22" i="107"/>
  <c r="B22" i="107"/>
  <c r="R27" i="107" s="1"/>
  <c r="T15" i="107"/>
  <c r="AD20" i="107" s="1"/>
  <c r="B15" i="107"/>
  <c r="R20" i="107" s="1"/>
  <c r="T8" i="107"/>
  <c r="AH13" i="107" s="1"/>
  <c r="B8" i="107"/>
  <c r="R13" i="107" s="1"/>
  <c r="B124" i="81"/>
  <c r="D124" i="81" s="1"/>
  <c r="B123" i="81"/>
  <c r="D123" i="81" s="1"/>
  <c r="B122" i="81"/>
  <c r="D122" i="81" s="1"/>
  <c r="B121" i="81"/>
  <c r="D121" i="81" s="1"/>
  <c r="B120" i="81"/>
  <c r="D120" i="81" s="1"/>
  <c r="B119" i="81"/>
  <c r="D119" i="81" s="1"/>
  <c r="B118" i="81"/>
  <c r="D118" i="81" s="1"/>
  <c r="B117" i="81"/>
  <c r="D117" i="81" s="1"/>
  <c r="B116" i="81"/>
  <c r="D116" i="81" s="1"/>
  <c r="B115" i="81"/>
  <c r="D115" i="81" s="1"/>
  <c r="B114" i="81"/>
  <c r="D114" i="81" s="1"/>
  <c r="B113" i="81"/>
  <c r="D113" i="81" s="1"/>
  <c r="B112" i="81"/>
  <c r="D112" i="81" s="1"/>
  <c r="B111" i="81"/>
  <c r="D111" i="81" s="1"/>
  <c r="B110" i="81"/>
  <c r="D110" i="81" s="1"/>
  <c r="B109" i="81"/>
  <c r="D109" i="81" s="1"/>
  <c r="B108" i="81"/>
  <c r="D108" i="81" s="1"/>
  <c r="B107" i="81"/>
  <c r="D107" i="81" s="1"/>
  <c r="B106" i="81"/>
  <c r="D106" i="81" s="1"/>
  <c r="B105" i="81"/>
  <c r="D105" i="81" s="1"/>
  <c r="B104" i="81"/>
  <c r="D104" i="81" s="1"/>
  <c r="B103" i="81"/>
  <c r="D103" i="81" s="1"/>
  <c r="B102" i="81"/>
  <c r="D102" i="81" s="1"/>
  <c r="B101" i="81"/>
  <c r="D101" i="81" s="1"/>
  <c r="B100" i="81"/>
  <c r="D100" i="81" s="1"/>
  <c r="B99" i="81"/>
  <c r="D99" i="81" s="1"/>
  <c r="B98" i="81"/>
  <c r="D98" i="81" s="1"/>
  <c r="G97" i="81"/>
  <c r="E97" i="81"/>
  <c r="D97" i="81"/>
  <c r="C97" i="81"/>
  <c r="B94" i="81"/>
  <c r="I94" i="81" s="1"/>
  <c r="B93" i="81"/>
  <c r="J93" i="81" s="1"/>
  <c r="B92" i="81"/>
  <c r="I92" i="81" s="1"/>
  <c r="B91" i="81"/>
  <c r="B90" i="81"/>
  <c r="I90" i="81" s="1"/>
  <c r="B89" i="81"/>
  <c r="I89" i="81" s="1"/>
  <c r="B88" i="81"/>
  <c r="I88" i="81" s="1"/>
  <c r="B87" i="81"/>
  <c r="F87" i="81" s="1"/>
  <c r="B86" i="81"/>
  <c r="I86" i="81" s="1"/>
  <c r="B85" i="81"/>
  <c r="J85" i="81" s="1"/>
  <c r="B84" i="81"/>
  <c r="I84" i="81" s="1"/>
  <c r="B83" i="81"/>
  <c r="B82" i="81"/>
  <c r="I82" i="81" s="1"/>
  <c r="B81" i="81"/>
  <c r="I81" i="81" s="1"/>
  <c r="B80" i="81"/>
  <c r="I80" i="81" s="1"/>
  <c r="B79" i="81"/>
  <c r="F79" i="81" s="1"/>
  <c r="B78" i="81"/>
  <c r="I78" i="81" s="1"/>
  <c r="B77" i="81"/>
  <c r="F77" i="81" s="1"/>
  <c r="B76" i="81"/>
  <c r="I76" i="81" s="1"/>
  <c r="B75" i="81"/>
  <c r="B74" i="81"/>
  <c r="I74" i="81" s="1"/>
  <c r="B73" i="81"/>
  <c r="F73" i="81" s="1"/>
  <c r="B72" i="81"/>
  <c r="I72" i="81" s="1"/>
  <c r="B71" i="81"/>
  <c r="F71" i="81" s="1"/>
  <c r="B70" i="81"/>
  <c r="I70" i="81" s="1"/>
  <c r="B69" i="81"/>
  <c r="I69" i="81" s="1"/>
  <c r="B68" i="81"/>
  <c r="I68" i="81" s="1"/>
  <c r="J67" i="81"/>
  <c r="I67" i="81"/>
  <c r="G67" i="81"/>
  <c r="F67" i="81"/>
  <c r="D67" i="81"/>
  <c r="C67" i="81"/>
  <c r="B64" i="81"/>
  <c r="F64" i="81" s="1"/>
  <c r="B63" i="81"/>
  <c r="F63" i="81" s="1"/>
  <c r="B62" i="81"/>
  <c r="F62" i="81" s="1"/>
  <c r="B61" i="81"/>
  <c r="B60" i="81"/>
  <c r="F60" i="81" s="1"/>
  <c r="B59" i="81"/>
  <c r="F59" i="81" s="1"/>
  <c r="B58" i="81"/>
  <c r="F58" i="81" s="1"/>
  <c r="B57" i="81"/>
  <c r="F57" i="81" s="1"/>
  <c r="B56" i="81"/>
  <c r="B55" i="81"/>
  <c r="B54" i="81"/>
  <c r="I54" i="81" s="1"/>
  <c r="B53" i="81"/>
  <c r="B52" i="81"/>
  <c r="L52" i="81" s="1"/>
  <c r="B51" i="81"/>
  <c r="B50" i="81"/>
  <c r="B49" i="81"/>
  <c r="F49" i="81" s="1"/>
  <c r="B48" i="81"/>
  <c r="G48" i="81" s="1"/>
  <c r="B47" i="81"/>
  <c r="L47" i="81" s="1"/>
  <c r="B46" i="81"/>
  <c r="B45" i="81"/>
  <c r="B44" i="81"/>
  <c r="K44" i="81" s="1"/>
  <c r="B43" i="81"/>
  <c r="I43" i="81" s="1"/>
  <c r="B42" i="81"/>
  <c r="I42" i="81" s="1"/>
  <c r="B41" i="81"/>
  <c r="G41" i="81" s="1"/>
  <c r="B40" i="81"/>
  <c r="G40" i="81" s="1"/>
  <c r="B39" i="81"/>
  <c r="L39" i="81" s="1"/>
  <c r="B38" i="81"/>
  <c r="K38" i="81" s="1"/>
  <c r="L37" i="81"/>
  <c r="K37" i="81"/>
  <c r="I37" i="81"/>
  <c r="G37" i="81"/>
  <c r="F37" i="81"/>
  <c r="D37" i="81"/>
  <c r="C37" i="81"/>
  <c r="B34" i="81"/>
  <c r="H34" i="81" s="1"/>
  <c r="B33" i="81"/>
  <c r="H33" i="81" s="1"/>
  <c r="B32" i="81"/>
  <c r="H32" i="81" s="1"/>
  <c r="B31" i="81"/>
  <c r="B30" i="81"/>
  <c r="H30" i="81" s="1"/>
  <c r="B29" i="81"/>
  <c r="D29" i="81" s="1"/>
  <c r="B28" i="81"/>
  <c r="H28" i="81" s="1"/>
  <c r="B27" i="81"/>
  <c r="B26" i="81"/>
  <c r="H26" i="81" s="1"/>
  <c r="B25" i="81"/>
  <c r="D25" i="81" s="1"/>
  <c r="B24" i="81"/>
  <c r="H24" i="81" s="1"/>
  <c r="B23" i="81"/>
  <c r="B22" i="81"/>
  <c r="H22" i="81" s="1"/>
  <c r="B21" i="81"/>
  <c r="H21" i="81" s="1"/>
  <c r="B20" i="81"/>
  <c r="H20" i="81" s="1"/>
  <c r="B19" i="81"/>
  <c r="B18" i="81"/>
  <c r="H18" i="81" s="1"/>
  <c r="B17" i="81"/>
  <c r="B16" i="81"/>
  <c r="H16" i="81" s="1"/>
  <c r="B15" i="81"/>
  <c r="B14" i="81"/>
  <c r="H14" i="81" s="1"/>
  <c r="B13" i="81"/>
  <c r="D13" i="81" s="1"/>
  <c r="B12" i="81"/>
  <c r="H12" i="81" s="1"/>
  <c r="B11" i="81"/>
  <c r="B10" i="81"/>
  <c r="H10" i="81" s="1"/>
  <c r="B9" i="81"/>
  <c r="B8" i="81"/>
  <c r="H8" i="81" s="1"/>
  <c r="K7" i="81"/>
  <c r="J7" i="81"/>
  <c r="H7" i="81"/>
  <c r="G7" i="81"/>
  <c r="E7" i="81"/>
  <c r="D7" i="81"/>
  <c r="C7" i="81"/>
  <c r="T99" i="105"/>
  <c r="AJ104" i="105" s="1"/>
  <c r="B99" i="105"/>
  <c r="F102" i="105" s="1"/>
  <c r="T92" i="105"/>
  <c r="V97" i="105" s="1"/>
  <c r="B92" i="105"/>
  <c r="K97" i="105" s="1"/>
  <c r="T85" i="105"/>
  <c r="AG90" i="105" s="1"/>
  <c r="B85" i="105"/>
  <c r="O88" i="105" s="1"/>
  <c r="T78" i="105"/>
  <c r="AD82" i="105" s="1"/>
  <c r="B78" i="105"/>
  <c r="L83" i="105" s="1"/>
  <c r="T71" i="105"/>
  <c r="X76" i="105" s="1"/>
  <c r="B71" i="105"/>
  <c r="O76" i="105" s="1"/>
  <c r="T64" i="105"/>
  <c r="AJ69" i="105" s="1"/>
  <c r="B64" i="105"/>
  <c r="L69" i="105" s="1"/>
  <c r="T57" i="105"/>
  <c r="Z59" i="105" s="1"/>
  <c r="B57" i="105"/>
  <c r="O60" i="105" s="1"/>
  <c r="T50" i="105"/>
  <c r="Y54" i="105" s="1"/>
  <c r="B50" i="105"/>
  <c r="O55" i="105" s="1"/>
  <c r="T43" i="105"/>
  <c r="B43" i="105"/>
  <c r="T36" i="105"/>
  <c r="AJ39" i="105" s="1"/>
  <c r="B36" i="105"/>
  <c r="G41" i="105" s="1"/>
  <c r="T29" i="105"/>
  <c r="AD34" i="105" s="1"/>
  <c r="B29" i="105"/>
  <c r="T22" i="105"/>
  <c r="AG27" i="105" s="1"/>
  <c r="B22" i="105"/>
  <c r="O27" i="105" s="1"/>
  <c r="T15" i="105"/>
  <c r="AC20" i="105" s="1"/>
  <c r="B15" i="105"/>
  <c r="L19" i="105" s="1"/>
  <c r="T8" i="105"/>
  <c r="AH13" i="105" s="1"/>
  <c r="B8" i="105"/>
  <c r="O11" i="105" s="1"/>
  <c r="T99" i="102"/>
  <c r="U101" i="102" s="1"/>
  <c r="B99" i="102"/>
  <c r="P99" i="102" s="1"/>
  <c r="T92" i="102"/>
  <c r="AH92" i="102" s="1"/>
  <c r="B92" i="102"/>
  <c r="L97" i="102" s="1"/>
  <c r="T85" i="102"/>
  <c r="AH85" i="102" s="1"/>
  <c r="B85" i="102"/>
  <c r="K88" i="102" s="1"/>
  <c r="T78" i="102"/>
  <c r="AH78" i="102" s="1"/>
  <c r="B78" i="102"/>
  <c r="L83" i="102" s="1"/>
  <c r="T71" i="102"/>
  <c r="AB76" i="102" s="1"/>
  <c r="B71" i="102"/>
  <c r="L104" i="102" s="1"/>
  <c r="T64" i="102"/>
  <c r="AB97" i="102" s="1"/>
  <c r="B64" i="102"/>
  <c r="L66" i="102" s="1"/>
  <c r="T57" i="102"/>
  <c r="AH61" i="102" s="1"/>
  <c r="B57" i="102"/>
  <c r="O62" i="102" s="1"/>
  <c r="T50" i="102"/>
  <c r="AH55" i="102" s="1"/>
  <c r="B50" i="102"/>
  <c r="P54" i="102" s="1"/>
  <c r="T43" i="102"/>
  <c r="AG47" i="102" s="1"/>
  <c r="B43" i="102"/>
  <c r="F46" i="102" s="1"/>
  <c r="T36" i="102"/>
  <c r="AJ39" i="102" s="1"/>
  <c r="B36" i="102"/>
  <c r="G41" i="102" s="1"/>
  <c r="T29" i="102"/>
  <c r="AD32" i="102" s="1"/>
  <c r="B29" i="102"/>
  <c r="O34" i="102" s="1"/>
  <c r="T22" i="102"/>
  <c r="AC27" i="102" s="1"/>
  <c r="B22" i="102"/>
  <c r="D27" i="102" s="1"/>
  <c r="T15" i="102"/>
  <c r="W20" i="102" s="1"/>
  <c r="B15" i="102"/>
  <c r="J20" i="102" s="1"/>
  <c r="T8" i="102"/>
  <c r="B8" i="102"/>
  <c r="P13" i="102" s="1"/>
  <c r="S68" i="111"/>
  <c r="R68" i="111"/>
  <c r="Q68" i="111"/>
  <c r="P68" i="111"/>
  <c r="O68" i="111"/>
  <c r="N68" i="111"/>
  <c r="M68" i="111"/>
  <c r="L68" i="111"/>
  <c r="K68" i="111"/>
  <c r="AD68" i="111" s="1"/>
  <c r="J68" i="111"/>
  <c r="I68" i="111"/>
  <c r="H68" i="111"/>
  <c r="G68" i="111"/>
  <c r="F68" i="111"/>
  <c r="E68" i="111"/>
  <c r="D68" i="111"/>
  <c r="C68" i="111"/>
  <c r="V68" i="111" s="1"/>
  <c r="S67" i="111"/>
  <c r="R67" i="111"/>
  <c r="Q67" i="111"/>
  <c r="P67" i="111"/>
  <c r="O67" i="111"/>
  <c r="N67" i="111"/>
  <c r="M67" i="111"/>
  <c r="L67" i="111"/>
  <c r="K67" i="111"/>
  <c r="AD67" i="111" s="1"/>
  <c r="J67" i="111"/>
  <c r="I67" i="111"/>
  <c r="H67" i="111"/>
  <c r="G67" i="111"/>
  <c r="F67" i="111"/>
  <c r="E67" i="111"/>
  <c r="D67" i="111"/>
  <c r="C67" i="111"/>
  <c r="V67" i="111" s="1"/>
  <c r="S66" i="111"/>
  <c r="R66" i="111"/>
  <c r="Q66" i="111"/>
  <c r="P66" i="111"/>
  <c r="O66" i="111"/>
  <c r="AH66" i="111" s="1"/>
  <c r="N66" i="111"/>
  <c r="M66" i="111"/>
  <c r="L66" i="111"/>
  <c r="AE66" i="111" s="1"/>
  <c r="K66" i="111"/>
  <c r="AD66" i="111" s="1"/>
  <c r="J66" i="111"/>
  <c r="I66" i="111"/>
  <c r="H66" i="111"/>
  <c r="AA66" i="111" s="1"/>
  <c r="G66" i="111"/>
  <c r="F66" i="111"/>
  <c r="E66" i="111"/>
  <c r="D66" i="111"/>
  <c r="C66" i="111"/>
  <c r="V66" i="111" s="1"/>
  <c r="S65" i="111"/>
  <c r="R65" i="111"/>
  <c r="Q65" i="111"/>
  <c r="P65" i="111"/>
  <c r="AI65" i="111" s="1"/>
  <c r="O65" i="111"/>
  <c r="AH65" i="111" s="1"/>
  <c r="N65" i="111"/>
  <c r="M65" i="111"/>
  <c r="L65" i="111"/>
  <c r="AE65" i="111" s="1"/>
  <c r="K65" i="111"/>
  <c r="AD65" i="111" s="1"/>
  <c r="J65" i="111"/>
  <c r="I65" i="111"/>
  <c r="H65" i="111"/>
  <c r="G65" i="111"/>
  <c r="Z65" i="111" s="1"/>
  <c r="F65" i="111"/>
  <c r="E65" i="111"/>
  <c r="D65" i="111"/>
  <c r="W65" i="111" s="1"/>
  <c r="C65" i="111"/>
  <c r="V65" i="111" s="1"/>
  <c r="S64" i="111"/>
  <c r="R64" i="111"/>
  <c r="Q64" i="111"/>
  <c r="P64" i="111"/>
  <c r="O64" i="111"/>
  <c r="N64" i="111"/>
  <c r="M64" i="111"/>
  <c r="L64" i="111"/>
  <c r="K64" i="111"/>
  <c r="AD64" i="111" s="1"/>
  <c r="J64" i="111"/>
  <c r="I64" i="111"/>
  <c r="H64" i="111"/>
  <c r="G64" i="111"/>
  <c r="F64" i="111"/>
  <c r="E64" i="111"/>
  <c r="D64" i="111"/>
  <c r="C64" i="111"/>
  <c r="V64" i="111" s="1"/>
  <c r="S63" i="111"/>
  <c r="Z63" i="111" s="1"/>
  <c r="R63" i="111"/>
  <c r="Q63" i="111"/>
  <c r="P63" i="111"/>
  <c r="O63" i="111"/>
  <c r="AH63" i="111" s="1"/>
  <c r="N63" i="111"/>
  <c r="M63" i="111"/>
  <c r="L63" i="111"/>
  <c r="K63" i="111"/>
  <c r="AD63" i="111" s="1"/>
  <c r="J63" i="111"/>
  <c r="I63" i="111"/>
  <c r="H63" i="111"/>
  <c r="G63" i="111"/>
  <c r="F63" i="111"/>
  <c r="E63" i="111"/>
  <c r="D63" i="111"/>
  <c r="C63" i="111"/>
  <c r="V63" i="111" s="1"/>
  <c r="AI62" i="111"/>
  <c r="S62" i="111"/>
  <c r="R62" i="111"/>
  <c r="Q62" i="111"/>
  <c r="P62" i="111"/>
  <c r="O62" i="111"/>
  <c r="AH62" i="111" s="1"/>
  <c r="N62" i="111"/>
  <c r="M62" i="111"/>
  <c r="L62" i="111"/>
  <c r="K62" i="111"/>
  <c r="AD62" i="111" s="1"/>
  <c r="J62" i="111"/>
  <c r="I62" i="111"/>
  <c r="H62" i="111"/>
  <c r="G62" i="111"/>
  <c r="Z62" i="111" s="1"/>
  <c r="F62" i="111"/>
  <c r="E62" i="111"/>
  <c r="D62" i="111"/>
  <c r="W62" i="111" s="1"/>
  <c r="C62" i="111"/>
  <c r="V62" i="111" s="1"/>
  <c r="S61" i="111"/>
  <c r="R61" i="111"/>
  <c r="Q61" i="111"/>
  <c r="P61" i="111"/>
  <c r="O61" i="111"/>
  <c r="N61" i="111"/>
  <c r="M61" i="111"/>
  <c r="L61" i="111"/>
  <c r="K61" i="111"/>
  <c r="AD61" i="111" s="1"/>
  <c r="J61" i="111"/>
  <c r="I61" i="111"/>
  <c r="H61" i="111"/>
  <c r="G61" i="111"/>
  <c r="F61" i="111"/>
  <c r="E61" i="111"/>
  <c r="D61" i="111"/>
  <c r="C61" i="111"/>
  <c r="V61" i="111" s="1"/>
  <c r="S60" i="111"/>
  <c r="R60" i="111"/>
  <c r="Q60" i="111"/>
  <c r="P60" i="111"/>
  <c r="O60" i="111"/>
  <c r="N60" i="111"/>
  <c r="M60" i="111"/>
  <c r="L60" i="111"/>
  <c r="K60" i="111"/>
  <c r="AD60" i="111" s="1"/>
  <c r="J60" i="111"/>
  <c r="I60" i="111"/>
  <c r="H60" i="111"/>
  <c r="G60" i="111"/>
  <c r="F60" i="111"/>
  <c r="E60" i="111"/>
  <c r="D60" i="111"/>
  <c r="C60" i="111"/>
  <c r="V60" i="111" s="1"/>
  <c r="S59" i="111"/>
  <c r="R59" i="111"/>
  <c r="Q59" i="111"/>
  <c r="P59" i="111"/>
  <c r="O59" i="111"/>
  <c r="AH59" i="111" s="1"/>
  <c r="N59" i="111"/>
  <c r="M59" i="111"/>
  <c r="L59" i="111"/>
  <c r="K59" i="111"/>
  <c r="AD59" i="111" s="1"/>
  <c r="J59" i="111"/>
  <c r="I59" i="111"/>
  <c r="H59" i="111"/>
  <c r="G59" i="111"/>
  <c r="Z59" i="111" s="1"/>
  <c r="F59" i="111"/>
  <c r="E59" i="111"/>
  <c r="D59" i="111"/>
  <c r="C59" i="111"/>
  <c r="V59" i="111" s="1"/>
  <c r="S58" i="111"/>
  <c r="R58" i="111"/>
  <c r="Q58" i="111"/>
  <c r="P58" i="111"/>
  <c r="O58" i="111"/>
  <c r="N58" i="111"/>
  <c r="M58" i="111"/>
  <c r="L58" i="111"/>
  <c r="K58" i="111"/>
  <c r="AD58" i="111" s="1"/>
  <c r="J58" i="111"/>
  <c r="I58" i="111"/>
  <c r="H58" i="111"/>
  <c r="G58" i="111"/>
  <c r="F58" i="111"/>
  <c r="E58" i="111"/>
  <c r="D58" i="111"/>
  <c r="C58" i="111"/>
  <c r="V58" i="111" s="1"/>
  <c r="S57" i="111"/>
  <c r="R57" i="111"/>
  <c r="Q57" i="111"/>
  <c r="P57" i="111"/>
  <c r="AI57" i="111" s="1"/>
  <c r="O57" i="111"/>
  <c r="N57" i="111"/>
  <c r="M57" i="111"/>
  <c r="L57" i="111"/>
  <c r="AE57" i="111" s="1"/>
  <c r="K57" i="111"/>
  <c r="AD57" i="111" s="1"/>
  <c r="J57" i="111"/>
  <c r="I57" i="111"/>
  <c r="H57" i="111"/>
  <c r="AA57" i="111" s="1"/>
  <c r="G57" i="111"/>
  <c r="F57" i="111"/>
  <c r="E57" i="111"/>
  <c r="D57" i="111"/>
  <c r="W57" i="111" s="1"/>
  <c r="C57" i="111"/>
  <c r="V57" i="111" s="1"/>
  <c r="S56" i="111"/>
  <c r="R56" i="111"/>
  <c r="Q56" i="111"/>
  <c r="P56" i="111"/>
  <c r="O56" i="111"/>
  <c r="N56" i="111"/>
  <c r="M56" i="111"/>
  <c r="L56" i="111"/>
  <c r="K56" i="111"/>
  <c r="AD56" i="111" s="1"/>
  <c r="J56" i="111"/>
  <c r="I56" i="111"/>
  <c r="H56" i="111"/>
  <c r="G56" i="111"/>
  <c r="F56" i="111"/>
  <c r="E56" i="111"/>
  <c r="D56" i="111"/>
  <c r="C56" i="111"/>
  <c r="V56" i="111" s="1"/>
  <c r="S52" i="111"/>
  <c r="R52" i="111"/>
  <c r="Q52" i="111"/>
  <c r="P52" i="111"/>
  <c r="O52" i="111"/>
  <c r="N52" i="111"/>
  <c r="M52" i="111"/>
  <c r="L52" i="111"/>
  <c r="K52" i="111"/>
  <c r="AD52" i="111" s="1"/>
  <c r="J52" i="111"/>
  <c r="I52" i="111"/>
  <c r="H52" i="111"/>
  <c r="G52" i="111"/>
  <c r="F52" i="111"/>
  <c r="E52" i="111"/>
  <c r="D52" i="111"/>
  <c r="C52" i="111"/>
  <c r="V52" i="111" s="1"/>
  <c r="S51" i="111"/>
  <c r="R51" i="111"/>
  <c r="Q51" i="111"/>
  <c r="P51" i="111"/>
  <c r="O51" i="111"/>
  <c r="N51" i="111"/>
  <c r="M51" i="111"/>
  <c r="L51" i="111"/>
  <c r="AE51" i="111" s="1"/>
  <c r="K51" i="111"/>
  <c r="AD51" i="111" s="1"/>
  <c r="J51" i="111"/>
  <c r="I51" i="111"/>
  <c r="H51" i="111"/>
  <c r="G51" i="111"/>
  <c r="Z51" i="111" s="1"/>
  <c r="F51" i="111"/>
  <c r="E51" i="111"/>
  <c r="D51" i="111"/>
  <c r="C51" i="111"/>
  <c r="V51" i="111" s="1"/>
  <c r="S50" i="111"/>
  <c r="R50" i="111"/>
  <c r="AK50" i="111" s="1"/>
  <c r="Q50" i="111"/>
  <c r="P50" i="111"/>
  <c r="AI50" i="111" s="1"/>
  <c r="O50" i="111"/>
  <c r="AH50" i="111" s="1"/>
  <c r="N50" i="111"/>
  <c r="M50" i="111"/>
  <c r="AF50" i="111" s="1"/>
  <c r="L50" i="111"/>
  <c r="K50" i="111"/>
  <c r="AD50" i="111" s="1"/>
  <c r="J50" i="111"/>
  <c r="AC50" i="111" s="1"/>
  <c r="I50" i="111"/>
  <c r="H50" i="111"/>
  <c r="AA50" i="111" s="1"/>
  <c r="G50" i="111"/>
  <c r="Z50" i="111" s="1"/>
  <c r="F50" i="111"/>
  <c r="E50" i="111"/>
  <c r="X50" i="111" s="1"/>
  <c r="D50" i="111"/>
  <c r="C50" i="111"/>
  <c r="V50" i="111" s="1"/>
  <c r="S49" i="111"/>
  <c r="R49" i="111"/>
  <c r="Q49" i="111"/>
  <c r="P49" i="111"/>
  <c r="O49" i="111"/>
  <c r="N49" i="111"/>
  <c r="M49" i="111"/>
  <c r="L49" i="111"/>
  <c r="K49" i="111"/>
  <c r="AD49" i="111" s="1"/>
  <c r="J49" i="111"/>
  <c r="I49" i="111"/>
  <c r="H49" i="111"/>
  <c r="G49" i="111"/>
  <c r="F49" i="111"/>
  <c r="E49" i="111"/>
  <c r="D49" i="111"/>
  <c r="C49" i="111"/>
  <c r="V49" i="111" s="1"/>
  <c r="S48" i="111"/>
  <c r="R48" i="111"/>
  <c r="Q48" i="111"/>
  <c r="P48" i="111"/>
  <c r="O48" i="111"/>
  <c r="N48" i="111"/>
  <c r="M48" i="111"/>
  <c r="L48" i="111"/>
  <c r="K48" i="111"/>
  <c r="AD48" i="111" s="1"/>
  <c r="J48" i="111"/>
  <c r="I48" i="111"/>
  <c r="H48" i="111"/>
  <c r="G48" i="111"/>
  <c r="F48" i="111"/>
  <c r="E48" i="111"/>
  <c r="D48" i="111"/>
  <c r="C48" i="111"/>
  <c r="V48" i="111" s="1"/>
  <c r="S47" i="111"/>
  <c r="R47" i="111"/>
  <c r="Q47" i="111"/>
  <c r="P47" i="111"/>
  <c r="AI47" i="111" s="1"/>
  <c r="O47" i="111"/>
  <c r="AH47" i="111" s="1"/>
  <c r="N47" i="111"/>
  <c r="M47" i="111"/>
  <c r="AF47" i="111" s="1"/>
  <c r="L47" i="111"/>
  <c r="AE47" i="111" s="1"/>
  <c r="K47" i="111"/>
  <c r="AD47" i="111" s="1"/>
  <c r="J47" i="111"/>
  <c r="I47" i="111"/>
  <c r="H47" i="111"/>
  <c r="AA47" i="111" s="1"/>
  <c r="G47" i="111"/>
  <c r="Z47" i="111" s="1"/>
  <c r="F47" i="111"/>
  <c r="E47" i="111"/>
  <c r="X47" i="111" s="1"/>
  <c r="D47" i="111"/>
  <c r="W47" i="111" s="1"/>
  <c r="C47" i="111"/>
  <c r="V47" i="111" s="1"/>
  <c r="S46" i="111"/>
  <c r="AA46" i="111" s="1"/>
  <c r="R46" i="111"/>
  <c r="Q46" i="111"/>
  <c r="P46" i="111"/>
  <c r="O46" i="111"/>
  <c r="N46" i="111"/>
  <c r="M46" i="111"/>
  <c r="L46" i="111"/>
  <c r="K46" i="111"/>
  <c r="AD46" i="111" s="1"/>
  <c r="J46" i="111"/>
  <c r="I46" i="111"/>
  <c r="H46" i="111"/>
  <c r="G46" i="111"/>
  <c r="F46" i="111"/>
  <c r="E46" i="111"/>
  <c r="D46" i="111"/>
  <c r="C46" i="111"/>
  <c r="V46" i="111" s="1"/>
  <c r="S45" i="111"/>
  <c r="R45" i="111"/>
  <c r="Q45" i="111"/>
  <c r="P45" i="111"/>
  <c r="O45" i="111"/>
  <c r="N45" i="111"/>
  <c r="AG45" i="111" s="1"/>
  <c r="M45" i="111"/>
  <c r="L45" i="111"/>
  <c r="K45" i="111"/>
  <c r="AD45" i="111" s="1"/>
  <c r="J45" i="111"/>
  <c r="I45" i="111"/>
  <c r="H45" i="111"/>
  <c r="G45" i="111"/>
  <c r="F45" i="111"/>
  <c r="Y45" i="111" s="1"/>
  <c r="E45" i="111"/>
  <c r="D45" i="111"/>
  <c r="C45" i="111"/>
  <c r="V45" i="111" s="1"/>
  <c r="V44" i="111"/>
  <c r="S44" i="111"/>
  <c r="R44" i="111"/>
  <c r="Q44" i="111"/>
  <c r="P44" i="111"/>
  <c r="AI44" i="111" s="1"/>
  <c r="O44" i="111"/>
  <c r="AH44" i="111" s="1"/>
  <c r="N44" i="111"/>
  <c r="M44" i="111"/>
  <c r="L44" i="111"/>
  <c r="AE44" i="111" s="1"/>
  <c r="K44" i="111"/>
  <c r="AD44" i="111" s="1"/>
  <c r="J44" i="111"/>
  <c r="I44" i="111"/>
  <c r="H44" i="111"/>
  <c r="AA44" i="111" s="1"/>
  <c r="G44" i="111"/>
  <c r="Z44" i="111" s="1"/>
  <c r="F44" i="111"/>
  <c r="E44" i="111"/>
  <c r="D44" i="111"/>
  <c r="W44" i="111" s="1"/>
  <c r="C44" i="111"/>
  <c r="S43" i="111"/>
  <c r="R43" i="111"/>
  <c r="Q43" i="111"/>
  <c r="P43" i="111"/>
  <c r="O43" i="111"/>
  <c r="N43" i="111"/>
  <c r="M43" i="111"/>
  <c r="L43" i="111"/>
  <c r="AE43" i="111" s="1"/>
  <c r="K43" i="111"/>
  <c r="AD43" i="111" s="1"/>
  <c r="J43" i="111"/>
  <c r="I43" i="111"/>
  <c r="H43" i="111"/>
  <c r="G43" i="111"/>
  <c r="F43" i="111"/>
  <c r="E43" i="111"/>
  <c r="D43" i="111"/>
  <c r="W43" i="111" s="1"/>
  <c r="C43" i="111"/>
  <c r="V43" i="111" s="1"/>
  <c r="S42" i="111"/>
  <c r="R42" i="111"/>
  <c r="Q42" i="111"/>
  <c r="P42" i="111"/>
  <c r="O42" i="111"/>
  <c r="N42" i="111"/>
  <c r="M42" i="111"/>
  <c r="L42" i="111"/>
  <c r="AE42" i="111" s="1"/>
  <c r="K42" i="111"/>
  <c r="AD42" i="111" s="1"/>
  <c r="J42" i="111"/>
  <c r="I42" i="111"/>
  <c r="H42" i="111"/>
  <c r="G42" i="111"/>
  <c r="F42" i="111"/>
  <c r="E42" i="111"/>
  <c r="D42" i="111"/>
  <c r="W42" i="111" s="1"/>
  <c r="C42" i="111"/>
  <c r="V42" i="111" s="1"/>
  <c r="S41" i="111"/>
  <c r="R41" i="111"/>
  <c r="Q41" i="111"/>
  <c r="P41" i="111"/>
  <c r="O41" i="111"/>
  <c r="N41" i="111"/>
  <c r="M41" i="111"/>
  <c r="L41" i="111"/>
  <c r="K41" i="111"/>
  <c r="AD41" i="111" s="1"/>
  <c r="J41" i="111"/>
  <c r="I41" i="111"/>
  <c r="H41" i="111"/>
  <c r="G41" i="111"/>
  <c r="F41" i="111"/>
  <c r="E41" i="111"/>
  <c r="D41" i="111"/>
  <c r="C41" i="111"/>
  <c r="V41" i="111" s="1"/>
  <c r="V40" i="111"/>
  <c r="S40" i="111"/>
  <c r="R40" i="111"/>
  <c r="Q40" i="111"/>
  <c r="P40" i="111"/>
  <c r="O40" i="111"/>
  <c r="N40" i="111"/>
  <c r="M40" i="111"/>
  <c r="L40" i="111"/>
  <c r="AE40" i="111" s="1"/>
  <c r="K40" i="111"/>
  <c r="AD40" i="111" s="1"/>
  <c r="J40" i="111"/>
  <c r="I40" i="111"/>
  <c r="H40" i="111"/>
  <c r="G40" i="111"/>
  <c r="F40" i="111"/>
  <c r="E40" i="111"/>
  <c r="D40" i="111"/>
  <c r="W40" i="111" s="1"/>
  <c r="C40" i="111"/>
  <c r="S35" i="111"/>
  <c r="R35" i="111"/>
  <c r="Q35" i="111"/>
  <c r="P35" i="111"/>
  <c r="O35" i="111"/>
  <c r="N35" i="111"/>
  <c r="M35" i="111"/>
  <c r="L35" i="111"/>
  <c r="K35" i="111"/>
  <c r="AD35" i="111" s="1"/>
  <c r="J35" i="111"/>
  <c r="I35" i="111"/>
  <c r="H35" i="111"/>
  <c r="G35" i="111"/>
  <c r="F35" i="111"/>
  <c r="E35" i="111"/>
  <c r="D35" i="111"/>
  <c r="C35" i="111"/>
  <c r="V35" i="111" s="1"/>
  <c r="S34" i="111"/>
  <c r="R34" i="111"/>
  <c r="Q34" i="111"/>
  <c r="P34" i="111"/>
  <c r="O34" i="111"/>
  <c r="N34" i="111"/>
  <c r="M34" i="111"/>
  <c r="L34" i="111"/>
  <c r="AE34" i="111" s="1"/>
  <c r="K34" i="111"/>
  <c r="AD34" i="111" s="1"/>
  <c r="J34" i="111"/>
  <c r="I34" i="111"/>
  <c r="H34" i="111"/>
  <c r="G34" i="111"/>
  <c r="F34" i="111"/>
  <c r="Y34" i="111" s="1"/>
  <c r="E34" i="111"/>
  <c r="D34" i="111"/>
  <c r="W34" i="111" s="1"/>
  <c r="C34" i="111"/>
  <c r="V34" i="111" s="1"/>
  <c r="S33" i="111"/>
  <c r="R33" i="111"/>
  <c r="Q33" i="111"/>
  <c r="P33" i="111"/>
  <c r="O33" i="111"/>
  <c r="AH33" i="111" s="1"/>
  <c r="N33" i="111"/>
  <c r="M33" i="111"/>
  <c r="L33" i="111"/>
  <c r="K33" i="111"/>
  <c r="AD33" i="111" s="1"/>
  <c r="J33" i="111"/>
  <c r="I33" i="111"/>
  <c r="H33" i="111"/>
  <c r="G33" i="111"/>
  <c r="Z33" i="111" s="1"/>
  <c r="F33" i="111"/>
  <c r="E33" i="111"/>
  <c r="D33" i="111"/>
  <c r="C33" i="111"/>
  <c r="V33" i="111" s="1"/>
  <c r="S32" i="111"/>
  <c r="R32" i="111"/>
  <c r="Q32" i="111"/>
  <c r="P32" i="111"/>
  <c r="O32" i="111"/>
  <c r="N32" i="111"/>
  <c r="M32" i="111"/>
  <c r="L32" i="111"/>
  <c r="K32" i="111"/>
  <c r="AD32" i="111" s="1"/>
  <c r="J32" i="111"/>
  <c r="I32" i="111"/>
  <c r="H32" i="111"/>
  <c r="G32" i="111"/>
  <c r="F32" i="111"/>
  <c r="E32" i="111"/>
  <c r="D32" i="111"/>
  <c r="C32" i="111"/>
  <c r="V32" i="111" s="1"/>
  <c r="V31" i="111"/>
  <c r="S31" i="111"/>
  <c r="R31" i="111"/>
  <c r="Q31" i="111"/>
  <c r="P31" i="111"/>
  <c r="O31" i="111"/>
  <c r="N31" i="111"/>
  <c r="M31" i="111"/>
  <c r="L31" i="111"/>
  <c r="AE31" i="111" s="1"/>
  <c r="K31" i="111"/>
  <c r="AD31" i="111" s="1"/>
  <c r="J31" i="111"/>
  <c r="I31" i="111"/>
  <c r="H31" i="111"/>
  <c r="G31" i="111"/>
  <c r="F31" i="111"/>
  <c r="E31" i="111"/>
  <c r="D31" i="111"/>
  <c r="W31" i="111" s="1"/>
  <c r="C31" i="111"/>
  <c r="AI30" i="111"/>
  <c r="S30" i="111"/>
  <c r="R30" i="111"/>
  <c r="Q30" i="111"/>
  <c r="P30" i="111"/>
  <c r="O30" i="111"/>
  <c r="N30" i="111"/>
  <c r="AG30" i="111" s="1"/>
  <c r="M30" i="111"/>
  <c r="L30" i="111"/>
  <c r="K30" i="111"/>
  <c r="AD30" i="111" s="1"/>
  <c r="J30" i="111"/>
  <c r="I30" i="111"/>
  <c r="H30" i="111"/>
  <c r="G30" i="111"/>
  <c r="F30" i="111"/>
  <c r="Y30" i="111" s="1"/>
  <c r="E30" i="111"/>
  <c r="D30" i="111"/>
  <c r="W30" i="111" s="1"/>
  <c r="C30" i="111"/>
  <c r="V30" i="111" s="1"/>
  <c r="S29" i="111"/>
  <c r="AC29" i="111" s="1"/>
  <c r="R29" i="111"/>
  <c r="Q29" i="111"/>
  <c r="P29" i="111"/>
  <c r="O29" i="111"/>
  <c r="N29" i="111"/>
  <c r="M29" i="111"/>
  <c r="L29" i="111"/>
  <c r="K29" i="111"/>
  <c r="AD29" i="111" s="1"/>
  <c r="J29" i="111"/>
  <c r="I29" i="111"/>
  <c r="H29" i="111"/>
  <c r="G29" i="111"/>
  <c r="F29" i="111"/>
  <c r="E29" i="111"/>
  <c r="D29" i="111"/>
  <c r="C29" i="111"/>
  <c r="V29" i="111" s="1"/>
  <c r="S28" i="111"/>
  <c r="R28" i="111"/>
  <c r="Q28" i="111"/>
  <c r="P28" i="111"/>
  <c r="O28" i="111"/>
  <c r="N28" i="111"/>
  <c r="M28" i="111"/>
  <c r="L28" i="111"/>
  <c r="K28" i="111"/>
  <c r="AD28" i="111" s="1"/>
  <c r="J28" i="111"/>
  <c r="I28" i="111"/>
  <c r="H28" i="111"/>
  <c r="G28" i="111"/>
  <c r="F28" i="111"/>
  <c r="E28" i="111"/>
  <c r="D28" i="111"/>
  <c r="C28" i="111"/>
  <c r="V28" i="111" s="1"/>
  <c r="AH27" i="111"/>
  <c r="Z27" i="111"/>
  <c r="S27" i="111"/>
  <c r="R27" i="111"/>
  <c r="AK27" i="111" s="1"/>
  <c r="Q27" i="111"/>
  <c r="P27" i="111"/>
  <c r="AI27" i="111" s="1"/>
  <c r="O27" i="111"/>
  <c r="N27" i="111"/>
  <c r="AG27" i="111" s="1"/>
  <c r="M27" i="111"/>
  <c r="AF27" i="111" s="1"/>
  <c r="L27" i="111"/>
  <c r="AE27" i="111" s="1"/>
  <c r="K27" i="111"/>
  <c r="AD27" i="111" s="1"/>
  <c r="J27" i="111"/>
  <c r="AC27" i="111" s="1"/>
  <c r="I27" i="111"/>
  <c r="H27" i="111"/>
  <c r="AA27" i="111" s="1"/>
  <c r="G27" i="111"/>
  <c r="F27" i="111"/>
  <c r="Y27" i="111" s="1"/>
  <c r="E27" i="111"/>
  <c r="X27" i="111" s="1"/>
  <c r="D27" i="111"/>
  <c r="C27" i="111"/>
  <c r="V27" i="111" s="1"/>
  <c r="S26" i="111"/>
  <c r="R26" i="111"/>
  <c r="Q26" i="111"/>
  <c r="P26" i="111"/>
  <c r="O26" i="111"/>
  <c r="N26" i="111"/>
  <c r="M26" i="111"/>
  <c r="L26" i="111"/>
  <c r="K26" i="111"/>
  <c r="AD26" i="111" s="1"/>
  <c r="J26" i="111"/>
  <c r="I26" i="111"/>
  <c r="H26" i="111"/>
  <c r="G26" i="111"/>
  <c r="F26" i="111"/>
  <c r="E26" i="111"/>
  <c r="D26" i="111"/>
  <c r="C26" i="111"/>
  <c r="V26" i="111" s="1"/>
  <c r="S25" i="111"/>
  <c r="R25" i="111"/>
  <c r="Q25" i="111"/>
  <c r="P25" i="111"/>
  <c r="O25" i="111"/>
  <c r="N25" i="111"/>
  <c r="M25" i="111"/>
  <c r="L25" i="111"/>
  <c r="K25" i="111"/>
  <c r="AD25" i="111" s="1"/>
  <c r="J25" i="111"/>
  <c r="I25" i="111"/>
  <c r="H25" i="111"/>
  <c r="G25" i="111"/>
  <c r="F25" i="111"/>
  <c r="E25" i="111"/>
  <c r="D25" i="111"/>
  <c r="C25" i="111"/>
  <c r="V25" i="111" s="1"/>
  <c r="S24" i="111"/>
  <c r="AG24" i="111" s="1"/>
  <c r="R24" i="111"/>
  <c r="Q24" i="111"/>
  <c r="P24" i="111"/>
  <c r="O24" i="111"/>
  <c r="N24" i="111"/>
  <c r="M24" i="111"/>
  <c r="L24" i="111"/>
  <c r="K24" i="111"/>
  <c r="AD24" i="111" s="1"/>
  <c r="J24" i="111"/>
  <c r="I24" i="111"/>
  <c r="H24" i="111"/>
  <c r="G24" i="111"/>
  <c r="F24" i="111"/>
  <c r="E24" i="111"/>
  <c r="D24" i="111"/>
  <c r="C24" i="111"/>
  <c r="V24" i="111" s="1"/>
  <c r="AD23" i="111"/>
  <c r="V23" i="111"/>
  <c r="S23" i="111"/>
  <c r="R23" i="111"/>
  <c r="Q23" i="111"/>
  <c r="AJ23" i="111" s="1"/>
  <c r="P23" i="111"/>
  <c r="O23" i="111"/>
  <c r="AH23" i="111" s="1"/>
  <c r="N23" i="111"/>
  <c r="AG23" i="111" s="1"/>
  <c r="M23" i="111"/>
  <c r="L23" i="111"/>
  <c r="AE23" i="111" s="1"/>
  <c r="K23" i="111"/>
  <c r="J23" i="111"/>
  <c r="I23" i="111"/>
  <c r="AB23" i="111" s="1"/>
  <c r="H23" i="111"/>
  <c r="G23" i="111"/>
  <c r="Z23" i="111" s="1"/>
  <c r="F23" i="111"/>
  <c r="Y23" i="111" s="1"/>
  <c r="E23" i="111"/>
  <c r="D23" i="111"/>
  <c r="W23" i="111" s="1"/>
  <c r="C23" i="111"/>
  <c r="S18" i="111"/>
  <c r="R18" i="111"/>
  <c r="Q18" i="111"/>
  <c r="AJ18" i="111" s="1"/>
  <c r="P18" i="111"/>
  <c r="O18" i="111"/>
  <c r="N18" i="111"/>
  <c r="M18" i="111"/>
  <c r="L18" i="111"/>
  <c r="K18" i="111"/>
  <c r="AD18" i="111" s="1"/>
  <c r="J18" i="111"/>
  <c r="I18" i="111"/>
  <c r="AB18" i="111" s="1"/>
  <c r="H18" i="111"/>
  <c r="G18" i="111"/>
  <c r="F18" i="111"/>
  <c r="E18" i="111"/>
  <c r="D18" i="111"/>
  <c r="C18" i="111"/>
  <c r="V18" i="111" s="1"/>
  <c r="S17" i="111"/>
  <c r="R17" i="111"/>
  <c r="AK17" i="111" s="1"/>
  <c r="Q17" i="111"/>
  <c r="P17" i="111"/>
  <c r="O17" i="111"/>
  <c r="N17" i="111"/>
  <c r="M17" i="111"/>
  <c r="L17" i="111"/>
  <c r="K17" i="111"/>
  <c r="AD17" i="111" s="1"/>
  <c r="J17" i="111"/>
  <c r="I17" i="111"/>
  <c r="H17" i="111"/>
  <c r="G17" i="111"/>
  <c r="F17" i="111"/>
  <c r="E17" i="111"/>
  <c r="D17" i="111"/>
  <c r="C17" i="111"/>
  <c r="V17" i="111" s="1"/>
  <c r="S16" i="111"/>
  <c r="AG16" i="111" s="1"/>
  <c r="R16" i="111"/>
  <c r="Q16" i="111"/>
  <c r="P16" i="111"/>
  <c r="O16" i="111"/>
  <c r="N16" i="111"/>
  <c r="M16" i="111"/>
  <c r="L16" i="111"/>
  <c r="K16" i="111"/>
  <c r="AD16" i="111" s="1"/>
  <c r="J16" i="111"/>
  <c r="I16" i="111"/>
  <c r="H16" i="111"/>
  <c r="G16" i="111"/>
  <c r="F16" i="111"/>
  <c r="E16" i="111"/>
  <c r="D16" i="111"/>
  <c r="C16" i="111"/>
  <c r="V16" i="111" s="1"/>
  <c r="AD15" i="111"/>
  <c r="V15" i="111"/>
  <c r="S15" i="111"/>
  <c r="R15" i="111"/>
  <c r="AK15" i="111" s="1"/>
  <c r="Q15" i="111"/>
  <c r="P15" i="111"/>
  <c r="AI15" i="111" s="1"/>
  <c r="O15" i="111"/>
  <c r="N15" i="111"/>
  <c r="M15" i="111"/>
  <c r="AF15" i="111" s="1"/>
  <c r="L15" i="111"/>
  <c r="AE15" i="111" s="1"/>
  <c r="K15" i="111"/>
  <c r="J15" i="111"/>
  <c r="AC15" i="111" s="1"/>
  <c r="I15" i="111"/>
  <c r="H15" i="111"/>
  <c r="AA15" i="111" s="1"/>
  <c r="G15" i="111"/>
  <c r="F15" i="111"/>
  <c r="E15" i="111"/>
  <c r="X15" i="111" s="1"/>
  <c r="D15" i="111"/>
  <c r="W15" i="111" s="1"/>
  <c r="C15" i="111"/>
  <c r="S14" i="111"/>
  <c r="R14" i="111"/>
  <c r="Q14" i="111"/>
  <c r="AJ14" i="111" s="1"/>
  <c r="P14" i="111"/>
  <c r="AI14" i="111" s="1"/>
  <c r="O14" i="111"/>
  <c r="AH14" i="111" s="1"/>
  <c r="N14" i="111"/>
  <c r="M14" i="111"/>
  <c r="AF14" i="111" s="1"/>
  <c r="L14" i="111"/>
  <c r="K14" i="111"/>
  <c r="AD14" i="111" s="1"/>
  <c r="J14" i="111"/>
  <c r="I14" i="111"/>
  <c r="AB14" i="111" s="1"/>
  <c r="H14" i="111"/>
  <c r="AA14" i="111" s="1"/>
  <c r="G14" i="111"/>
  <c r="Z14" i="111" s="1"/>
  <c r="F14" i="111"/>
  <c r="E14" i="111"/>
  <c r="X14" i="111" s="1"/>
  <c r="D14" i="111"/>
  <c r="W14" i="111" s="1"/>
  <c r="C14" i="111"/>
  <c r="V14" i="111" s="1"/>
  <c r="S13" i="111"/>
  <c r="R13" i="111"/>
  <c r="AK13" i="111" s="1"/>
  <c r="Q13" i="111"/>
  <c r="P13" i="111"/>
  <c r="O13" i="111"/>
  <c r="AH13" i="111" s="1"/>
  <c r="N13" i="111"/>
  <c r="M13" i="111"/>
  <c r="L13" i="111"/>
  <c r="K13" i="111"/>
  <c r="AD13" i="111" s="1"/>
  <c r="J13" i="111"/>
  <c r="I13" i="111"/>
  <c r="H13" i="111"/>
  <c r="G13" i="111"/>
  <c r="Z13" i="111" s="1"/>
  <c r="F13" i="111"/>
  <c r="E13" i="111"/>
  <c r="D13" i="111"/>
  <c r="C13" i="111"/>
  <c r="V13" i="111" s="1"/>
  <c r="S12" i="111"/>
  <c r="R12" i="111"/>
  <c r="Q12" i="111"/>
  <c r="P12" i="111"/>
  <c r="O12" i="111"/>
  <c r="N12" i="111"/>
  <c r="M12" i="111"/>
  <c r="L12" i="111"/>
  <c r="K12" i="111"/>
  <c r="AD12" i="111" s="1"/>
  <c r="J12" i="111"/>
  <c r="I12" i="111"/>
  <c r="H12" i="111"/>
  <c r="G12" i="111"/>
  <c r="F12" i="111"/>
  <c r="E12" i="111"/>
  <c r="D12" i="111"/>
  <c r="C12" i="111"/>
  <c r="V12" i="111" s="1"/>
  <c r="S11" i="111"/>
  <c r="Z11" i="111" s="1"/>
  <c r="R11" i="111"/>
  <c r="Q11" i="111"/>
  <c r="P11" i="111"/>
  <c r="O11" i="111"/>
  <c r="N11" i="111"/>
  <c r="M11" i="111"/>
  <c r="L11" i="111"/>
  <c r="K11" i="111"/>
  <c r="AD11" i="111" s="1"/>
  <c r="J11" i="111"/>
  <c r="I11" i="111"/>
  <c r="H11" i="111"/>
  <c r="G11" i="111"/>
  <c r="F11" i="111"/>
  <c r="E11" i="111"/>
  <c r="D11" i="111"/>
  <c r="C11" i="111"/>
  <c r="V11" i="111" s="1"/>
  <c r="S10" i="111"/>
  <c r="R10" i="111"/>
  <c r="Q10" i="111"/>
  <c r="P10" i="111"/>
  <c r="O10" i="111"/>
  <c r="N10" i="111"/>
  <c r="M10" i="111"/>
  <c r="L10" i="111"/>
  <c r="K10" i="111"/>
  <c r="AD10" i="111" s="1"/>
  <c r="J10" i="111"/>
  <c r="I10" i="111"/>
  <c r="H10" i="111"/>
  <c r="G10" i="111"/>
  <c r="F10" i="111"/>
  <c r="E10" i="111"/>
  <c r="D10" i="111"/>
  <c r="C10" i="111"/>
  <c r="V10" i="111" s="1"/>
  <c r="S9" i="111"/>
  <c r="R9" i="111"/>
  <c r="Q9" i="111"/>
  <c r="P9" i="111"/>
  <c r="O9" i="111"/>
  <c r="N9" i="111"/>
  <c r="M9" i="111"/>
  <c r="L9" i="111"/>
  <c r="K9" i="111"/>
  <c r="AD9" i="111" s="1"/>
  <c r="J9" i="111"/>
  <c r="I9" i="111"/>
  <c r="H9" i="111"/>
  <c r="G9" i="111"/>
  <c r="F9" i="111"/>
  <c r="E9" i="111"/>
  <c r="D9" i="111"/>
  <c r="C9" i="111"/>
  <c r="V9" i="111" s="1"/>
  <c r="AD8" i="111"/>
  <c r="S8" i="111"/>
  <c r="R8" i="111"/>
  <c r="Q8" i="111"/>
  <c r="P8" i="111"/>
  <c r="AI8" i="111" s="1"/>
  <c r="O8" i="111"/>
  <c r="N8" i="111"/>
  <c r="M8" i="111"/>
  <c r="L8" i="111"/>
  <c r="K8" i="111"/>
  <c r="J8" i="111"/>
  <c r="I8" i="111"/>
  <c r="H8" i="111"/>
  <c r="AA8" i="111" s="1"/>
  <c r="G8" i="111"/>
  <c r="F8" i="111"/>
  <c r="E8" i="111"/>
  <c r="D8" i="111"/>
  <c r="C8" i="111"/>
  <c r="V8" i="111" s="1"/>
  <c r="AD7" i="111"/>
  <c r="V7" i="111"/>
  <c r="S7" i="111"/>
  <c r="R7" i="111"/>
  <c r="AK7" i="111" s="1"/>
  <c r="Q7" i="111"/>
  <c r="P7" i="111"/>
  <c r="AI7" i="111" s="1"/>
  <c r="O7" i="111"/>
  <c r="AH7" i="111" s="1"/>
  <c r="N7" i="111"/>
  <c r="AG7" i="111" s="1"/>
  <c r="M7" i="111"/>
  <c r="AF7" i="111" s="1"/>
  <c r="L7" i="111"/>
  <c r="AE7" i="111" s="1"/>
  <c r="K7" i="111"/>
  <c r="J7" i="111"/>
  <c r="AC7" i="111" s="1"/>
  <c r="I7" i="111"/>
  <c r="H7" i="111"/>
  <c r="AA7" i="111" s="1"/>
  <c r="G7" i="111"/>
  <c r="Z7" i="111" s="1"/>
  <c r="F7" i="111"/>
  <c r="Y7" i="111" s="1"/>
  <c r="E7" i="111"/>
  <c r="X7" i="111" s="1"/>
  <c r="D7" i="111"/>
  <c r="W7" i="111" s="1"/>
  <c r="C7" i="111"/>
  <c r="S6" i="111"/>
  <c r="R6" i="111"/>
  <c r="Q6" i="111"/>
  <c r="P6" i="111"/>
  <c r="O6" i="111"/>
  <c r="N6" i="111"/>
  <c r="M6" i="111"/>
  <c r="L6" i="111"/>
  <c r="K6" i="111"/>
  <c r="AD6" i="111" s="1"/>
  <c r="J6" i="111"/>
  <c r="I6" i="111"/>
  <c r="H6" i="111"/>
  <c r="G6" i="111"/>
  <c r="F6" i="111"/>
  <c r="E6" i="111"/>
  <c r="D6" i="111"/>
  <c r="C6" i="111"/>
  <c r="V6" i="111" s="1"/>
  <c r="T173" i="100"/>
  <c r="S173" i="100"/>
  <c r="R173" i="100"/>
  <c r="Q173" i="100"/>
  <c r="P173" i="100"/>
  <c r="O173" i="100"/>
  <c r="N173" i="100"/>
  <c r="M173" i="100"/>
  <c r="L173" i="100"/>
  <c r="K173" i="100"/>
  <c r="J173" i="100"/>
  <c r="I173" i="100"/>
  <c r="H173" i="100"/>
  <c r="G173" i="100"/>
  <c r="F173" i="100"/>
  <c r="E173" i="100"/>
  <c r="D173" i="100"/>
  <c r="T172" i="100"/>
  <c r="S172" i="100"/>
  <c r="R172" i="100"/>
  <c r="Q172" i="100"/>
  <c r="P172" i="100"/>
  <c r="O172" i="100"/>
  <c r="N172" i="100"/>
  <c r="M172" i="100"/>
  <c r="L172" i="100"/>
  <c r="K172" i="100"/>
  <c r="J172" i="100"/>
  <c r="I172" i="100"/>
  <c r="H172" i="100"/>
  <c r="G172" i="100"/>
  <c r="F172" i="100"/>
  <c r="E172" i="100"/>
  <c r="D172" i="100"/>
  <c r="T171" i="100"/>
  <c r="S171" i="100"/>
  <c r="R171" i="100"/>
  <c r="Q171" i="100"/>
  <c r="P171" i="100"/>
  <c r="O171" i="100"/>
  <c r="N171" i="100"/>
  <c r="M171" i="100"/>
  <c r="L171" i="100"/>
  <c r="K171" i="100"/>
  <c r="J171" i="100"/>
  <c r="I171" i="100"/>
  <c r="H171" i="100"/>
  <c r="G171" i="100"/>
  <c r="F171" i="100"/>
  <c r="E171" i="100"/>
  <c r="D171" i="100"/>
  <c r="T170" i="100"/>
  <c r="S170" i="100"/>
  <c r="R170" i="100"/>
  <c r="Q170" i="100"/>
  <c r="P170" i="100"/>
  <c r="O170" i="100"/>
  <c r="N170" i="100"/>
  <c r="M170" i="100"/>
  <c r="L170" i="100"/>
  <c r="K170" i="100"/>
  <c r="J170" i="100"/>
  <c r="I170" i="100"/>
  <c r="H170" i="100"/>
  <c r="G170" i="100"/>
  <c r="F170" i="100"/>
  <c r="E170" i="100"/>
  <c r="D170" i="100"/>
  <c r="T169" i="100"/>
  <c r="S169" i="100"/>
  <c r="R169" i="100"/>
  <c r="Q169" i="100"/>
  <c r="P169" i="100"/>
  <c r="O169" i="100"/>
  <c r="N169" i="100"/>
  <c r="M169" i="100"/>
  <c r="L169" i="100"/>
  <c r="K169" i="100"/>
  <c r="J169" i="100"/>
  <c r="I169" i="100"/>
  <c r="H169" i="100"/>
  <c r="G169" i="100"/>
  <c r="F169" i="100"/>
  <c r="E169" i="100"/>
  <c r="D169" i="100"/>
  <c r="T168" i="100"/>
  <c r="S168" i="100"/>
  <c r="R168" i="100"/>
  <c r="Q168" i="100"/>
  <c r="P168" i="100"/>
  <c r="O168" i="100"/>
  <c r="N168" i="100"/>
  <c r="M168" i="100"/>
  <c r="L168" i="100"/>
  <c r="K168" i="100"/>
  <c r="J168" i="100"/>
  <c r="I168" i="100"/>
  <c r="H168" i="100"/>
  <c r="G168" i="100"/>
  <c r="F168" i="100"/>
  <c r="E168" i="100"/>
  <c r="D168" i="100"/>
  <c r="T167" i="100"/>
  <c r="E167" i="100"/>
  <c r="D167" i="100"/>
  <c r="T166" i="100"/>
  <c r="O166" i="100"/>
  <c r="E166" i="100"/>
  <c r="D166" i="100"/>
  <c r="T165" i="100"/>
  <c r="S165" i="100"/>
  <c r="R165" i="100"/>
  <c r="Q165" i="100"/>
  <c r="S167" i="100" s="1"/>
  <c r="P165" i="100"/>
  <c r="O165" i="100"/>
  <c r="Q166" i="100" s="1"/>
  <c r="N165" i="100"/>
  <c r="M165" i="100"/>
  <c r="O167" i="100" s="1"/>
  <c r="L165" i="100"/>
  <c r="K165" i="100"/>
  <c r="M166" i="100" s="1"/>
  <c r="J165" i="100"/>
  <c r="L167" i="100" s="1"/>
  <c r="I165" i="100"/>
  <c r="K166" i="100" s="1"/>
  <c r="H165" i="100"/>
  <c r="J166" i="100" s="1"/>
  <c r="G165" i="100"/>
  <c r="I166" i="100" s="1"/>
  <c r="F165" i="100"/>
  <c r="H167" i="100" s="1"/>
  <c r="E165" i="100"/>
  <c r="D165" i="100"/>
  <c r="T164" i="100"/>
  <c r="S164" i="100"/>
  <c r="R164" i="100"/>
  <c r="Q164" i="100"/>
  <c r="P164" i="100"/>
  <c r="O164" i="100"/>
  <c r="N164" i="100"/>
  <c r="M164" i="100"/>
  <c r="L164" i="100"/>
  <c r="K164" i="100"/>
  <c r="J164" i="100"/>
  <c r="I164" i="100"/>
  <c r="H164" i="100"/>
  <c r="G164" i="100"/>
  <c r="F164" i="100"/>
  <c r="E164" i="100"/>
  <c r="D164" i="100"/>
  <c r="T163" i="100"/>
  <c r="E163" i="100"/>
  <c r="D163" i="100"/>
  <c r="T162" i="100"/>
  <c r="E162" i="100"/>
  <c r="D162" i="100"/>
  <c r="T161" i="100"/>
  <c r="S161" i="100"/>
  <c r="R161" i="100"/>
  <c r="Q161" i="100"/>
  <c r="P161" i="100"/>
  <c r="R162" i="100" s="1"/>
  <c r="O161" i="100"/>
  <c r="Q162" i="100" s="1"/>
  <c r="N161" i="100"/>
  <c r="P163" i="100" s="1"/>
  <c r="M161" i="100"/>
  <c r="O162" i="100" s="1"/>
  <c r="L161" i="100"/>
  <c r="N163" i="100" s="1"/>
  <c r="K161" i="100"/>
  <c r="M162" i="100" s="1"/>
  <c r="J161" i="100"/>
  <c r="L163" i="100" s="1"/>
  <c r="I161" i="100"/>
  <c r="H161" i="100"/>
  <c r="J163" i="100" s="1"/>
  <c r="G161" i="100"/>
  <c r="I162" i="100" s="1"/>
  <c r="F161" i="100"/>
  <c r="E161" i="100"/>
  <c r="G163" i="100" s="1"/>
  <c r="D161" i="100"/>
  <c r="T160" i="100"/>
  <c r="S160" i="100"/>
  <c r="R160" i="100"/>
  <c r="Q160" i="100"/>
  <c r="P160" i="100"/>
  <c r="O160" i="100"/>
  <c r="N160" i="100"/>
  <c r="M160" i="100"/>
  <c r="L160" i="100"/>
  <c r="K160" i="100"/>
  <c r="J160" i="100"/>
  <c r="AE157" i="100" s="1"/>
  <c r="I160" i="100"/>
  <c r="H160" i="100"/>
  <c r="G160" i="100"/>
  <c r="F160" i="100"/>
  <c r="E160" i="100"/>
  <c r="D160" i="100"/>
  <c r="T159" i="100"/>
  <c r="S159" i="100"/>
  <c r="R159" i="100"/>
  <c r="Q159" i="100"/>
  <c r="P159" i="100"/>
  <c r="O159" i="100"/>
  <c r="N159" i="100"/>
  <c r="M159" i="100"/>
  <c r="L159" i="100"/>
  <c r="K159" i="100"/>
  <c r="J159" i="100"/>
  <c r="I159" i="100"/>
  <c r="H159" i="100"/>
  <c r="G159" i="100"/>
  <c r="F159" i="100"/>
  <c r="E159" i="100"/>
  <c r="D159" i="100"/>
  <c r="T158" i="100"/>
  <c r="S158" i="100"/>
  <c r="R158" i="100"/>
  <c r="Q158" i="100"/>
  <c r="P158" i="100"/>
  <c r="O158" i="100"/>
  <c r="N158" i="100"/>
  <c r="M158" i="100"/>
  <c r="L158" i="100"/>
  <c r="K158" i="100"/>
  <c r="J158" i="100"/>
  <c r="I158" i="100"/>
  <c r="H158" i="100"/>
  <c r="G158" i="100"/>
  <c r="F158" i="100"/>
  <c r="E158" i="100"/>
  <c r="D158" i="100"/>
  <c r="T157" i="100"/>
  <c r="S157" i="100"/>
  <c r="R157" i="100"/>
  <c r="Q157" i="100"/>
  <c r="P157" i="100"/>
  <c r="O157" i="100"/>
  <c r="N157" i="100"/>
  <c r="M157" i="100"/>
  <c r="L157" i="100"/>
  <c r="K157" i="100"/>
  <c r="J157" i="100"/>
  <c r="I157" i="100"/>
  <c r="H157" i="100"/>
  <c r="G157" i="100"/>
  <c r="F157" i="100"/>
  <c r="AA157" i="100" s="1"/>
  <c r="E157" i="100"/>
  <c r="D157" i="100"/>
  <c r="T156" i="100"/>
  <c r="S156" i="100"/>
  <c r="R156" i="100"/>
  <c r="Q156" i="100"/>
  <c r="P156" i="100"/>
  <c r="O156" i="100"/>
  <c r="N156" i="100"/>
  <c r="M156" i="100"/>
  <c r="L156" i="100"/>
  <c r="K156" i="100"/>
  <c r="J156" i="100"/>
  <c r="I156" i="100"/>
  <c r="H156" i="100"/>
  <c r="G156" i="100"/>
  <c r="F156" i="100"/>
  <c r="E156" i="100"/>
  <c r="D156" i="100"/>
  <c r="T155" i="100"/>
  <c r="S155" i="100"/>
  <c r="R155" i="100"/>
  <c r="Q155" i="100"/>
  <c r="P155" i="100"/>
  <c r="O155" i="100"/>
  <c r="N155" i="100"/>
  <c r="M155" i="100"/>
  <c r="L155" i="100"/>
  <c r="K155" i="100"/>
  <c r="J155" i="100"/>
  <c r="I155" i="100"/>
  <c r="H155" i="100"/>
  <c r="G155" i="100"/>
  <c r="F155" i="100"/>
  <c r="E155" i="100"/>
  <c r="D155" i="100"/>
  <c r="T154" i="100"/>
  <c r="S154" i="100"/>
  <c r="R154" i="100"/>
  <c r="Q154" i="100"/>
  <c r="P154" i="100"/>
  <c r="O154" i="100"/>
  <c r="N154" i="100"/>
  <c r="M154" i="100"/>
  <c r="L154" i="100"/>
  <c r="K154" i="100"/>
  <c r="J154" i="100"/>
  <c r="I154" i="100"/>
  <c r="H154" i="100"/>
  <c r="G154" i="100"/>
  <c r="F154" i="100"/>
  <c r="E154" i="100"/>
  <c r="D154" i="100"/>
  <c r="T153" i="100"/>
  <c r="S153" i="100"/>
  <c r="R153" i="100"/>
  <c r="AM155" i="100" s="1"/>
  <c r="Q153" i="100"/>
  <c r="P153" i="100"/>
  <c r="O153" i="100"/>
  <c r="N153" i="100"/>
  <c r="M153" i="100"/>
  <c r="L153" i="100"/>
  <c r="K153" i="100"/>
  <c r="J153" i="100"/>
  <c r="AE153" i="100" s="1"/>
  <c r="I153" i="100"/>
  <c r="H153" i="100"/>
  <c r="G153" i="100"/>
  <c r="F153" i="100"/>
  <c r="E153" i="100"/>
  <c r="D153" i="100"/>
  <c r="T152" i="100"/>
  <c r="S152" i="100"/>
  <c r="R152" i="100"/>
  <c r="Q152" i="100"/>
  <c r="P152" i="100"/>
  <c r="O152" i="100"/>
  <c r="N152" i="100"/>
  <c r="M152" i="100"/>
  <c r="L152" i="100"/>
  <c r="K152" i="100"/>
  <c r="J152" i="100"/>
  <c r="I152" i="100"/>
  <c r="H152" i="100"/>
  <c r="G152" i="100"/>
  <c r="F152" i="100"/>
  <c r="E152" i="100"/>
  <c r="D152" i="100"/>
  <c r="T151" i="100"/>
  <c r="S151" i="100"/>
  <c r="R151" i="100"/>
  <c r="Q151" i="100"/>
  <c r="P151" i="100"/>
  <c r="O151" i="100"/>
  <c r="N151" i="100"/>
  <c r="M151" i="100"/>
  <c r="L151" i="100"/>
  <c r="K151" i="100"/>
  <c r="J151" i="100"/>
  <c r="I151" i="100"/>
  <c r="H151" i="100"/>
  <c r="G151" i="100"/>
  <c r="F151" i="100"/>
  <c r="E151" i="100"/>
  <c r="D151" i="100"/>
  <c r="T150" i="100"/>
  <c r="S150" i="100"/>
  <c r="R150" i="100"/>
  <c r="Q150" i="100"/>
  <c r="P150" i="100"/>
  <c r="O150" i="100"/>
  <c r="N150" i="100"/>
  <c r="M150" i="100"/>
  <c r="L150" i="100"/>
  <c r="K150" i="100"/>
  <c r="J150" i="100"/>
  <c r="I150" i="100"/>
  <c r="H150" i="100"/>
  <c r="G150" i="100"/>
  <c r="F150" i="100"/>
  <c r="E150" i="100"/>
  <c r="D150" i="100"/>
  <c r="T149" i="100"/>
  <c r="S149" i="100"/>
  <c r="R149" i="100"/>
  <c r="Q149" i="100"/>
  <c r="P149" i="100"/>
  <c r="AK151" i="100" s="1"/>
  <c r="O149" i="100"/>
  <c r="N149" i="100"/>
  <c r="M149" i="100"/>
  <c r="L149" i="100"/>
  <c r="K149" i="100"/>
  <c r="J149" i="100"/>
  <c r="I149" i="100"/>
  <c r="H149" i="100"/>
  <c r="G149" i="100"/>
  <c r="F149" i="100"/>
  <c r="E149" i="100"/>
  <c r="D149" i="100"/>
  <c r="T148" i="100"/>
  <c r="S148" i="100"/>
  <c r="R148" i="100"/>
  <c r="Q148" i="100"/>
  <c r="P148" i="100"/>
  <c r="O148" i="100"/>
  <c r="N148" i="100"/>
  <c r="M148" i="100"/>
  <c r="L148" i="100"/>
  <c r="K148" i="100"/>
  <c r="J148" i="100"/>
  <c r="I148" i="100"/>
  <c r="H148" i="100"/>
  <c r="G148" i="100"/>
  <c r="F148" i="100"/>
  <c r="E148" i="100"/>
  <c r="D148" i="100"/>
  <c r="T147" i="100"/>
  <c r="S147" i="100"/>
  <c r="R147" i="100"/>
  <c r="Q147" i="100"/>
  <c r="P147" i="100"/>
  <c r="O147" i="100"/>
  <c r="N147" i="100"/>
  <c r="M147" i="100"/>
  <c r="L147" i="100"/>
  <c r="K147" i="100"/>
  <c r="J147" i="100"/>
  <c r="I147" i="100"/>
  <c r="H147" i="100"/>
  <c r="G147" i="100"/>
  <c r="F147" i="100"/>
  <c r="E147" i="100"/>
  <c r="D147" i="100"/>
  <c r="T146" i="100"/>
  <c r="S146" i="100"/>
  <c r="R146" i="100"/>
  <c r="Q146" i="100"/>
  <c r="P146" i="100"/>
  <c r="O146" i="100"/>
  <c r="N146" i="100"/>
  <c r="M146" i="100"/>
  <c r="L146" i="100"/>
  <c r="K146" i="100"/>
  <c r="J146" i="100"/>
  <c r="I146" i="100"/>
  <c r="H146" i="100"/>
  <c r="G146" i="100"/>
  <c r="F146" i="100"/>
  <c r="E146" i="100"/>
  <c r="D146" i="100"/>
  <c r="T145" i="100"/>
  <c r="S145" i="100"/>
  <c r="R145" i="100"/>
  <c r="Q145" i="100"/>
  <c r="P145" i="100"/>
  <c r="O145" i="100"/>
  <c r="N145" i="100"/>
  <c r="M145" i="100"/>
  <c r="L145" i="100"/>
  <c r="K145" i="100"/>
  <c r="J145" i="100"/>
  <c r="I145" i="100"/>
  <c r="H145" i="100"/>
  <c r="G145" i="100"/>
  <c r="F145" i="100"/>
  <c r="E145" i="100"/>
  <c r="D145" i="100"/>
  <c r="T144" i="100"/>
  <c r="S144" i="100"/>
  <c r="R144" i="100"/>
  <c r="Q144" i="100"/>
  <c r="P144" i="100"/>
  <c r="O144" i="100"/>
  <c r="N144" i="100"/>
  <c r="M144" i="100"/>
  <c r="L144" i="100"/>
  <c r="K144" i="100"/>
  <c r="J144" i="100"/>
  <c r="I144" i="100"/>
  <c r="H144" i="100"/>
  <c r="G144" i="100"/>
  <c r="F144" i="100"/>
  <c r="E144" i="100"/>
  <c r="D144" i="100"/>
  <c r="T143" i="100"/>
  <c r="S143" i="100"/>
  <c r="R143" i="100"/>
  <c r="Q143" i="100"/>
  <c r="P143" i="100"/>
  <c r="O143" i="100"/>
  <c r="N143" i="100"/>
  <c r="M143" i="100"/>
  <c r="L143" i="100"/>
  <c r="K143" i="100"/>
  <c r="J143" i="100"/>
  <c r="I143" i="100"/>
  <c r="H143" i="100"/>
  <c r="G143" i="100"/>
  <c r="F143" i="100"/>
  <c r="E143" i="100"/>
  <c r="D143" i="100"/>
  <c r="T142" i="100"/>
  <c r="S142" i="100"/>
  <c r="R142" i="100"/>
  <c r="Q142" i="100"/>
  <c r="P142" i="100"/>
  <c r="O142" i="100"/>
  <c r="N142" i="100"/>
  <c r="M142" i="100"/>
  <c r="L142" i="100"/>
  <c r="K142" i="100"/>
  <c r="J142" i="100"/>
  <c r="I142" i="100"/>
  <c r="H142" i="100"/>
  <c r="G142" i="100"/>
  <c r="F142" i="100"/>
  <c r="E142" i="100"/>
  <c r="D142" i="100"/>
  <c r="T141" i="100"/>
  <c r="S141" i="100"/>
  <c r="R141" i="100"/>
  <c r="Q141" i="100"/>
  <c r="P141" i="100"/>
  <c r="O141" i="100"/>
  <c r="N141" i="100"/>
  <c r="M141" i="100"/>
  <c r="L141" i="100"/>
  <c r="K141" i="100"/>
  <c r="J141" i="100"/>
  <c r="I141" i="100"/>
  <c r="H141" i="100"/>
  <c r="G141" i="100"/>
  <c r="F141" i="100"/>
  <c r="E141" i="100"/>
  <c r="D141" i="100"/>
  <c r="T140" i="100"/>
  <c r="S140" i="100"/>
  <c r="R140" i="100"/>
  <c r="Q140" i="100"/>
  <c r="P140" i="100"/>
  <c r="O140" i="100"/>
  <c r="N140" i="100"/>
  <c r="M140" i="100"/>
  <c r="L140" i="100"/>
  <c r="K140" i="100"/>
  <c r="J140" i="100"/>
  <c r="I140" i="100"/>
  <c r="H140" i="100"/>
  <c r="G140" i="100"/>
  <c r="F140" i="100"/>
  <c r="E140" i="100"/>
  <c r="D140" i="100"/>
  <c r="T139" i="100"/>
  <c r="S139" i="100"/>
  <c r="R139" i="100"/>
  <c r="Q139" i="100"/>
  <c r="P139" i="100"/>
  <c r="O139" i="100"/>
  <c r="N139" i="100"/>
  <c r="M139" i="100"/>
  <c r="L139" i="100"/>
  <c r="K139" i="100"/>
  <c r="J139" i="100"/>
  <c r="I139" i="100"/>
  <c r="H139" i="100"/>
  <c r="G139" i="100"/>
  <c r="F139" i="100"/>
  <c r="E139" i="100"/>
  <c r="D139" i="100"/>
  <c r="T138" i="100"/>
  <c r="S138" i="100"/>
  <c r="R138" i="100"/>
  <c r="Q138" i="100"/>
  <c r="P138" i="100"/>
  <c r="O138" i="100"/>
  <c r="N138" i="100"/>
  <c r="M138" i="100"/>
  <c r="L138" i="100"/>
  <c r="K138" i="100"/>
  <c r="J138" i="100"/>
  <c r="I138" i="100"/>
  <c r="H138" i="100"/>
  <c r="G138" i="100"/>
  <c r="F138" i="100"/>
  <c r="E138" i="100"/>
  <c r="D138" i="100"/>
  <c r="T137" i="100"/>
  <c r="S137" i="100"/>
  <c r="R137" i="100"/>
  <c r="Q137" i="100"/>
  <c r="P137" i="100"/>
  <c r="O137" i="100"/>
  <c r="N137" i="100"/>
  <c r="M137" i="100"/>
  <c r="L137" i="100"/>
  <c r="K137" i="100"/>
  <c r="J137" i="100"/>
  <c r="I137" i="100"/>
  <c r="H137" i="100"/>
  <c r="G137" i="100"/>
  <c r="F137" i="100"/>
  <c r="E137" i="100"/>
  <c r="D137" i="100"/>
  <c r="T136" i="100"/>
  <c r="S136" i="100"/>
  <c r="R136" i="100"/>
  <c r="Q136" i="100"/>
  <c r="P136" i="100"/>
  <c r="O136" i="100"/>
  <c r="N136" i="100"/>
  <c r="M136" i="100"/>
  <c r="L136" i="100"/>
  <c r="K136" i="100"/>
  <c r="J136" i="100"/>
  <c r="I136" i="100"/>
  <c r="H136" i="100"/>
  <c r="G136" i="100"/>
  <c r="F136" i="100"/>
  <c r="E136" i="100"/>
  <c r="D136" i="100"/>
  <c r="T135" i="100"/>
  <c r="S135" i="100"/>
  <c r="R135" i="100"/>
  <c r="Q135" i="100"/>
  <c r="P135" i="100"/>
  <c r="O135" i="100"/>
  <c r="N135" i="100"/>
  <c r="M135" i="100"/>
  <c r="L135" i="100"/>
  <c r="K135" i="100"/>
  <c r="J135" i="100"/>
  <c r="I135" i="100"/>
  <c r="H135" i="100"/>
  <c r="G135" i="100"/>
  <c r="F135" i="100"/>
  <c r="E135" i="100"/>
  <c r="D135" i="100"/>
  <c r="T134" i="100"/>
  <c r="S134" i="100"/>
  <c r="R134" i="100"/>
  <c r="Q134" i="100"/>
  <c r="P134" i="100"/>
  <c r="O134" i="100"/>
  <c r="N134" i="100"/>
  <c r="M134" i="100"/>
  <c r="L134" i="100"/>
  <c r="K134" i="100"/>
  <c r="J134" i="100"/>
  <c r="I134" i="100"/>
  <c r="H134" i="100"/>
  <c r="G134" i="100"/>
  <c r="F134" i="100"/>
  <c r="E134" i="100"/>
  <c r="D134" i="100"/>
  <c r="T133" i="100"/>
  <c r="S133" i="100"/>
  <c r="R133" i="100"/>
  <c r="Q133" i="100"/>
  <c r="P133" i="100"/>
  <c r="O133" i="100"/>
  <c r="N133" i="100"/>
  <c r="M133" i="100"/>
  <c r="L133" i="100"/>
  <c r="K133" i="100"/>
  <c r="J133" i="100"/>
  <c r="I133" i="100"/>
  <c r="H133" i="100"/>
  <c r="G133" i="100"/>
  <c r="F133" i="100"/>
  <c r="E133" i="100"/>
  <c r="D133" i="100"/>
  <c r="T132" i="100"/>
  <c r="S132" i="100"/>
  <c r="R132" i="100"/>
  <c r="Q132" i="100"/>
  <c r="P132" i="100"/>
  <c r="O132" i="100"/>
  <c r="N132" i="100"/>
  <c r="M132" i="100"/>
  <c r="L132" i="100"/>
  <c r="K132" i="100"/>
  <c r="J132" i="100"/>
  <c r="I132" i="100"/>
  <c r="H132" i="100"/>
  <c r="G132" i="100"/>
  <c r="F132" i="100"/>
  <c r="E132" i="100"/>
  <c r="D132" i="100"/>
  <c r="T131" i="100"/>
  <c r="S131" i="100"/>
  <c r="R131" i="100"/>
  <c r="Q131" i="100"/>
  <c r="P131" i="100"/>
  <c r="O131" i="100"/>
  <c r="N131" i="100"/>
  <c r="M131" i="100"/>
  <c r="L131" i="100"/>
  <c r="K131" i="100"/>
  <c r="J131" i="100"/>
  <c r="I131" i="100"/>
  <c r="H131" i="100"/>
  <c r="G131" i="100"/>
  <c r="F131" i="100"/>
  <c r="E131" i="100"/>
  <c r="D131" i="100"/>
  <c r="T130" i="100"/>
  <c r="S130" i="100"/>
  <c r="R130" i="100"/>
  <c r="Q130" i="100"/>
  <c r="P130" i="100"/>
  <c r="O130" i="100"/>
  <c r="N130" i="100"/>
  <c r="M130" i="100"/>
  <c r="L130" i="100"/>
  <c r="K130" i="100"/>
  <c r="J130" i="100"/>
  <c r="I130" i="100"/>
  <c r="H130" i="100"/>
  <c r="G130" i="100"/>
  <c r="F130" i="100"/>
  <c r="E130" i="100"/>
  <c r="D130" i="100"/>
  <c r="T129" i="100"/>
  <c r="S129" i="100"/>
  <c r="R129" i="100"/>
  <c r="Q129" i="100"/>
  <c r="P129" i="100"/>
  <c r="O129" i="100"/>
  <c r="N129" i="100"/>
  <c r="M129" i="100"/>
  <c r="L129" i="100"/>
  <c r="K129" i="100"/>
  <c r="J129" i="100"/>
  <c r="I129" i="100"/>
  <c r="H129" i="100"/>
  <c r="G129" i="100"/>
  <c r="F129" i="100"/>
  <c r="E129" i="100"/>
  <c r="D129" i="100"/>
  <c r="T128" i="100"/>
  <c r="S128" i="100"/>
  <c r="R128" i="100"/>
  <c r="Q128" i="100"/>
  <c r="P128" i="100"/>
  <c r="O128" i="100"/>
  <c r="N128" i="100"/>
  <c r="M128" i="100"/>
  <c r="L128" i="100"/>
  <c r="K128" i="100"/>
  <c r="J128" i="100"/>
  <c r="I128" i="100"/>
  <c r="H128" i="100"/>
  <c r="G128" i="100"/>
  <c r="F128" i="100"/>
  <c r="E128" i="100"/>
  <c r="D128" i="100"/>
  <c r="T127" i="100"/>
  <c r="S127" i="100"/>
  <c r="R127" i="100"/>
  <c r="Q127" i="100"/>
  <c r="P127" i="100"/>
  <c r="O127" i="100"/>
  <c r="N127" i="100"/>
  <c r="M127" i="100"/>
  <c r="L127" i="100"/>
  <c r="K127" i="100"/>
  <c r="J127" i="100"/>
  <c r="I127" i="100"/>
  <c r="H127" i="100"/>
  <c r="G127" i="100"/>
  <c r="F127" i="100"/>
  <c r="E127" i="100"/>
  <c r="D127" i="100"/>
  <c r="T126" i="100"/>
  <c r="S126" i="100"/>
  <c r="R126" i="100"/>
  <c r="Q126" i="100"/>
  <c r="P126" i="100"/>
  <c r="O126" i="100"/>
  <c r="N126" i="100"/>
  <c r="M126" i="100"/>
  <c r="L126" i="100"/>
  <c r="K126" i="100"/>
  <c r="J126" i="100"/>
  <c r="I126" i="100"/>
  <c r="H126" i="100"/>
  <c r="G126" i="100"/>
  <c r="F126" i="100"/>
  <c r="E126" i="100"/>
  <c r="D126" i="100"/>
  <c r="T125" i="100"/>
  <c r="S125" i="100"/>
  <c r="R125" i="100"/>
  <c r="Q125" i="100"/>
  <c r="P125" i="100"/>
  <c r="O125" i="100"/>
  <c r="N125" i="100"/>
  <c r="M125" i="100"/>
  <c r="L125" i="100"/>
  <c r="K125" i="100"/>
  <c r="J125" i="100"/>
  <c r="I125" i="100"/>
  <c r="H125" i="100"/>
  <c r="G125" i="100"/>
  <c r="F125" i="100"/>
  <c r="E125" i="100"/>
  <c r="D125" i="100"/>
  <c r="T124" i="100"/>
  <c r="S124" i="100"/>
  <c r="R124" i="100"/>
  <c r="Q124" i="100"/>
  <c r="P124" i="100"/>
  <c r="O124" i="100"/>
  <c r="N124" i="100"/>
  <c r="M124" i="100"/>
  <c r="L124" i="100"/>
  <c r="K124" i="100"/>
  <c r="J124" i="100"/>
  <c r="I124" i="100"/>
  <c r="H124" i="100"/>
  <c r="G124" i="100"/>
  <c r="F124" i="100"/>
  <c r="E124" i="100"/>
  <c r="D124" i="100"/>
  <c r="T123" i="100"/>
  <c r="S123" i="100"/>
  <c r="R123" i="100"/>
  <c r="Q123" i="100"/>
  <c r="P123" i="100"/>
  <c r="O123" i="100"/>
  <c r="N123" i="100"/>
  <c r="M123" i="100"/>
  <c r="L123" i="100"/>
  <c r="K123" i="100"/>
  <c r="J123" i="100"/>
  <c r="I123" i="100"/>
  <c r="H123" i="100"/>
  <c r="G123" i="100"/>
  <c r="F123" i="100"/>
  <c r="E123" i="100"/>
  <c r="D123" i="100"/>
  <c r="T122" i="100"/>
  <c r="S122" i="100"/>
  <c r="R122" i="100"/>
  <c r="Q122" i="100"/>
  <c r="P122" i="100"/>
  <c r="O122" i="100"/>
  <c r="N122" i="100"/>
  <c r="M122" i="100"/>
  <c r="L122" i="100"/>
  <c r="K122" i="100"/>
  <c r="J122" i="100"/>
  <c r="I122" i="100"/>
  <c r="H122" i="100"/>
  <c r="G122" i="100"/>
  <c r="F122" i="100"/>
  <c r="E122" i="100"/>
  <c r="D122" i="100"/>
  <c r="T121" i="100"/>
  <c r="S121" i="100"/>
  <c r="R121" i="100"/>
  <c r="Q121" i="100"/>
  <c r="P121" i="100"/>
  <c r="O121" i="100"/>
  <c r="N121" i="100"/>
  <c r="M121" i="100"/>
  <c r="L121" i="100"/>
  <c r="K121" i="100"/>
  <c r="J121" i="100"/>
  <c r="I121" i="100"/>
  <c r="H121" i="100"/>
  <c r="G121" i="100"/>
  <c r="F121" i="100"/>
  <c r="E121" i="100"/>
  <c r="D121" i="100"/>
  <c r="T116" i="100"/>
  <c r="S116" i="100" a="1"/>
  <c r="S116" i="100" s="1"/>
  <c r="R116" i="100" a="1"/>
  <c r="R116" i="100" s="1"/>
  <c r="Q116" i="100" a="1"/>
  <c r="Q116" i="100" s="1"/>
  <c r="P116" i="100" a="1"/>
  <c r="P116" i="100" s="1"/>
  <c r="O116" i="100" a="1"/>
  <c r="O116" i="100" s="1"/>
  <c r="N116" i="100" a="1"/>
  <c r="N116" i="100" s="1"/>
  <c r="M116" i="100" a="1"/>
  <c r="M116" i="100" s="1"/>
  <c r="L116" i="100" a="1"/>
  <c r="L116" i="100"/>
  <c r="K116" i="100" a="1"/>
  <c r="K116" i="100" s="1"/>
  <c r="J116" i="100" a="1"/>
  <c r="J116" i="100" s="1"/>
  <c r="I116" i="100" a="1"/>
  <c r="I116" i="100" s="1"/>
  <c r="H116" i="100" a="1"/>
  <c r="H116" i="100" s="1"/>
  <c r="G116" i="100" a="1"/>
  <c r="G116" i="100" s="1"/>
  <c r="F116" i="100" a="1"/>
  <c r="F116" i="100" s="1"/>
  <c r="E116" i="100" a="1"/>
  <c r="E116" i="100" s="1"/>
  <c r="D116" i="100" a="1"/>
  <c r="D116" i="100" s="1"/>
  <c r="T115" i="100"/>
  <c r="S115" i="100"/>
  <c r="R115" i="100"/>
  <c r="Q115" i="100"/>
  <c r="P115" i="100"/>
  <c r="O115" i="100"/>
  <c r="N115" i="100"/>
  <c r="M115" i="100"/>
  <c r="L115" i="100"/>
  <c r="K115" i="100"/>
  <c r="J115" i="100"/>
  <c r="I115" i="100"/>
  <c r="H115" i="100"/>
  <c r="G115" i="100"/>
  <c r="F115" i="100"/>
  <c r="E115" i="100"/>
  <c r="D115" i="100"/>
  <c r="T114" i="100"/>
  <c r="S114" i="100" a="1"/>
  <c r="S114" i="100" s="1"/>
  <c r="R114" i="100" a="1"/>
  <c r="R114" i="100" s="1"/>
  <c r="Q114" i="100" a="1"/>
  <c r="Q114" i="100" s="1"/>
  <c r="P114" i="100" a="1"/>
  <c r="P114" i="100" s="1"/>
  <c r="O114" i="100" a="1"/>
  <c r="O114" i="100" s="1"/>
  <c r="N114" i="100" a="1"/>
  <c r="N114" i="100" s="1"/>
  <c r="M114" i="100" a="1"/>
  <c r="M114" i="100" s="1"/>
  <c r="L114" i="100" a="1"/>
  <c r="L114" i="100" s="1"/>
  <c r="K114" i="100" a="1"/>
  <c r="K114" i="100"/>
  <c r="J114" i="100" a="1"/>
  <c r="J114" i="100" s="1"/>
  <c r="I114" i="100" a="1"/>
  <c r="I114" i="100" s="1"/>
  <c r="H114" i="100" a="1"/>
  <c r="H114" i="100" s="1"/>
  <c r="G114" i="100" a="1"/>
  <c r="G114" i="100" s="1"/>
  <c r="F114" i="100" a="1"/>
  <c r="F114" i="100" s="1"/>
  <c r="E114" i="100" a="1"/>
  <c r="E114" i="100"/>
  <c r="D114" i="100" a="1"/>
  <c r="D114" i="100" s="1"/>
  <c r="T113" i="100"/>
  <c r="S113" i="100" a="1"/>
  <c r="S113" i="100" s="1"/>
  <c r="R113" i="100" a="1"/>
  <c r="R113" i="100" s="1"/>
  <c r="Q113" i="100" a="1"/>
  <c r="Q113" i="100" s="1"/>
  <c r="P113" i="100" a="1"/>
  <c r="P113" i="100" s="1"/>
  <c r="O113" i="100" a="1"/>
  <c r="O113" i="100" s="1"/>
  <c r="N113" i="100" a="1"/>
  <c r="N113" i="100" s="1"/>
  <c r="M113" i="100" a="1"/>
  <c r="M113" i="100" s="1"/>
  <c r="L113" i="100" a="1"/>
  <c r="L113" i="100"/>
  <c r="K113" i="100" a="1"/>
  <c r="K113" i="100" s="1"/>
  <c r="J113" i="100" a="1"/>
  <c r="J113" i="100" s="1"/>
  <c r="I113" i="100" a="1"/>
  <c r="I113" i="100" s="1"/>
  <c r="H113" i="100" a="1"/>
  <c r="H113" i="100" s="1"/>
  <c r="G113" i="100" a="1"/>
  <c r="G113" i="100" s="1"/>
  <c r="F113" i="100" a="1"/>
  <c r="F113" i="100" s="1"/>
  <c r="E113" i="100" a="1"/>
  <c r="E113" i="100" s="1"/>
  <c r="D113" i="100" a="1"/>
  <c r="D113" i="100" s="1"/>
  <c r="T112" i="100"/>
  <c r="S112" i="100" a="1"/>
  <c r="S112" i="100" s="1"/>
  <c r="R112" i="100" a="1"/>
  <c r="R112" i="100"/>
  <c r="Q112" i="100" a="1"/>
  <c r="Q112" i="100" s="1"/>
  <c r="P112" i="100" a="1"/>
  <c r="P112" i="100" s="1"/>
  <c r="O112" i="100" a="1"/>
  <c r="O112" i="100" s="1"/>
  <c r="N112" i="100" a="1"/>
  <c r="N112" i="100" s="1"/>
  <c r="AI112" i="100" s="1"/>
  <c r="M112" i="100" a="1"/>
  <c r="M112" i="100" s="1"/>
  <c r="L112" i="100" a="1"/>
  <c r="L112" i="100" s="1"/>
  <c r="K112" i="100" a="1"/>
  <c r="K112" i="100" s="1"/>
  <c r="J112" i="100" a="1"/>
  <c r="J112" i="100" s="1"/>
  <c r="I112" i="100" a="1"/>
  <c r="I112" i="100" s="1"/>
  <c r="H112" i="100" a="1"/>
  <c r="H112" i="100" s="1"/>
  <c r="G112" i="100" a="1"/>
  <c r="G112" i="100" s="1"/>
  <c r="F112" i="100" a="1"/>
  <c r="F112" i="100" s="1"/>
  <c r="E112" i="100" a="1"/>
  <c r="E112" i="100" s="1"/>
  <c r="D112" i="100" a="1"/>
  <c r="D112" i="100" s="1"/>
  <c r="T111" i="100" a="1"/>
  <c r="T111" i="100" s="1"/>
  <c r="S111" i="100" a="1"/>
  <c r="S111" i="100" s="1"/>
  <c r="R111" i="100" a="1"/>
  <c r="R111" i="100" s="1"/>
  <c r="Q111" i="100" a="1"/>
  <c r="Q111" i="100" s="1"/>
  <c r="P111" i="100" a="1"/>
  <c r="P111" i="100" s="1"/>
  <c r="O111" i="100" a="1"/>
  <c r="O111" i="100" s="1"/>
  <c r="N111" i="100" a="1"/>
  <c r="N111" i="100" s="1"/>
  <c r="M111" i="100" a="1"/>
  <c r="M111" i="100" s="1"/>
  <c r="L111" i="100" a="1"/>
  <c r="L111" i="100" s="1"/>
  <c r="K111" i="100" a="1"/>
  <c r="K111" i="100"/>
  <c r="J111" i="100" a="1"/>
  <c r="J111" i="100" s="1"/>
  <c r="I111" i="100" a="1"/>
  <c r="I111" i="100" s="1"/>
  <c r="H111" i="100" a="1"/>
  <c r="H111" i="100" s="1"/>
  <c r="G111" i="100" a="1"/>
  <c r="G111" i="100" s="1"/>
  <c r="F111" i="100" a="1"/>
  <c r="F111" i="100" s="1"/>
  <c r="E111" i="100" a="1"/>
  <c r="E111" i="100"/>
  <c r="D111" i="100" a="1"/>
  <c r="D111" i="100" s="1"/>
  <c r="T110" i="100" a="1"/>
  <c r="T110" i="100" s="1"/>
  <c r="S110" i="100" a="1"/>
  <c r="S110" i="100" s="1"/>
  <c r="R110" i="100" a="1"/>
  <c r="R110" i="100" s="1"/>
  <c r="Q110" i="100" a="1"/>
  <c r="Q110" i="100" s="1"/>
  <c r="P110" i="100" a="1"/>
  <c r="P110" i="100" s="1"/>
  <c r="O110" i="100" a="1"/>
  <c r="O110" i="100" s="1"/>
  <c r="N110" i="100" a="1"/>
  <c r="N110" i="100" s="1"/>
  <c r="M110" i="100" a="1"/>
  <c r="M110" i="100" s="1"/>
  <c r="L110" i="100" a="1"/>
  <c r="L110" i="100" s="1"/>
  <c r="K110" i="100" a="1"/>
  <c r="K110" i="100" s="1"/>
  <c r="J110" i="100" a="1"/>
  <c r="J110" i="100" s="1"/>
  <c r="I110" i="100" a="1"/>
  <c r="I110" i="100" s="1"/>
  <c r="H110" i="100" a="1"/>
  <c r="H110" i="100" s="1"/>
  <c r="G110" i="100" a="1"/>
  <c r="G110" i="100" s="1"/>
  <c r="F110" i="100" a="1"/>
  <c r="F110" i="100" s="1"/>
  <c r="E110" i="100" a="1"/>
  <c r="E110" i="100" s="1"/>
  <c r="D110" i="100" a="1"/>
  <c r="D110" i="100" s="1"/>
  <c r="T109" i="100" a="1"/>
  <c r="T109" i="100" s="1"/>
  <c r="S109" i="100" a="1"/>
  <c r="S109" i="100" s="1"/>
  <c r="R109" i="100" a="1"/>
  <c r="R109" i="100" s="1"/>
  <c r="Q109" i="100" a="1"/>
  <c r="Q109" i="100" s="1"/>
  <c r="P109" i="100" a="1"/>
  <c r="P109" i="100" s="1"/>
  <c r="O109" i="100" a="1"/>
  <c r="O109" i="100" s="1"/>
  <c r="N109" i="100" a="1"/>
  <c r="N109" i="100" s="1"/>
  <c r="M109" i="100" a="1"/>
  <c r="M109" i="100" s="1"/>
  <c r="L109" i="100" a="1"/>
  <c r="L109" i="100" s="1"/>
  <c r="K109" i="100" a="1"/>
  <c r="K109" i="100" s="1"/>
  <c r="J109" i="100" a="1"/>
  <c r="J109" i="100" s="1"/>
  <c r="I109" i="100" a="1"/>
  <c r="I109" i="100" s="1"/>
  <c r="H109" i="100" a="1"/>
  <c r="H109" i="100" s="1"/>
  <c r="G109" i="100" a="1"/>
  <c r="G109" i="100" s="1"/>
  <c r="F109" i="100" a="1"/>
  <c r="F109" i="100" s="1"/>
  <c r="E109" i="100" a="1"/>
  <c r="E109" i="100" s="1"/>
  <c r="D109" i="100" a="1"/>
  <c r="D109" i="100" s="1"/>
  <c r="T108" i="100"/>
  <c r="S108" i="100" a="1"/>
  <c r="S108" i="100" s="1"/>
  <c r="R108" i="100" a="1"/>
  <c r="R108" i="100" s="1"/>
  <c r="Q108" i="100" a="1"/>
  <c r="Q108" i="100" s="1"/>
  <c r="P108" i="100" a="1"/>
  <c r="P108" i="100" s="1"/>
  <c r="O108" i="100" a="1"/>
  <c r="O108" i="100"/>
  <c r="N108" i="100" a="1"/>
  <c r="N108" i="100" s="1"/>
  <c r="M108" i="100" a="1"/>
  <c r="M108" i="100" s="1"/>
  <c r="L108" i="100" a="1"/>
  <c r="L108" i="100" s="1"/>
  <c r="K108" i="100" a="1"/>
  <c r="K108" i="100" s="1"/>
  <c r="J108" i="100" a="1"/>
  <c r="J108" i="100" s="1"/>
  <c r="I108" i="100" a="1"/>
  <c r="I108" i="100" s="1"/>
  <c r="H108" i="100" a="1"/>
  <c r="H108" i="100" s="1"/>
  <c r="G108" i="100" a="1"/>
  <c r="G108" i="100" s="1"/>
  <c r="F108" i="100" a="1"/>
  <c r="F108" i="100" s="1"/>
  <c r="E108" i="100" a="1"/>
  <c r="E108" i="100" s="1"/>
  <c r="D108" i="100" a="1"/>
  <c r="D108" i="100" s="1"/>
  <c r="T107" i="100" a="1"/>
  <c r="T107" i="100" s="1"/>
  <c r="S107" i="100" a="1"/>
  <c r="S107" i="100" s="1"/>
  <c r="R107" i="100" a="1"/>
  <c r="R107" i="100" s="1"/>
  <c r="Q107" i="100" a="1"/>
  <c r="Q107" i="100" s="1"/>
  <c r="P107" i="100" a="1"/>
  <c r="P107" i="100" s="1"/>
  <c r="O107" i="100" a="1"/>
  <c r="O107" i="100" s="1"/>
  <c r="N107" i="100" a="1"/>
  <c r="N107" i="100" s="1"/>
  <c r="M107" i="100" a="1"/>
  <c r="M107" i="100" s="1"/>
  <c r="L107" i="100" a="1"/>
  <c r="L107" i="100" s="1"/>
  <c r="K107" i="100" a="1"/>
  <c r="K107" i="100" s="1"/>
  <c r="J107" i="100" a="1"/>
  <c r="J107" i="100" s="1"/>
  <c r="I107" i="100" a="1"/>
  <c r="I107" i="100" s="1"/>
  <c r="H107" i="100" a="1"/>
  <c r="H107" i="100" s="1"/>
  <c r="G107" i="100" a="1"/>
  <c r="G107" i="100" s="1"/>
  <c r="F107" i="100" a="1"/>
  <c r="F107" i="100" s="1"/>
  <c r="E107" i="100" a="1"/>
  <c r="E107" i="100" s="1"/>
  <c r="D107" i="100" a="1"/>
  <c r="D107" i="100" s="1"/>
  <c r="T106" i="100" a="1"/>
  <c r="T106" i="100" s="1"/>
  <c r="S106" i="100" a="1"/>
  <c r="S106" i="100" s="1"/>
  <c r="R106" i="100" a="1"/>
  <c r="R106" i="100" s="1"/>
  <c r="Q106" i="100" a="1"/>
  <c r="Q106" i="100" s="1"/>
  <c r="P106" i="100" a="1"/>
  <c r="P106" i="100" s="1"/>
  <c r="O106" i="100" a="1"/>
  <c r="O106" i="100" s="1"/>
  <c r="N106" i="100" a="1"/>
  <c r="N106" i="100" s="1"/>
  <c r="M106" i="100" a="1"/>
  <c r="M106" i="100" s="1"/>
  <c r="L106" i="100" a="1"/>
  <c r="L106" i="100" s="1"/>
  <c r="K106" i="100" a="1"/>
  <c r="K106" i="100" s="1"/>
  <c r="J106" i="100" a="1"/>
  <c r="J106" i="100" s="1"/>
  <c r="I106" i="100" a="1"/>
  <c r="I106" i="100" s="1"/>
  <c r="H106" i="100" a="1"/>
  <c r="H106" i="100" s="1"/>
  <c r="G106" i="100" a="1"/>
  <c r="G106" i="100" s="1"/>
  <c r="F106" i="100" a="1"/>
  <c r="F106" i="100" s="1"/>
  <c r="E106" i="100" a="1"/>
  <c r="E106" i="100" s="1"/>
  <c r="D106" i="100" a="1"/>
  <c r="D106" i="100" s="1"/>
  <c r="T105" i="100" a="1"/>
  <c r="T105" i="100" s="1"/>
  <c r="S105" i="100" a="1"/>
  <c r="S105" i="100" s="1"/>
  <c r="R105" i="100" a="1"/>
  <c r="R105" i="100" s="1"/>
  <c r="Q105" i="100" a="1"/>
  <c r="Q105" i="100" s="1"/>
  <c r="P105" i="100" a="1"/>
  <c r="P105" i="100" s="1"/>
  <c r="O105" i="100" a="1"/>
  <c r="O105" i="100" s="1"/>
  <c r="N105" i="100" a="1"/>
  <c r="N105" i="100" s="1"/>
  <c r="M105" i="100" a="1"/>
  <c r="M105" i="100" s="1"/>
  <c r="L105" i="100" a="1"/>
  <c r="L105" i="100" s="1"/>
  <c r="K105" i="100" a="1"/>
  <c r="K105" i="100" s="1"/>
  <c r="J105" i="100" a="1"/>
  <c r="J105" i="100" s="1"/>
  <c r="I105" i="100" a="1"/>
  <c r="I105" i="100" s="1"/>
  <c r="H105" i="100" a="1"/>
  <c r="H105" i="100" s="1"/>
  <c r="G105" i="100" a="1"/>
  <c r="G105" i="100" s="1"/>
  <c r="F105" i="100" a="1"/>
  <c r="F105" i="100" s="1"/>
  <c r="E105" i="100" a="1"/>
  <c r="E105" i="100" s="1"/>
  <c r="D105" i="100" a="1"/>
  <c r="D105" i="100" s="1"/>
  <c r="T104" i="100"/>
  <c r="S104" i="100" a="1"/>
  <c r="S104" i="100" s="1"/>
  <c r="R104" i="100" a="1"/>
  <c r="R104" i="100" s="1"/>
  <c r="Q104" i="100" a="1"/>
  <c r="Q104" i="100" s="1"/>
  <c r="P104" i="100" a="1"/>
  <c r="P104" i="100" s="1"/>
  <c r="O104" i="100" a="1"/>
  <c r="O104" i="100" s="1"/>
  <c r="N104" i="100" a="1"/>
  <c r="N104" i="100" s="1"/>
  <c r="M104" i="100" a="1"/>
  <c r="M104" i="100" s="1"/>
  <c r="L104" i="100" a="1"/>
  <c r="L104" i="100" s="1"/>
  <c r="K104" i="100" a="1"/>
  <c r="K104" i="100"/>
  <c r="J104" i="100" a="1"/>
  <c r="J104" i="100" s="1"/>
  <c r="I104" i="100" a="1"/>
  <c r="I104" i="100" s="1"/>
  <c r="H104" i="100" a="1"/>
  <c r="H104" i="100" s="1"/>
  <c r="G104" i="100" a="1"/>
  <c r="G104" i="100" s="1"/>
  <c r="F104" i="100" a="1"/>
  <c r="F104" i="100" s="1"/>
  <c r="E104" i="100" a="1"/>
  <c r="E104" i="100" s="1"/>
  <c r="D104" i="100" a="1"/>
  <c r="D104" i="100"/>
  <c r="T103" i="100" a="1"/>
  <c r="T103" i="100" s="1"/>
  <c r="S103" i="100" a="1"/>
  <c r="S103" i="100" s="1"/>
  <c r="R103" i="100" a="1"/>
  <c r="R103" i="100" s="1"/>
  <c r="Q103" i="100" a="1"/>
  <c r="Q103" i="100" s="1"/>
  <c r="P103" i="100" a="1"/>
  <c r="P103" i="100"/>
  <c r="O103" i="100" a="1"/>
  <c r="O103" i="100" s="1"/>
  <c r="N103" i="100" a="1"/>
  <c r="N103" i="100" s="1"/>
  <c r="M103" i="100" a="1"/>
  <c r="M103" i="100" s="1"/>
  <c r="L103" i="100" a="1"/>
  <c r="L103" i="100" s="1"/>
  <c r="K103" i="100" a="1"/>
  <c r="K103" i="100" s="1"/>
  <c r="J103" i="100" a="1"/>
  <c r="J103" i="100" s="1"/>
  <c r="I103" i="100" a="1"/>
  <c r="I103" i="100"/>
  <c r="H103" i="100" a="1"/>
  <c r="H103" i="100"/>
  <c r="G103" i="100" a="1"/>
  <c r="G103" i="100" s="1"/>
  <c r="F103" i="100" a="1"/>
  <c r="F103" i="100" s="1"/>
  <c r="E103" i="100" a="1"/>
  <c r="E103" i="100" s="1"/>
  <c r="D103" i="100" a="1"/>
  <c r="D103" i="100" s="1"/>
  <c r="T102" i="100" a="1"/>
  <c r="T102" i="100" s="1"/>
  <c r="S102" i="100" a="1"/>
  <c r="S102" i="100" s="1"/>
  <c r="R102" i="100" a="1"/>
  <c r="R102" i="100" s="1"/>
  <c r="Q102" i="100" a="1"/>
  <c r="Q102" i="100" s="1"/>
  <c r="P102" i="100" a="1"/>
  <c r="P102" i="100" s="1"/>
  <c r="O102" i="100" a="1"/>
  <c r="O102" i="100" s="1"/>
  <c r="N102" i="100" a="1"/>
  <c r="N102" i="100" s="1"/>
  <c r="M102" i="100" a="1"/>
  <c r="M102" i="100" s="1"/>
  <c r="L102" i="100" a="1"/>
  <c r="L102" i="100" s="1"/>
  <c r="K102" i="100" a="1"/>
  <c r="K102" i="100" s="1"/>
  <c r="J102" i="100" a="1"/>
  <c r="J102" i="100" s="1"/>
  <c r="I102" i="100" a="1"/>
  <c r="I102" i="100" s="1"/>
  <c r="H102" i="100" a="1"/>
  <c r="H102" i="100" s="1"/>
  <c r="G102" i="100" a="1"/>
  <c r="G102" i="100" s="1"/>
  <c r="F102" i="100" a="1"/>
  <c r="F102" i="100" s="1"/>
  <c r="E102" i="100" a="1"/>
  <c r="E102" i="100" s="1"/>
  <c r="D102" i="100" a="1"/>
  <c r="D102" i="100" s="1"/>
  <c r="T101" i="100" a="1"/>
  <c r="T101" i="100" s="1"/>
  <c r="S101" i="100" a="1"/>
  <c r="S101" i="100" s="1"/>
  <c r="R101" i="100" a="1"/>
  <c r="R101" i="100" s="1"/>
  <c r="Q101" i="100" a="1"/>
  <c r="Q101" i="100" s="1"/>
  <c r="P101" i="100" a="1"/>
  <c r="P101" i="100" s="1"/>
  <c r="O101" i="100" a="1"/>
  <c r="O101" i="100" s="1"/>
  <c r="N101" i="100" a="1"/>
  <c r="N101" i="100" s="1"/>
  <c r="M101" i="100" a="1"/>
  <c r="M101" i="100" s="1"/>
  <c r="L101" i="100" a="1"/>
  <c r="L101" i="100" s="1"/>
  <c r="K101" i="100" a="1"/>
  <c r="K101" i="100" s="1"/>
  <c r="J101" i="100" a="1"/>
  <c r="J101" i="100" s="1"/>
  <c r="I101" i="100" a="1"/>
  <c r="I101" i="100" s="1"/>
  <c r="H101" i="100" a="1"/>
  <c r="H101" i="100" s="1"/>
  <c r="G101" i="100" a="1"/>
  <c r="G101" i="100" s="1"/>
  <c r="F101" i="100" a="1"/>
  <c r="F101" i="100" s="1"/>
  <c r="E101" i="100" a="1"/>
  <c r="E101" i="100" s="1"/>
  <c r="D101" i="100" a="1"/>
  <c r="D101" i="100" s="1"/>
  <c r="T100" i="100" a="1"/>
  <c r="T100" i="100" s="1"/>
  <c r="S100" i="100" a="1"/>
  <c r="S100" i="100" s="1"/>
  <c r="R100" i="100" a="1"/>
  <c r="R100" i="100" s="1"/>
  <c r="Q100" i="100" a="1"/>
  <c r="Q100" i="100" s="1"/>
  <c r="P100" i="100" a="1"/>
  <c r="P100" i="100" s="1"/>
  <c r="O100" i="100" a="1"/>
  <c r="O100" i="100" s="1"/>
  <c r="N100" i="100" a="1"/>
  <c r="N100" i="100" s="1"/>
  <c r="M100" i="100" a="1"/>
  <c r="M100" i="100" s="1"/>
  <c r="L100" i="100" a="1"/>
  <c r="L100" i="100" s="1"/>
  <c r="K100" i="100" a="1"/>
  <c r="K100" i="100" s="1"/>
  <c r="J100" i="100" a="1"/>
  <c r="J100" i="100" s="1"/>
  <c r="I100" i="100" a="1"/>
  <c r="I100" i="100" s="1"/>
  <c r="H100" i="100" a="1"/>
  <c r="H100" i="100" s="1"/>
  <c r="G100" i="100" a="1"/>
  <c r="G100" i="100" s="1"/>
  <c r="F100" i="100" a="1"/>
  <c r="F100" i="100" s="1"/>
  <c r="E100" i="100" a="1"/>
  <c r="E100" i="100" s="1"/>
  <c r="D100" i="100" a="1"/>
  <c r="D100" i="100" s="1"/>
  <c r="T99" i="100" a="1"/>
  <c r="T99" i="100" s="1"/>
  <c r="S99" i="100" a="1"/>
  <c r="S99" i="100" s="1"/>
  <c r="R99" i="100" a="1"/>
  <c r="R99" i="100" s="1"/>
  <c r="Q99" i="100" a="1"/>
  <c r="Q99" i="100" s="1"/>
  <c r="P99" i="100" a="1"/>
  <c r="P99" i="100" s="1"/>
  <c r="O99" i="100" a="1"/>
  <c r="O99" i="100" s="1"/>
  <c r="N99" i="100" a="1"/>
  <c r="N99" i="100" s="1"/>
  <c r="M99" i="100" a="1"/>
  <c r="M99" i="100" s="1"/>
  <c r="L99" i="100" a="1"/>
  <c r="L99" i="100" s="1"/>
  <c r="K99" i="100" a="1"/>
  <c r="K99" i="100" s="1"/>
  <c r="J99" i="100" a="1"/>
  <c r="J99" i="100" s="1"/>
  <c r="I99" i="100" a="1"/>
  <c r="I99" i="100" s="1"/>
  <c r="H99" i="100" a="1"/>
  <c r="H99" i="100" s="1"/>
  <c r="G99" i="100" a="1"/>
  <c r="G99" i="100" s="1"/>
  <c r="F99" i="100" a="1"/>
  <c r="F99" i="100" s="1"/>
  <c r="E99" i="100" a="1"/>
  <c r="E99" i="100" s="1"/>
  <c r="D99" i="100" a="1"/>
  <c r="D99" i="100" s="1"/>
  <c r="T98" i="100" a="1"/>
  <c r="T98" i="100" s="1"/>
  <c r="S98" i="100" a="1"/>
  <c r="S98" i="100" s="1"/>
  <c r="R98" i="100" a="1"/>
  <c r="R98" i="100" s="1"/>
  <c r="Q98" i="100" a="1"/>
  <c r="Q98" i="100" s="1"/>
  <c r="P98" i="100" a="1"/>
  <c r="P98" i="100" s="1"/>
  <c r="O98" i="100" a="1"/>
  <c r="O98" i="100" s="1"/>
  <c r="N98" i="100" a="1"/>
  <c r="N98" i="100" s="1"/>
  <c r="M98" i="100" a="1"/>
  <c r="M98" i="100" s="1"/>
  <c r="L98" i="100" a="1"/>
  <c r="L98" i="100" s="1"/>
  <c r="K98" i="100" a="1"/>
  <c r="K98" i="100" s="1"/>
  <c r="J98" i="100" a="1"/>
  <c r="J98" i="100" s="1"/>
  <c r="I98" i="100" a="1"/>
  <c r="I98" i="100" s="1"/>
  <c r="H98" i="100" a="1"/>
  <c r="H98" i="100" s="1"/>
  <c r="G98" i="100" a="1"/>
  <c r="G98" i="100" s="1"/>
  <c r="F98" i="100" a="1"/>
  <c r="F98" i="100" s="1"/>
  <c r="E98" i="100" a="1"/>
  <c r="E98" i="100" s="1"/>
  <c r="D98" i="100" a="1"/>
  <c r="D98" i="100" s="1"/>
  <c r="T97" i="100" a="1"/>
  <c r="T97" i="100" s="1"/>
  <c r="S97" i="100" a="1"/>
  <c r="S97" i="100" s="1"/>
  <c r="R97" i="100" a="1"/>
  <c r="R97" i="100" s="1"/>
  <c r="Q97" i="100" a="1"/>
  <c r="Q97" i="100" s="1"/>
  <c r="P97" i="100" a="1"/>
  <c r="P97" i="100" s="1"/>
  <c r="O97" i="100" a="1"/>
  <c r="O97" i="100" s="1"/>
  <c r="N97" i="100" a="1"/>
  <c r="N97" i="100" s="1"/>
  <c r="M97" i="100" a="1"/>
  <c r="M97" i="100" s="1"/>
  <c r="L97" i="100" a="1"/>
  <c r="L97" i="100" s="1"/>
  <c r="K97" i="100" a="1"/>
  <c r="K97" i="100" s="1"/>
  <c r="J97" i="100" a="1"/>
  <c r="J97" i="100" s="1"/>
  <c r="I97" i="100" a="1"/>
  <c r="I97" i="100" s="1"/>
  <c r="H97" i="100" a="1"/>
  <c r="H97" i="100" s="1"/>
  <c r="G97" i="100" a="1"/>
  <c r="G97" i="100" s="1"/>
  <c r="F97" i="100" a="1"/>
  <c r="F97" i="100" s="1"/>
  <c r="E97" i="100" a="1"/>
  <c r="E97" i="100" s="1"/>
  <c r="D97" i="100" a="1"/>
  <c r="D97" i="100" s="1"/>
  <c r="T96" i="100"/>
  <c r="S96" i="100" a="1"/>
  <c r="S96" i="100" s="1"/>
  <c r="R96" i="100" a="1"/>
  <c r="R96" i="100" s="1"/>
  <c r="Q96" i="100" a="1"/>
  <c r="Q96" i="100" s="1"/>
  <c r="P96" i="100" a="1"/>
  <c r="P96" i="100" s="1"/>
  <c r="O96" i="100" a="1"/>
  <c r="O96" i="100" s="1"/>
  <c r="N96" i="100" a="1"/>
  <c r="N96" i="100" s="1"/>
  <c r="M96" i="100" a="1"/>
  <c r="M96" i="100" s="1"/>
  <c r="L96" i="100" a="1"/>
  <c r="L96" i="100" s="1"/>
  <c r="K96" i="100" a="1"/>
  <c r="K96" i="100" s="1"/>
  <c r="J96" i="100" a="1"/>
  <c r="J96" i="100" s="1"/>
  <c r="I96" i="100" a="1"/>
  <c r="I96" i="100" s="1"/>
  <c r="H96" i="100" a="1"/>
  <c r="H96" i="100" s="1"/>
  <c r="G96" i="100" a="1"/>
  <c r="G96" i="100" s="1"/>
  <c r="F96" i="100" a="1"/>
  <c r="F96" i="100" s="1"/>
  <c r="E96" i="100" a="1"/>
  <c r="E96" i="100" s="1"/>
  <c r="D96" i="100" a="1"/>
  <c r="D96" i="100" s="1"/>
  <c r="T95" i="100" a="1"/>
  <c r="T95" i="100" s="1"/>
  <c r="S95" i="100" a="1"/>
  <c r="S95" i="100" s="1"/>
  <c r="R95" i="100" a="1"/>
  <c r="R95" i="100" s="1"/>
  <c r="Q95" i="100" a="1"/>
  <c r="Q95" i="100" s="1"/>
  <c r="P95" i="100" a="1"/>
  <c r="P95" i="100" s="1"/>
  <c r="O95" i="100" a="1"/>
  <c r="O95" i="100" s="1"/>
  <c r="N95" i="100" a="1"/>
  <c r="N95" i="100" s="1"/>
  <c r="M95" i="100" a="1"/>
  <c r="M95" i="100"/>
  <c r="L95" i="100" a="1"/>
  <c r="L95" i="100" s="1"/>
  <c r="K95" i="100" a="1"/>
  <c r="K95" i="100" s="1"/>
  <c r="J95" i="100" a="1"/>
  <c r="J95" i="100" s="1"/>
  <c r="I95" i="100" a="1"/>
  <c r="I95" i="100" s="1"/>
  <c r="H95" i="100" a="1"/>
  <c r="H95" i="100" s="1"/>
  <c r="G95" i="100" a="1"/>
  <c r="G95" i="100" s="1"/>
  <c r="F95" i="100" a="1"/>
  <c r="F95" i="100"/>
  <c r="E95" i="100" a="1"/>
  <c r="E95" i="100"/>
  <c r="D95" i="100" a="1"/>
  <c r="D95" i="100"/>
  <c r="T94" i="100" a="1"/>
  <c r="T94" i="100" s="1"/>
  <c r="S94" i="100" a="1"/>
  <c r="S94" i="100" s="1"/>
  <c r="R94" i="100" a="1"/>
  <c r="R94" i="100" s="1"/>
  <c r="Q94" i="100" a="1"/>
  <c r="Q94" i="100" s="1"/>
  <c r="P94" i="100" a="1"/>
  <c r="P94" i="100" s="1"/>
  <c r="O94" i="100" a="1"/>
  <c r="O94" i="100" s="1"/>
  <c r="N94" i="100" a="1"/>
  <c r="N94" i="100" s="1"/>
  <c r="M94" i="100" a="1"/>
  <c r="M94" i="100" s="1"/>
  <c r="L94" i="100" a="1"/>
  <c r="L94" i="100" s="1"/>
  <c r="K94" i="100" a="1"/>
  <c r="K94" i="100" s="1"/>
  <c r="J94" i="100" a="1"/>
  <c r="J94" i="100" s="1"/>
  <c r="I94" i="100" a="1"/>
  <c r="I94" i="100" s="1"/>
  <c r="H94" i="100" a="1"/>
  <c r="H94" i="100" s="1"/>
  <c r="G94" i="100" a="1"/>
  <c r="G94" i="100" s="1"/>
  <c r="F94" i="100" a="1"/>
  <c r="F94" i="100" s="1"/>
  <c r="E94" i="100" a="1"/>
  <c r="E94" i="100" s="1"/>
  <c r="D94" i="100" a="1"/>
  <c r="D94" i="100" s="1"/>
  <c r="T93" i="100" a="1"/>
  <c r="T93" i="100" s="1"/>
  <c r="S93" i="100" a="1"/>
  <c r="S93" i="100" s="1"/>
  <c r="R93" i="100" a="1"/>
  <c r="R93" i="100" s="1"/>
  <c r="Q93" i="100" a="1"/>
  <c r="Q93" i="100" s="1"/>
  <c r="P93" i="100" a="1"/>
  <c r="P93" i="100" s="1"/>
  <c r="O93" i="100" a="1"/>
  <c r="O93" i="100" s="1"/>
  <c r="N93" i="100" a="1"/>
  <c r="N93" i="100" s="1"/>
  <c r="M93" i="100" a="1"/>
  <c r="M93" i="100" s="1"/>
  <c r="L93" i="100" a="1"/>
  <c r="L93" i="100" s="1"/>
  <c r="K93" i="100" a="1"/>
  <c r="K93" i="100" s="1"/>
  <c r="J93" i="100" a="1"/>
  <c r="J93" i="100" s="1"/>
  <c r="I93" i="100" a="1"/>
  <c r="I93" i="100" s="1"/>
  <c r="H93" i="100" a="1"/>
  <c r="H93" i="100" s="1"/>
  <c r="G93" i="100" a="1"/>
  <c r="G93" i="100" s="1"/>
  <c r="F93" i="100" a="1"/>
  <c r="F93" i="100" s="1"/>
  <c r="E93" i="100" a="1"/>
  <c r="E93" i="100" s="1"/>
  <c r="D93" i="100" a="1"/>
  <c r="D93" i="100" s="1"/>
  <c r="T92" i="100"/>
  <c r="S92" i="100" a="1"/>
  <c r="S92" i="100" s="1"/>
  <c r="R92" i="100" a="1"/>
  <c r="R92" i="100" s="1"/>
  <c r="Q92" i="100" a="1"/>
  <c r="Q92" i="100" s="1"/>
  <c r="P92" i="100" a="1"/>
  <c r="P92" i="100" s="1"/>
  <c r="O92" i="100" a="1"/>
  <c r="O92" i="100" s="1"/>
  <c r="AJ92" i="100" s="1"/>
  <c r="N92" i="100" a="1"/>
  <c r="N92" i="100" s="1"/>
  <c r="M92" i="100" a="1"/>
  <c r="M92" i="100" s="1"/>
  <c r="L92" i="100" a="1"/>
  <c r="L92" i="100"/>
  <c r="K92" i="100" a="1"/>
  <c r="K92" i="100" s="1"/>
  <c r="J92" i="100" a="1"/>
  <c r="J92" i="100" s="1"/>
  <c r="I92" i="100" a="1"/>
  <c r="I92" i="100" s="1"/>
  <c r="H92" i="100" a="1"/>
  <c r="H92" i="100" s="1"/>
  <c r="G92" i="100" a="1"/>
  <c r="G92" i="100" s="1"/>
  <c r="F92" i="100" a="1"/>
  <c r="F92" i="100" s="1"/>
  <c r="E92" i="100" a="1"/>
  <c r="E92" i="100" s="1"/>
  <c r="D92" i="100" a="1"/>
  <c r="D92" i="100" s="1"/>
  <c r="T91" i="100" a="1"/>
  <c r="T91" i="100" s="1"/>
  <c r="S91" i="100"/>
  <c r="R91" i="100"/>
  <c r="Q91" i="100"/>
  <c r="P91" i="100"/>
  <c r="O91" i="100"/>
  <c r="N91" i="100"/>
  <c r="M91" i="100"/>
  <c r="L91" i="100"/>
  <c r="K91" i="100"/>
  <c r="J91" i="100"/>
  <c r="I91" i="100"/>
  <c r="H91" i="100"/>
  <c r="G91" i="100"/>
  <c r="F91" i="100"/>
  <c r="E91" i="100"/>
  <c r="D91" i="100"/>
  <c r="T90" i="100"/>
  <c r="S90" i="100" a="1"/>
  <c r="S90" i="100" s="1"/>
  <c r="R90" i="100" a="1"/>
  <c r="R90" i="100" s="1"/>
  <c r="Q90" i="100" a="1"/>
  <c r="Q90" i="100" s="1"/>
  <c r="P90" i="100" a="1"/>
  <c r="P90" i="100" s="1"/>
  <c r="O90" i="100" a="1"/>
  <c r="O90" i="100" s="1"/>
  <c r="N90" i="100" a="1"/>
  <c r="N90" i="100" s="1"/>
  <c r="M90" i="100" a="1"/>
  <c r="M90" i="100" s="1"/>
  <c r="L90" i="100" a="1"/>
  <c r="L90" i="100" s="1"/>
  <c r="K90" i="100" a="1"/>
  <c r="K90" i="100" s="1"/>
  <c r="J90" i="100" a="1"/>
  <c r="J90" i="100" s="1"/>
  <c r="I90" i="100" a="1"/>
  <c r="I90" i="100" s="1"/>
  <c r="H90" i="100" a="1"/>
  <c r="H90" i="100" s="1"/>
  <c r="G90" i="100" a="1"/>
  <c r="G90" i="100" s="1"/>
  <c r="F90" i="100" a="1"/>
  <c r="F90" i="100" s="1"/>
  <c r="E90" i="100" a="1"/>
  <c r="E90" i="100" s="1"/>
  <c r="D90" i="100" a="1"/>
  <c r="D90" i="100" s="1"/>
  <c r="T89" i="100" a="1"/>
  <c r="T89" i="100" s="1"/>
  <c r="S89" i="100" a="1"/>
  <c r="S89" i="100" s="1"/>
  <c r="R89" i="100" a="1"/>
  <c r="R89" i="100" s="1"/>
  <c r="Q89" i="100" a="1"/>
  <c r="Q89" i="100" s="1"/>
  <c r="P89" i="100" a="1"/>
  <c r="P89" i="100" s="1"/>
  <c r="O89" i="100" a="1"/>
  <c r="O89" i="100" s="1"/>
  <c r="N89" i="100" a="1"/>
  <c r="N89" i="100" s="1"/>
  <c r="M89" i="100" a="1"/>
  <c r="M89" i="100" s="1"/>
  <c r="L89" i="100" a="1"/>
  <c r="L89" i="100" s="1"/>
  <c r="K89" i="100" a="1"/>
  <c r="K89" i="100" s="1"/>
  <c r="J89" i="100" a="1"/>
  <c r="J89" i="100" s="1"/>
  <c r="I89" i="100" a="1"/>
  <c r="I89" i="100" s="1"/>
  <c r="H89" i="100" a="1"/>
  <c r="H89" i="100" s="1"/>
  <c r="G89" i="100" a="1"/>
  <c r="G89" i="100" s="1"/>
  <c r="F89" i="100" a="1"/>
  <c r="F89" i="100" s="1"/>
  <c r="E89" i="100" a="1"/>
  <c r="E89" i="100" s="1"/>
  <c r="D89" i="100" a="1"/>
  <c r="D89" i="100" s="1"/>
  <c r="T88" i="100"/>
  <c r="S88" i="100" a="1"/>
  <c r="S88" i="100"/>
  <c r="R88" i="100" a="1"/>
  <c r="R88" i="100"/>
  <c r="Q88" i="100" a="1"/>
  <c r="Q88" i="100"/>
  <c r="AL89" i="100" s="1"/>
  <c r="P88" i="100" a="1"/>
  <c r="P88" i="100" s="1"/>
  <c r="O88" i="100" a="1"/>
  <c r="O88" i="100" s="1"/>
  <c r="N88" i="100" a="1"/>
  <c r="N88" i="100" s="1"/>
  <c r="M88" i="100" a="1"/>
  <c r="M88" i="100"/>
  <c r="L88" i="100" a="1"/>
  <c r="L88" i="100" s="1"/>
  <c r="K88" i="100" a="1"/>
  <c r="K88" i="100" s="1"/>
  <c r="J88" i="100" a="1"/>
  <c r="J88" i="100" s="1"/>
  <c r="I88" i="100" a="1"/>
  <c r="I88" i="100" s="1"/>
  <c r="H88" i="100" a="1"/>
  <c r="H88" i="100" s="1"/>
  <c r="G88" i="100" a="1"/>
  <c r="G88" i="100"/>
  <c r="F88" i="100" a="1"/>
  <c r="F88" i="100" s="1"/>
  <c r="E88" i="100" a="1"/>
  <c r="E88" i="100" s="1"/>
  <c r="D88" i="100" a="1"/>
  <c r="D88" i="100" s="1"/>
  <c r="T87" i="100" a="1"/>
  <c r="T87" i="100" s="1"/>
  <c r="S87" i="100" a="1"/>
  <c r="S87" i="100" s="1"/>
  <c r="R87" i="100" a="1"/>
  <c r="R87" i="100" s="1"/>
  <c r="Q87" i="100" a="1"/>
  <c r="Q87" i="100" s="1"/>
  <c r="P87" i="100" a="1"/>
  <c r="P87" i="100" s="1"/>
  <c r="O87" i="100" a="1"/>
  <c r="O87" i="100" s="1"/>
  <c r="N87" i="100" a="1"/>
  <c r="N87" i="100" s="1"/>
  <c r="M87" i="100" a="1"/>
  <c r="M87" i="100" s="1"/>
  <c r="L87" i="100" a="1"/>
  <c r="L87" i="100" s="1"/>
  <c r="K87" i="100" a="1"/>
  <c r="K87" i="100" s="1"/>
  <c r="J87" i="100" a="1"/>
  <c r="J87" i="100"/>
  <c r="I87" i="100" a="1"/>
  <c r="I87" i="100" s="1"/>
  <c r="H87" i="100" a="1"/>
  <c r="H87" i="100" s="1"/>
  <c r="G87" i="100" a="1"/>
  <c r="G87" i="100" s="1"/>
  <c r="F87" i="100" a="1"/>
  <c r="F87" i="100" s="1"/>
  <c r="E87" i="100" a="1"/>
  <c r="E87" i="100" s="1"/>
  <c r="D87" i="100" a="1"/>
  <c r="D87" i="100" s="1"/>
  <c r="T86" i="100" a="1"/>
  <c r="T86" i="100" s="1"/>
  <c r="S86" i="100" a="1"/>
  <c r="S86" i="100" s="1"/>
  <c r="R86" i="100" a="1"/>
  <c r="R86" i="100" s="1"/>
  <c r="Q86" i="100" a="1"/>
  <c r="Q86" i="100" s="1"/>
  <c r="P86" i="100" a="1"/>
  <c r="P86" i="100" s="1"/>
  <c r="O86" i="100" a="1"/>
  <c r="O86" i="100" s="1"/>
  <c r="N86" i="100" a="1"/>
  <c r="N86" i="100" s="1"/>
  <c r="M86" i="100" a="1"/>
  <c r="M86" i="100"/>
  <c r="L86" i="100" a="1"/>
  <c r="L86" i="100"/>
  <c r="K86" i="100" a="1"/>
  <c r="K86" i="100" s="1"/>
  <c r="J86" i="100" a="1"/>
  <c r="J86" i="100" s="1"/>
  <c r="I86" i="100" a="1"/>
  <c r="I86" i="100" s="1"/>
  <c r="H86" i="100" a="1"/>
  <c r="H86" i="100" s="1"/>
  <c r="G86" i="100" a="1"/>
  <c r="G86" i="100"/>
  <c r="F86" i="100" a="1"/>
  <c r="F86" i="100" s="1"/>
  <c r="E86" i="100" a="1"/>
  <c r="E86" i="100" s="1"/>
  <c r="D86" i="100" a="1"/>
  <c r="D86" i="100" s="1"/>
  <c r="T85" i="100" a="1"/>
  <c r="T85" i="100" s="1"/>
  <c r="S85" i="100" a="1"/>
  <c r="S85" i="100" s="1"/>
  <c r="R85" i="100" a="1"/>
  <c r="R85" i="100" s="1"/>
  <c r="Q85" i="100" a="1"/>
  <c r="Q85" i="100" s="1"/>
  <c r="P85" i="100" a="1"/>
  <c r="P85" i="100" s="1"/>
  <c r="O85" i="100" a="1"/>
  <c r="O85" i="100" s="1"/>
  <c r="N85" i="100" a="1"/>
  <c r="N85" i="100" s="1"/>
  <c r="M85" i="100" a="1"/>
  <c r="M85" i="100" s="1"/>
  <c r="L85" i="100" a="1"/>
  <c r="L85" i="100" s="1"/>
  <c r="K85" i="100" a="1"/>
  <c r="K85" i="100" s="1"/>
  <c r="J85" i="100" a="1"/>
  <c r="J85" i="100" s="1"/>
  <c r="I85" i="100" a="1"/>
  <c r="I85" i="100"/>
  <c r="H85" i="100" a="1"/>
  <c r="H85" i="100"/>
  <c r="G85" i="100" a="1"/>
  <c r="G85" i="100" s="1"/>
  <c r="F85" i="100" a="1"/>
  <c r="F85" i="100" s="1"/>
  <c r="E85" i="100" a="1"/>
  <c r="E85" i="100" s="1"/>
  <c r="D85" i="100" a="1"/>
  <c r="D85" i="100" s="1"/>
  <c r="T84" i="100"/>
  <c r="S84" i="100" a="1"/>
  <c r="S84" i="100" s="1"/>
  <c r="R84" i="100" a="1"/>
  <c r="R84" i="100" s="1"/>
  <c r="Q84" i="100" a="1"/>
  <c r="Q84" i="100" s="1"/>
  <c r="P84" i="100" a="1"/>
  <c r="P84" i="100" s="1"/>
  <c r="O84" i="100" a="1"/>
  <c r="O84" i="100" s="1"/>
  <c r="N84" i="100" a="1"/>
  <c r="N84" i="100" s="1"/>
  <c r="M84" i="100" a="1"/>
  <c r="M84" i="100" s="1"/>
  <c r="L84" i="100" a="1"/>
  <c r="L84" i="100" s="1"/>
  <c r="K84" i="100" a="1"/>
  <c r="K84" i="100" s="1"/>
  <c r="J84" i="100" a="1"/>
  <c r="J84" i="100" s="1"/>
  <c r="I84" i="100" a="1"/>
  <c r="I84" i="100" s="1"/>
  <c r="H84" i="100" a="1"/>
  <c r="H84" i="100" s="1"/>
  <c r="G84" i="100" a="1"/>
  <c r="G84" i="100" s="1"/>
  <c r="F84" i="100" a="1"/>
  <c r="F84" i="100" s="1"/>
  <c r="E84" i="100" a="1"/>
  <c r="E84" i="100" s="1"/>
  <c r="D84" i="100" a="1"/>
  <c r="D84" i="100" s="1"/>
  <c r="T83" i="100" a="1"/>
  <c r="T83" i="100" s="1"/>
  <c r="S83" i="100" a="1"/>
  <c r="S83" i="100" s="1"/>
  <c r="R83" i="100" a="1"/>
  <c r="R83" i="100" s="1"/>
  <c r="Q83" i="100" a="1"/>
  <c r="Q83" i="100" s="1"/>
  <c r="P83" i="100" a="1"/>
  <c r="P83" i="100" s="1"/>
  <c r="O83" i="100" a="1"/>
  <c r="O83" i="100" s="1"/>
  <c r="N83" i="100" a="1"/>
  <c r="N83" i="100" s="1"/>
  <c r="M83" i="100" a="1"/>
  <c r="M83" i="100" s="1"/>
  <c r="L83" i="100" a="1"/>
  <c r="L83" i="100" s="1"/>
  <c r="K83" i="100" a="1"/>
  <c r="K83" i="100" s="1"/>
  <c r="J83" i="100" a="1"/>
  <c r="J83" i="100" s="1"/>
  <c r="I83" i="100" a="1"/>
  <c r="I83" i="100" s="1"/>
  <c r="H83" i="100" a="1"/>
  <c r="H83" i="100" s="1"/>
  <c r="G83" i="100" a="1"/>
  <c r="G83" i="100" s="1"/>
  <c r="F83" i="100" a="1"/>
  <c r="F83" i="100" s="1"/>
  <c r="E83" i="100" a="1"/>
  <c r="E83" i="100" s="1"/>
  <c r="D83" i="100" a="1"/>
  <c r="D83" i="100" s="1"/>
  <c r="T82" i="100" a="1"/>
  <c r="T82" i="100" s="1"/>
  <c r="S82" i="100" a="1"/>
  <c r="S82" i="100" s="1"/>
  <c r="R82" i="100" a="1"/>
  <c r="R82" i="100" s="1"/>
  <c r="Q82" i="100" a="1"/>
  <c r="Q82" i="100" s="1"/>
  <c r="P82" i="100" a="1"/>
  <c r="P82" i="100" s="1"/>
  <c r="O82" i="100" a="1"/>
  <c r="O82" i="100" s="1"/>
  <c r="N82" i="100" a="1"/>
  <c r="N82" i="100" s="1"/>
  <c r="M82" i="100" a="1"/>
  <c r="M82" i="100" s="1"/>
  <c r="L82" i="100" a="1"/>
  <c r="L82" i="100" s="1"/>
  <c r="K82" i="100" a="1"/>
  <c r="K82" i="100" s="1"/>
  <c r="J82" i="100" a="1"/>
  <c r="J82" i="100" s="1"/>
  <c r="I82" i="100" a="1"/>
  <c r="I82" i="100" s="1"/>
  <c r="H82" i="100" a="1"/>
  <c r="H82" i="100" s="1"/>
  <c r="G82" i="100" a="1"/>
  <c r="G82" i="100" s="1"/>
  <c r="F82" i="100" a="1"/>
  <c r="F82" i="100" s="1"/>
  <c r="E82" i="100" a="1"/>
  <c r="E82" i="100" s="1"/>
  <c r="D82" i="100" a="1"/>
  <c r="D82" i="100" s="1"/>
  <c r="T81" i="100" a="1"/>
  <c r="T81" i="100" s="1"/>
  <c r="S81" i="100" a="1"/>
  <c r="S81" i="100" s="1"/>
  <c r="R81" i="100" a="1"/>
  <c r="R81" i="100" s="1"/>
  <c r="Q81" i="100" a="1"/>
  <c r="Q81" i="100" s="1"/>
  <c r="P81" i="100" a="1"/>
  <c r="P81" i="100" s="1"/>
  <c r="O81" i="100" a="1"/>
  <c r="O81" i="100" s="1"/>
  <c r="N81" i="100" a="1"/>
  <c r="N81" i="100" s="1"/>
  <c r="M81" i="100" a="1"/>
  <c r="M81" i="100" s="1"/>
  <c r="L81" i="100" a="1"/>
  <c r="L81" i="100" s="1"/>
  <c r="K81" i="100" a="1"/>
  <c r="K81" i="100" s="1"/>
  <c r="J81" i="100" a="1"/>
  <c r="J81" i="100" s="1"/>
  <c r="I81" i="100" a="1"/>
  <c r="I81" i="100" s="1"/>
  <c r="H81" i="100" a="1"/>
  <c r="H81" i="100" s="1"/>
  <c r="G81" i="100" a="1"/>
  <c r="G81" i="100" s="1"/>
  <c r="F81" i="100" a="1"/>
  <c r="F81" i="100" s="1"/>
  <c r="E81" i="100" a="1"/>
  <c r="E81" i="100" s="1"/>
  <c r="D81" i="100" a="1"/>
  <c r="D81" i="100" s="1"/>
  <c r="T80" i="100"/>
  <c r="S80" i="100" a="1"/>
  <c r="S80" i="100" s="1"/>
  <c r="R80" i="100" a="1"/>
  <c r="R80" i="100"/>
  <c r="Q80" i="100" a="1"/>
  <c r="Q80" i="100"/>
  <c r="P80" i="100" a="1"/>
  <c r="P80" i="100" s="1"/>
  <c r="O80" i="100" a="1"/>
  <c r="O80" i="100" s="1"/>
  <c r="N80" i="100" a="1"/>
  <c r="N80" i="100" s="1"/>
  <c r="M80" i="100" a="1"/>
  <c r="M80" i="100" s="1"/>
  <c r="L80" i="100" a="1"/>
  <c r="L80" i="100"/>
  <c r="K80" i="100" a="1"/>
  <c r="K80" i="100" s="1"/>
  <c r="J80" i="100" a="1"/>
  <c r="J80" i="100" s="1"/>
  <c r="I80" i="100" a="1"/>
  <c r="I80" i="100" s="1"/>
  <c r="H80" i="100" a="1"/>
  <c r="H80" i="100" s="1"/>
  <c r="G80" i="100" a="1"/>
  <c r="G80" i="100" s="1"/>
  <c r="F80" i="100" a="1"/>
  <c r="F80" i="100" s="1"/>
  <c r="E80" i="100" a="1"/>
  <c r="E80" i="100" s="1"/>
  <c r="D80" i="100" a="1"/>
  <c r="D80" i="100" s="1"/>
  <c r="T79" i="100" a="1"/>
  <c r="T79" i="100" s="1"/>
  <c r="S79" i="100" a="1"/>
  <c r="S79" i="100" s="1"/>
  <c r="R79" i="100" a="1"/>
  <c r="R79" i="100" s="1"/>
  <c r="Q79" i="100" a="1"/>
  <c r="Q79" i="100" s="1"/>
  <c r="P79" i="100" a="1"/>
  <c r="P79" i="100" s="1"/>
  <c r="O79" i="100" a="1"/>
  <c r="O79" i="100" s="1"/>
  <c r="N79" i="100" a="1"/>
  <c r="N79" i="100" s="1"/>
  <c r="M79" i="100" a="1"/>
  <c r="M79" i="100" s="1"/>
  <c r="L79" i="100" a="1"/>
  <c r="L79" i="100" s="1"/>
  <c r="K79" i="100" a="1"/>
  <c r="K79" i="100" s="1"/>
  <c r="J79" i="100" a="1"/>
  <c r="J79" i="100" s="1"/>
  <c r="I79" i="100" a="1"/>
  <c r="I79" i="100" s="1"/>
  <c r="H79" i="100" a="1"/>
  <c r="H79" i="100" s="1"/>
  <c r="G79" i="100" a="1"/>
  <c r="G79" i="100" s="1"/>
  <c r="F79" i="100" a="1"/>
  <c r="F79" i="100" s="1"/>
  <c r="E79" i="100" a="1"/>
  <c r="E79" i="100" s="1"/>
  <c r="D79" i="100" a="1"/>
  <c r="D79" i="100" s="1"/>
  <c r="T78" i="100" a="1"/>
  <c r="T78" i="100" s="1"/>
  <c r="S78" i="100" a="1"/>
  <c r="S78" i="100" s="1"/>
  <c r="R78" i="100" a="1"/>
  <c r="R78" i="100" s="1"/>
  <c r="Q78" i="100" a="1"/>
  <c r="Q78" i="100" s="1"/>
  <c r="P78" i="100" a="1"/>
  <c r="P78" i="100" s="1"/>
  <c r="O78" i="100" a="1"/>
  <c r="O78" i="100" s="1"/>
  <c r="N78" i="100" a="1"/>
  <c r="N78" i="100" s="1"/>
  <c r="M78" i="100" a="1"/>
  <c r="M78" i="100" s="1"/>
  <c r="L78" i="100" a="1"/>
  <c r="L78" i="100" s="1"/>
  <c r="K78" i="100" a="1"/>
  <c r="K78" i="100" s="1"/>
  <c r="J78" i="100" a="1"/>
  <c r="J78" i="100" s="1"/>
  <c r="I78" i="100" a="1"/>
  <c r="I78" i="100" s="1"/>
  <c r="H78" i="100" a="1"/>
  <c r="H78" i="100" s="1"/>
  <c r="G78" i="100" a="1"/>
  <c r="G78" i="100" s="1"/>
  <c r="F78" i="100" a="1"/>
  <c r="F78" i="100" s="1"/>
  <c r="E78" i="100" a="1"/>
  <c r="E78" i="100" s="1"/>
  <c r="D78" i="100" a="1"/>
  <c r="D78" i="100" s="1"/>
  <c r="T77" i="100" a="1"/>
  <c r="T77" i="100" s="1"/>
  <c r="S77" i="100" a="1"/>
  <c r="S77" i="100" s="1"/>
  <c r="R77" i="100" a="1"/>
  <c r="R77" i="100" s="1"/>
  <c r="Q77" i="100" a="1"/>
  <c r="Q77" i="100" s="1"/>
  <c r="P77" i="100" a="1"/>
  <c r="P77" i="100" s="1"/>
  <c r="O77" i="100" a="1"/>
  <c r="O77" i="100" s="1"/>
  <c r="N77" i="100" a="1"/>
  <c r="N77" i="100" s="1"/>
  <c r="M77" i="100" a="1"/>
  <c r="M77" i="100" s="1"/>
  <c r="L77" i="100" a="1"/>
  <c r="L77" i="100" s="1"/>
  <c r="K77" i="100" a="1"/>
  <c r="K77" i="100" s="1"/>
  <c r="J77" i="100" a="1"/>
  <c r="J77" i="100"/>
  <c r="I77" i="100" a="1"/>
  <c r="I77" i="100" s="1"/>
  <c r="H77" i="100" a="1"/>
  <c r="H77" i="100" s="1"/>
  <c r="G77" i="100" a="1"/>
  <c r="G77" i="100" s="1"/>
  <c r="F77" i="100" a="1"/>
  <c r="F77" i="100" s="1"/>
  <c r="E77" i="100" a="1"/>
  <c r="E77" i="100" s="1"/>
  <c r="D77" i="100" a="1"/>
  <c r="D77" i="100" s="1"/>
  <c r="T76" i="100"/>
  <c r="S76" i="100" a="1"/>
  <c r="S76" i="100" s="1"/>
  <c r="R76" i="100" a="1"/>
  <c r="R76" i="100" s="1"/>
  <c r="Q76" i="100" a="1"/>
  <c r="Q76" i="100" s="1"/>
  <c r="P76" i="100" a="1"/>
  <c r="P76" i="100" s="1"/>
  <c r="O76" i="100" a="1"/>
  <c r="O76" i="100" s="1"/>
  <c r="N76" i="100" a="1"/>
  <c r="N76" i="100" s="1"/>
  <c r="M76" i="100" a="1"/>
  <c r="M76" i="100" s="1"/>
  <c r="L76" i="100" a="1"/>
  <c r="L76" i="100" s="1"/>
  <c r="K76" i="100" a="1"/>
  <c r="K76" i="100" s="1"/>
  <c r="J76" i="100" a="1"/>
  <c r="J76" i="100" s="1"/>
  <c r="I76" i="100" a="1"/>
  <c r="I76" i="100" s="1"/>
  <c r="H76" i="100" a="1"/>
  <c r="H76" i="100" s="1"/>
  <c r="G76" i="100" a="1"/>
  <c r="G76" i="100" s="1"/>
  <c r="F76" i="100" a="1"/>
  <c r="F76" i="100" s="1"/>
  <c r="E76" i="100" a="1"/>
  <c r="E76" i="100" s="1"/>
  <c r="D76" i="100" a="1"/>
  <c r="D76" i="100" s="1"/>
  <c r="T75" i="100" a="1"/>
  <c r="T75" i="100" s="1"/>
  <c r="S75" i="100" a="1"/>
  <c r="S75" i="100" s="1"/>
  <c r="R75" i="100" a="1"/>
  <c r="R75" i="100" s="1"/>
  <c r="Q75" i="100" a="1"/>
  <c r="Q75" i="100" s="1"/>
  <c r="P75" i="100" a="1"/>
  <c r="P75" i="100" s="1"/>
  <c r="O75" i="100" a="1"/>
  <c r="O75" i="100" s="1"/>
  <c r="N75" i="100" a="1"/>
  <c r="N75" i="100" s="1"/>
  <c r="M75" i="100" a="1"/>
  <c r="M75" i="100" s="1"/>
  <c r="L75" i="100" a="1"/>
  <c r="L75" i="100" s="1"/>
  <c r="K75" i="100" a="1"/>
  <c r="K75" i="100" s="1"/>
  <c r="J75" i="100" a="1"/>
  <c r="J75" i="100" s="1"/>
  <c r="I75" i="100" a="1"/>
  <c r="I75" i="100" s="1"/>
  <c r="H75" i="100" a="1"/>
  <c r="H75" i="100" s="1"/>
  <c r="G75" i="100" a="1"/>
  <c r="G75" i="100" s="1"/>
  <c r="F75" i="100" a="1"/>
  <c r="F75" i="100" s="1"/>
  <c r="E75" i="100" a="1"/>
  <c r="E75" i="100" s="1"/>
  <c r="D75" i="100" a="1"/>
  <c r="D75" i="100" s="1"/>
  <c r="T74" i="100" a="1"/>
  <c r="T74" i="100" s="1"/>
  <c r="S74" i="100" a="1"/>
  <c r="S74" i="100" s="1"/>
  <c r="R74" i="100" a="1"/>
  <c r="R74" i="100" s="1"/>
  <c r="Q74" i="100" a="1"/>
  <c r="Q74" i="100" s="1"/>
  <c r="P74" i="100" a="1"/>
  <c r="P74" i="100" s="1"/>
  <c r="O74" i="100" a="1"/>
  <c r="O74" i="100" s="1"/>
  <c r="N74" i="100" a="1"/>
  <c r="N74" i="100" s="1"/>
  <c r="M74" i="100" a="1"/>
  <c r="M74" i="100" s="1"/>
  <c r="L74" i="100" a="1"/>
  <c r="L74" i="100" s="1"/>
  <c r="K74" i="100" a="1"/>
  <c r="K74" i="100" s="1"/>
  <c r="J74" i="100" a="1"/>
  <c r="J74" i="100" s="1"/>
  <c r="I74" i="100" a="1"/>
  <c r="I74" i="100" s="1"/>
  <c r="H74" i="100" a="1"/>
  <c r="H74" i="100" s="1"/>
  <c r="G74" i="100" a="1"/>
  <c r="G74" i="100" s="1"/>
  <c r="F74" i="100" a="1"/>
  <c r="F74" i="100" s="1"/>
  <c r="E74" i="100" a="1"/>
  <c r="E74" i="100" s="1"/>
  <c r="D74" i="100" a="1"/>
  <c r="D74" i="100" s="1"/>
  <c r="T73" i="100" a="1"/>
  <c r="T73" i="100" s="1"/>
  <c r="S73" i="100" a="1"/>
  <c r="S73" i="100" s="1"/>
  <c r="R73" i="100" a="1"/>
  <c r="R73" i="100" s="1"/>
  <c r="Q73" i="100" a="1"/>
  <c r="Q73" i="100" s="1"/>
  <c r="P73" i="100" a="1"/>
  <c r="P73" i="100" s="1"/>
  <c r="O73" i="100" a="1"/>
  <c r="O73" i="100" s="1"/>
  <c r="N73" i="100" a="1"/>
  <c r="N73" i="100" s="1"/>
  <c r="M73" i="100" a="1"/>
  <c r="M73" i="100" s="1"/>
  <c r="L73" i="100" a="1"/>
  <c r="L73" i="100" s="1"/>
  <c r="K73" i="100" a="1"/>
  <c r="K73" i="100" s="1"/>
  <c r="J73" i="100" a="1"/>
  <c r="J73" i="100" s="1"/>
  <c r="I73" i="100" a="1"/>
  <c r="I73" i="100" s="1"/>
  <c r="H73" i="100" a="1"/>
  <c r="H73" i="100" s="1"/>
  <c r="G73" i="100" a="1"/>
  <c r="G73" i="100" s="1"/>
  <c r="F73" i="100" a="1"/>
  <c r="F73" i="100" s="1"/>
  <c r="E73" i="100" a="1"/>
  <c r="E73" i="100" s="1"/>
  <c r="D73" i="100" a="1"/>
  <c r="D73" i="100" s="1"/>
  <c r="T72" i="100"/>
  <c r="S72" i="100" a="1"/>
  <c r="S72" i="100" s="1"/>
  <c r="R72" i="100" a="1"/>
  <c r="R72" i="100" s="1"/>
  <c r="Q72" i="100" a="1"/>
  <c r="Q72" i="100" s="1"/>
  <c r="P72" i="100" a="1"/>
  <c r="P72" i="100"/>
  <c r="O72" i="100" a="1"/>
  <c r="O72" i="100" s="1"/>
  <c r="N72" i="100" a="1"/>
  <c r="N72" i="100" s="1"/>
  <c r="M72" i="100" a="1"/>
  <c r="M72" i="100" s="1"/>
  <c r="L72" i="100" a="1"/>
  <c r="L72" i="100" s="1"/>
  <c r="K72" i="100" a="1"/>
  <c r="K72" i="100" s="1"/>
  <c r="J72" i="100" a="1"/>
  <c r="J72" i="100" s="1"/>
  <c r="I72" i="100" a="1"/>
  <c r="I72" i="100" s="1"/>
  <c r="H72" i="100" a="1"/>
  <c r="H72" i="100" s="1"/>
  <c r="G72" i="100" a="1"/>
  <c r="G72" i="100" s="1"/>
  <c r="F72" i="100" a="1"/>
  <c r="F72" i="100" s="1"/>
  <c r="E72" i="100" a="1"/>
  <c r="E72" i="100" s="1"/>
  <c r="D72" i="100" a="1"/>
  <c r="D72" i="100" s="1"/>
  <c r="T71" i="100" a="1"/>
  <c r="T71" i="100" s="1"/>
  <c r="S71" i="100" a="1"/>
  <c r="S71" i="100"/>
  <c r="R71" i="100" a="1"/>
  <c r="R71" i="100" s="1"/>
  <c r="Q71" i="100" a="1"/>
  <c r="Q71" i="100" s="1"/>
  <c r="P71" i="100" a="1"/>
  <c r="P71" i="100" s="1"/>
  <c r="O71" i="100" a="1"/>
  <c r="O71" i="100" s="1"/>
  <c r="N71" i="100" a="1"/>
  <c r="N71" i="100" s="1"/>
  <c r="M71" i="100" a="1"/>
  <c r="M71" i="100" s="1"/>
  <c r="L71" i="100" a="1"/>
  <c r="L71" i="100" s="1"/>
  <c r="K71" i="100" a="1"/>
  <c r="K71" i="100" s="1"/>
  <c r="J71" i="100" a="1"/>
  <c r="J71" i="100" s="1"/>
  <c r="I71" i="100" a="1"/>
  <c r="I71" i="100" s="1"/>
  <c r="H71" i="100" a="1"/>
  <c r="H71" i="100" s="1"/>
  <c r="G71" i="100" a="1"/>
  <c r="G71" i="100" s="1"/>
  <c r="F71" i="100" a="1"/>
  <c r="F71" i="100" s="1"/>
  <c r="E71" i="100" a="1"/>
  <c r="E71" i="100"/>
  <c r="D71" i="100" a="1"/>
  <c r="D71" i="100" s="1"/>
  <c r="T70" i="100" a="1"/>
  <c r="T70" i="100" s="1"/>
  <c r="S70" i="100" a="1"/>
  <c r="S70" i="100" s="1"/>
  <c r="R70" i="100" a="1"/>
  <c r="R70" i="100"/>
  <c r="Q70" i="100" a="1"/>
  <c r="Q70" i="100" s="1"/>
  <c r="P70" i="100" a="1"/>
  <c r="P70" i="100" s="1"/>
  <c r="O70" i="100" a="1"/>
  <c r="O70" i="100" s="1"/>
  <c r="N70" i="100" a="1"/>
  <c r="N70" i="100" s="1"/>
  <c r="M70" i="100" a="1"/>
  <c r="M70" i="100" s="1"/>
  <c r="L70" i="100" a="1"/>
  <c r="L70" i="100"/>
  <c r="K70" i="100" a="1"/>
  <c r="K70" i="100" s="1"/>
  <c r="J70" i="100" a="1"/>
  <c r="J70" i="100" s="1"/>
  <c r="I70" i="100" a="1"/>
  <c r="I70" i="100" s="1"/>
  <c r="H70" i="100" a="1"/>
  <c r="H70" i="100" s="1"/>
  <c r="G70" i="100" a="1"/>
  <c r="G70" i="100" s="1"/>
  <c r="F70" i="100" a="1"/>
  <c r="F70" i="100" s="1"/>
  <c r="E70" i="100" a="1"/>
  <c r="E70" i="100" s="1"/>
  <c r="D70" i="100" a="1"/>
  <c r="D70" i="100" s="1"/>
  <c r="T69" i="100" a="1"/>
  <c r="T69" i="100" s="1"/>
  <c r="S69" i="100" a="1"/>
  <c r="S69" i="100" s="1"/>
  <c r="R69" i="100" a="1"/>
  <c r="R69" i="100" s="1"/>
  <c r="Q69" i="100" a="1"/>
  <c r="Q69" i="100" s="1"/>
  <c r="P69" i="100" a="1"/>
  <c r="P69" i="100" s="1"/>
  <c r="O69" i="100" a="1"/>
  <c r="O69" i="100" s="1"/>
  <c r="N69" i="100" a="1"/>
  <c r="N69" i="100" s="1"/>
  <c r="M69" i="100" a="1"/>
  <c r="M69" i="100" s="1"/>
  <c r="L69" i="100" a="1"/>
  <c r="L69" i="100" s="1"/>
  <c r="K69" i="100" a="1"/>
  <c r="K69" i="100" s="1"/>
  <c r="J69" i="100" a="1"/>
  <c r="J69" i="100" s="1"/>
  <c r="I69" i="100" a="1"/>
  <c r="I69" i="100" s="1"/>
  <c r="H69" i="100" a="1"/>
  <c r="H69" i="100" s="1"/>
  <c r="G69" i="100" a="1"/>
  <c r="G69" i="100" s="1"/>
  <c r="F69" i="100" a="1"/>
  <c r="F69" i="100" s="1"/>
  <c r="E69" i="100" a="1"/>
  <c r="E69" i="100" s="1"/>
  <c r="D69" i="100" a="1"/>
  <c r="D69" i="100" s="1"/>
  <c r="T68" i="100"/>
  <c r="S68" i="100" a="1"/>
  <c r="S68" i="100" s="1"/>
  <c r="R68" i="100" a="1"/>
  <c r="R68" i="100" s="1"/>
  <c r="Q68" i="100" a="1"/>
  <c r="Q68" i="100" s="1"/>
  <c r="P68" i="100" a="1"/>
  <c r="P68" i="100"/>
  <c r="O68" i="100" a="1"/>
  <c r="O68" i="100" s="1"/>
  <c r="N68" i="100" a="1"/>
  <c r="N68" i="100" s="1"/>
  <c r="M68" i="100" a="1"/>
  <c r="M68" i="100" s="1"/>
  <c r="L68" i="100" a="1"/>
  <c r="L68" i="100" s="1"/>
  <c r="K68" i="100" a="1"/>
  <c r="K68" i="100" s="1"/>
  <c r="J68" i="100" a="1"/>
  <c r="J68" i="100" s="1"/>
  <c r="I68" i="100" a="1"/>
  <c r="I68" i="100" s="1"/>
  <c r="H68" i="100" a="1"/>
  <c r="H68" i="100" s="1"/>
  <c r="G68" i="100" a="1"/>
  <c r="G68" i="100" s="1"/>
  <c r="F68" i="100" a="1"/>
  <c r="F68" i="100" s="1"/>
  <c r="E68" i="100" a="1"/>
  <c r="E68" i="100" s="1"/>
  <c r="D68" i="100" a="1"/>
  <c r="D68" i="100" s="1"/>
  <c r="T67" i="100" a="1"/>
  <c r="T67" i="100"/>
  <c r="S67" i="100" a="1"/>
  <c r="S67" i="100" s="1"/>
  <c r="R67" i="100" a="1"/>
  <c r="R67" i="100" s="1"/>
  <c r="Q67" i="100" a="1"/>
  <c r="Q67" i="100" s="1"/>
  <c r="P67" i="100" a="1"/>
  <c r="P67" i="100" s="1"/>
  <c r="O67" i="100" a="1"/>
  <c r="O67" i="100"/>
  <c r="N67" i="100" a="1"/>
  <c r="N67" i="100" s="1"/>
  <c r="M67" i="100" a="1"/>
  <c r="M67" i="100" s="1"/>
  <c r="L67" i="100" a="1"/>
  <c r="L67" i="100" s="1"/>
  <c r="K67" i="100" a="1"/>
  <c r="K67" i="100" s="1"/>
  <c r="J67" i="100" a="1"/>
  <c r="J67" i="100" s="1"/>
  <c r="I67" i="100" a="1"/>
  <c r="I67" i="100" s="1"/>
  <c r="H67" i="100" a="1"/>
  <c r="H67" i="100"/>
  <c r="G67" i="100" a="1"/>
  <c r="G67" i="100" s="1"/>
  <c r="F67" i="100" a="1"/>
  <c r="F67" i="100" s="1"/>
  <c r="E67" i="100" a="1"/>
  <c r="E67" i="100" s="1"/>
  <c r="D67" i="100" a="1"/>
  <c r="D67" i="100" s="1"/>
  <c r="T66" i="100" a="1"/>
  <c r="T66" i="100" s="1"/>
  <c r="S66" i="100" a="1"/>
  <c r="S66" i="100" s="1"/>
  <c r="R66" i="100" a="1"/>
  <c r="R66" i="100" s="1"/>
  <c r="Q66" i="100" a="1"/>
  <c r="Q66" i="100" s="1"/>
  <c r="P66" i="100" a="1"/>
  <c r="P66" i="100" s="1"/>
  <c r="O66" i="100" a="1"/>
  <c r="O66" i="100" s="1"/>
  <c r="N66" i="100" a="1"/>
  <c r="N66" i="100" s="1"/>
  <c r="M66" i="100" a="1"/>
  <c r="M66" i="100" s="1"/>
  <c r="L66" i="100" a="1"/>
  <c r="L66" i="100" s="1"/>
  <c r="K66" i="100" a="1"/>
  <c r="K66" i="100"/>
  <c r="J66" i="100" a="1"/>
  <c r="J66" i="100" s="1"/>
  <c r="I66" i="100" a="1"/>
  <c r="I66" i="100" s="1"/>
  <c r="H66" i="100" a="1"/>
  <c r="H66" i="100" s="1"/>
  <c r="G66" i="100" a="1"/>
  <c r="G66" i="100" s="1"/>
  <c r="F66" i="100" a="1"/>
  <c r="F66" i="100" s="1"/>
  <c r="E66" i="100" a="1"/>
  <c r="E66" i="100" s="1"/>
  <c r="D66" i="100" a="1"/>
  <c r="D66" i="100" s="1"/>
  <c r="T65" i="100" a="1"/>
  <c r="T65" i="100" s="1"/>
  <c r="S65" i="100" a="1"/>
  <c r="S65" i="100" s="1"/>
  <c r="R65" i="100" a="1"/>
  <c r="R65" i="100" s="1"/>
  <c r="Q65" i="100" a="1"/>
  <c r="Q65" i="100" s="1"/>
  <c r="P65" i="100" a="1"/>
  <c r="P65" i="100" s="1"/>
  <c r="O65" i="100" a="1"/>
  <c r="O65" i="100" s="1"/>
  <c r="N65" i="100" a="1"/>
  <c r="N65" i="100" s="1"/>
  <c r="M65" i="100" a="1"/>
  <c r="M65" i="100" s="1"/>
  <c r="L65" i="100" a="1"/>
  <c r="L65" i="100" s="1"/>
  <c r="K65" i="100" a="1"/>
  <c r="K65" i="100" s="1"/>
  <c r="J65" i="100" a="1"/>
  <c r="J65" i="100" s="1"/>
  <c r="I65" i="100" a="1"/>
  <c r="I65" i="100" s="1"/>
  <c r="H65" i="100" a="1"/>
  <c r="H65" i="100" s="1"/>
  <c r="G65" i="100" a="1"/>
  <c r="G65" i="100" s="1"/>
  <c r="F65" i="100" a="1"/>
  <c r="F65" i="100" s="1"/>
  <c r="E65" i="100" a="1"/>
  <c r="E65" i="100" s="1"/>
  <c r="D65" i="100" a="1"/>
  <c r="D65" i="100" s="1"/>
  <c r="T64" i="100"/>
  <c r="S64" i="100" a="1"/>
  <c r="S64" i="100" s="1"/>
  <c r="R64" i="100" a="1"/>
  <c r="R64" i="100" s="1"/>
  <c r="Q64" i="100" a="1"/>
  <c r="Q64" i="100" s="1"/>
  <c r="P64" i="100" a="1"/>
  <c r="P64" i="100" s="1"/>
  <c r="O64" i="100" a="1"/>
  <c r="O64" i="100"/>
  <c r="N64" i="100" a="1"/>
  <c r="N64" i="100" s="1"/>
  <c r="AI64" i="100" s="1"/>
  <c r="M64" i="100" a="1"/>
  <c r="M64" i="100" s="1"/>
  <c r="L64" i="100" a="1"/>
  <c r="L64" i="100" s="1"/>
  <c r="K64" i="100" a="1"/>
  <c r="K64" i="100" s="1"/>
  <c r="J64" i="100" a="1"/>
  <c r="J64" i="100" s="1"/>
  <c r="I64" i="100" a="1"/>
  <c r="I64" i="100" s="1"/>
  <c r="H64" i="100" a="1"/>
  <c r="H64" i="100" s="1"/>
  <c r="G64" i="100" a="1"/>
  <c r="G64" i="100" s="1"/>
  <c r="F64" i="100" a="1"/>
  <c r="F64" i="100" s="1"/>
  <c r="AA64" i="100" s="1"/>
  <c r="E64" i="100" a="1"/>
  <c r="E64" i="100" s="1"/>
  <c r="D64" i="100" a="1"/>
  <c r="D64" i="100" s="1"/>
  <c r="T59" i="100"/>
  <c r="S59" i="100"/>
  <c r="R59" i="100"/>
  <c r="Q59" i="100"/>
  <c r="P59" i="100"/>
  <c r="O59" i="100"/>
  <c r="N59" i="100"/>
  <c r="M59" i="100"/>
  <c r="L59" i="100"/>
  <c r="K59" i="100"/>
  <c r="J59" i="100"/>
  <c r="I59" i="100"/>
  <c r="H59" i="100"/>
  <c r="G59" i="100"/>
  <c r="F59" i="100"/>
  <c r="E59" i="100"/>
  <c r="D59" i="100"/>
  <c r="T58" i="100"/>
  <c r="S58" i="100"/>
  <c r="R58" i="100"/>
  <c r="Q58" i="100"/>
  <c r="P58" i="100"/>
  <c r="O58" i="100"/>
  <c r="N58" i="100"/>
  <c r="M58" i="100"/>
  <c r="L58" i="100"/>
  <c r="K58" i="100"/>
  <c r="J58" i="100"/>
  <c r="I58" i="100"/>
  <c r="H58" i="100"/>
  <c r="G58" i="100"/>
  <c r="F58" i="100"/>
  <c r="E58" i="100"/>
  <c r="D58" i="100"/>
  <c r="T57" i="100"/>
  <c r="S57" i="100"/>
  <c r="R57" i="100"/>
  <c r="Q57" i="100"/>
  <c r="P57" i="100"/>
  <c r="O57" i="100"/>
  <c r="N57" i="100"/>
  <c r="M57" i="100"/>
  <c r="L57" i="100"/>
  <c r="K57" i="100"/>
  <c r="J57" i="100"/>
  <c r="I57" i="100"/>
  <c r="H57" i="100"/>
  <c r="G57" i="100"/>
  <c r="F57" i="100"/>
  <c r="E57" i="100"/>
  <c r="D57" i="100"/>
  <c r="T56" i="100"/>
  <c r="S56" i="100"/>
  <c r="R56" i="100"/>
  <c r="Q56" i="100"/>
  <c r="P56" i="100"/>
  <c r="O56" i="100"/>
  <c r="N56" i="100"/>
  <c r="M56" i="100"/>
  <c r="L56" i="100"/>
  <c r="K56" i="100"/>
  <c r="J56" i="100"/>
  <c r="I56" i="100"/>
  <c r="H56" i="100"/>
  <c r="G56" i="100"/>
  <c r="F56" i="100"/>
  <c r="E56" i="100"/>
  <c r="D56" i="100"/>
  <c r="T55" i="100"/>
  <c r="S55" i="100"/>
  <c r="R55" i="100"/>
  <c r="Q55" i="100"/>
  <c r="P55" i="100"/>
  <c r="O55" i="100"/>
  <c r="N55" i="100"/>
  <c r="M55" i="100"/>
  <c r="L55" i="100"/>
  <c r="K55" i="100"/>
  <c r="J55" i="100"/>
  <c r="I55" i="100"/>
  <c r="H55" i="100"/>
  <c r="G55" i="100"/>
  <c r="F55" i="100"/>
  <c r="E55" i="100"/>
  <c r="D55" i="100"/>
  <c r="T54" i="100"/>
  <c r="S54" i="100"/>
  <c r="R54" i="100"/>
  <c r="Q54" i="100"/>
  <c r="P54" i="100"/>
  <c r="O54" i="100"/>
  <c r="N54" i="100"/>
  <c r="M54" i="100"/>
  <c r="L54" i="100"/>
  <c r="K54" i="100"/>
  <c r="J54" i="100"/>
  <c r="I54" i="100"/>
  <c r="H54" i="100"/>
  <c r="G54" i="100"/>
  <c r="F54" i="100"/>
  <c r="E54" i="100"/>
  <c r="D54" i="100"/>
  <c r="T53" i="100"/>
  <c r="S53" i="100"/>
  <c r="R53" i="100"/>
  <c r="Q53" i="100"/>
  <c r="P53" i="100"/>
  <c r="O53" i="100"/>
  <c r="N53" i="100"/>
  <c r="M53" i="100"/>
  <c r="L53" i="100"/>
  <c r="K53" i="100"/>
  <c r="J53" i="100"/>
  <c r="I53" i="100"/>
  <c r="H53" i="100"/>
  <c r="G53" i="100"/>
  <c r="F53" i="100"/>
  <c r="E53" i="100"/>
  <c r="D53" i="100"/>
  <c r="T52" i="100"/>
  <c r="S52" i="100"/>
  <c r="R52" i="100"/>
  <c r="Q52" i="100"/>
  <c r="P52" i="100"/>
  <c r="O52" i="100"/>
  <c r="N52" i="100"/>
  <c r="M52" i="100"/>
  <c r="L52" i="100"/>
  <c r="K52" i="100"/>
  <c r="J52" i="100"/>
  <c r="I52" i="100"/>
  <c r="H52" i="100"/>
  <c r="G52" i="100"/>
  <c r="F52" i="100"/>
  <c r="E52" i="100"/>
  <c r="D52" i="100"/>
  <c r="T51" i="100"/>
  <c r="S51" i="100"/>
  <c r="AN51" i="100" s="1"/>
  <c r="R51" i="100"/>
  <c r="Q51" i="100"/>
  <c r="P51" i="100"/>
  <c r="O51" i="100"/>
  <c r="N51" i="100"/>
  <c r="M51" i="100"/>
  <c r="L51" i="100"/>
  <c r="K51" i="100"/>
  <c r="AF51" i="100" s="1"/>
  <c r="J51" i="100"/>
  <c r="I51" i="100"/>
  <c r="H51" i="100"/>
  <c r="G51" i="100"/>
  <c r="F51" i="100"/>
  <c r="E51" i="100"/>
  <c r="D51" i="100"/>
  <c r="T50" i="100"/>
  <c r="S50" i="100"/>
  <c r="R50" i="100"/>
  <c r="Q50" i="100"/>
  <c r="P50" i="100"/>
  <c r="O50" i="100"/>
  <c r="N50" i="100"/>
  <c r="M50" i="100"/>
  <c r="L50" i="100"/>
  <c r="K50" i="100"/>
  <c r="J50" i="100"/>
  <c r="I50" i="100"/>
  <c r="H50" i="100"/>
  <c r="G50" i="100"/>
  <c r="F50" i="100"/>
  <c r="E50" i="100"/>
  <c r="D50" i="100"/>
  <c r="T49" i="100"/>
  <c r="S49" i="100"/>
  <c r="R49" i="100"/>
  <c r="Q49" i="100"/>
  <c r="P49" i="100"/>
  <c r="O49" i="100"/>
  <c r="N49" i="100"/>
  <c r="M49" i="100"/>
  <c r="L49" i="100"/>
  <c r="K49" i="100"/>
  <c r="J49" i="100"/>
  <c r="I49" i="100"/>
  <c r="H49" i="100"/>
  <c r="G49" i="100"/>
  <c r="F49" i="100"/>
  <c r="E49" i="100"/>
  <c r="D49" i="100"/>
  <c r="T48" i="100"/>
  <c r="S48" i="100"/>
  <c r="R48" i="100"/>
  <c r="Q48" i="100"/>
  <c r="P48" i="100"/>
  <c r="O48" i="100"/>
  <c r="N48" i="100"/>
  <c r="AI48" i="100" s="1"/>
  <c r="M48" i="100"/>
  <c r="L48" i="100"/>
  <c r="AG48" i="100" s="1"/>
  <c r="K48" i="100"/>
  <c r="J48" i="100"/>
  <c r="I48" i="100"/>
  <c r="H48" i="100"/>
  <c r="G48" i="100"/>
  <c r="F48" i="100"/>
  <c r="AA48" i="100" s="1"/>
  <c r="E48" i="100"/>
  <c r="D48" i="100"/>
  <c r="Y48" i="100" s="1"/>
  <c r="T47" i="100"/>
  <c r="S47" i="100"/>
  <c r="R47" i="100"/>
  <c r="Q47" i="100"/>
  <c r="P47" i="100"/>
  <c r="O47" i="100"/>
  <c r="N47" i="100"/>
  <c r="M47" i="100"/>
  <c r="L47" i="100"/>
  <c r="K47" i="100"/>
  <c r="J47" i="100"/>
  <c r="I47" i="100"/>
  <c r="H47" i="100"/>
  <c r="G47" i="100"/>
  <c r="F47" i="100"/>
  <c r="E47" i="100"/>
  <c r="D47" i="100"/>
  <c r="T46" i="100"/>
  <c r="S46" i="100"/>
  <c r="R46" i="100"/>
  <c r="Q46" i="100"/>
  <c r="P46" i="100"/>
  <c r="O46" i="100"/>
  <c r="N46" i="100"/>
  <c r="M46" i="100"/>
  <c r="L46" i="100"/>
  <c r="K46" i="100"/>
  <c r="J46" i="100"/>
  <c r="I46" i="100"/>
  <c r="H46" i="100"/>
  <c r="G46" i="100"/>
  <c r="F46" i="100"/>
  <c r="E46" i="100"/>
  <c r="D46" i="100"/>
  <c r="T45" i="100"/>
  <c r="S45" i="100"/>
  <c r="R45" i="100"/>
  <c r="Q45" i="100"/>
  <c r="P45" i="100"/>
  <c r="O45" i="100"/>
  <c r="N45" i="100"/>
  <c r="M45" i="100"/>
  <c r="L45" i="100"/>
  <c r="K45" i="100"/>
  <c r="J45" i="100"/>
  <c r="I45" i="100"/>
  <c r="H45" i="100"/>
  <c r="G45" i="100"/>
  <c r="F45" i="100"/>
  <c r="E45" i="100"/>
  <c r="D45" i="100"/>
  <c r="T44" i="100"/>
  <c r="S44" i="100"/>
  <c r="R44" i="100"/>
  <c r="Q44" i="100"/>
  <c r="P44" i="100"/>
  <c r="O44" i="100"/>
  <c r="N44" i="100"/>
  <c r="M44" i="100"/>
  <c r="L44" i="100"/>
  <c r="K44" i="100"/>
  <c r="J44" i="100"/>
  <c r="I44" i="100"/>
  <c r="H44" i="100"/>
  <c r="G44" i="100"/>
  <c r="F44" i="100"/>
  <c r="E44" i="100"/>
  <c r="D44" i="100"/>
  <c r="T43" i="100"/>
  <c r="S43" i="100"/>
  <c r="R43" i="100"/>
  <c r="Q43" i="100"/>
  <c r="P43" i="100"/>
  <c r="O43" i="100"/>
  <c r="N43" i="100"/>
  <c r="M43" i="100"/>
  <c r="L43" i="100"/>
  <c r="K43" i="100"/>
  <c r="J43" i="100"/>
  <c r="I43" i="100"/>
  <c r="H43" i="100"/>
  <c r="G43" i="100"/>
  <c r="F43" i="100"/>
  <c r="E43" i="100"/>
  <c r="D43" i="100"/>
  <c r="T42" i="100"/>
  <c r="S42" i="100"/>
  <c r="R42" i="100"/>
  <c r="Q42" i="100"/>
  <c r="P42" i="100"/>
  <c r="O42" i="100"/>
  <c r="N42" i="100"/>
  <c r="M42" i="100"/>
  <c r="L42" i="100"/>
  <c r="K42" i="100"/>
  <c r="J42" i="100"/>
  <c r="I42" i="100"/>
  <c r="H42" i="100"/>
  <c r="G42" i="100"/>
  <c r="F42" i="100"/>
  <c r="E42" i="100"/>
  <c r="D42" i="100"/>
  <c r="T41" i="100"/>
  <c r="S41" i="100"/>
  <c r="R41" i="100"/>
  <c r="Q41" i="100"/>
  <c r="P41" i="100"/>
  <c r="O41" i="100"/>
  <c r="N41" i="100"/>
  <c r="M41" i="100"/>
  <c r="L41" i="100"/>
  <c r="K41" i="100"/>
  <c r="J41" i="100"/>
  <c r="I41" i="100"/>
  <c r="H41" i="100"/>
  <c r="G41" i="100"/>
  <c r="F41" i="100"/>
  <c r="E41" i="100"/>
  <c r="D41" i="100"/>
  <c r="T40" i="100"/>
  <c r="S40" i="100"/>
  <c r="R40" i="100"/>
  <c r="Q40" i="100"/>
  <c r="P40" i="100"/>
  <c r="O40" i="100"/>
  <c r="N40" i="100"/>
  <c r="M40" i="100"/>
  <c r="L40" i="100"/>
  <c r="K40" i="100"/>
  <c r="J40" i="100"/>
  <c r="I40" i="100"/>
  <c r="H40" i="100"/>
  <c r="G40" i="100"/>
  <c r="F40" i="100"/>
  <c r="E40" i="100"/>
  <c r="D40" i="100"/>
  <c r="T39" i="100"/>
  <c r="S39" i="100"/>
  <c r="R39" i="100"/>
  <c r="Q39" i="100"/>
  <c r="P39" i="100"/>
  <c r="O39" i="100"/>
  <c r="N39" i="100"/>
  <c r="M39" i="100"/>
  <c r="L39" i="100"/>
  <c r="K39" i="100"/>
  <c r="J39" i="100"/>
  <c r="I39" i="100"/>
  <c r="H39" i="100"/>
  <c r="G39" i="100"/>
  <c r="F39" i="100"/>
  <c r="E39" i="100"/>
  <c r="D39" i="100"/>
  <c r="T38" i="100"/>
  <c r="S38" i="100"/>
  <c r="R38" i="100"/>
  <c r="Q38" i="100"/>
  <c r="P38" i="100"/>
  <c r="O38" i="100"/>
  <c r="N38" i="100"/>
  <c r="M38" i="100"/>
  <c r="L38" i="100"/>
  <c r="K38" i="100"/>
  <c r="J38" i="100"/>
  <c r="I38" i="100"/>
  <c r="H38" i="100"/>
  <c r="G38" i="100"/>
  <c r="F38" i="100"/>
  <c r="E38" i="100"/>
  <c r="D38" i="100"/>
  <c r="T37" i="100"/>
  <c r="S37" i="100"/>
  <c r="R37" i="100"/>
  <c r="Q37" i="100"/>
  <c r="P37" i="100"/>
  <c r="O37" i="100"/>
  <c r="N37" i="100"/>
  <c r="M37" i="100"/>
  <c r="L37" i="100"/>
  <c r="K37" i="100"/>
  <c r="J37" i="100"/>
  <c r="I37" i="100"/>
  <c r="H37" i="100"/>
  <c r="G37" i="100"/>
  <c r="F37" i="100"/>
  <c r="E37" i="100"/>
  <c r="D37" i="100"/>
  <c r="T36" i="100"/>
  <c r="S36" i="100"/>
  <c r="R36" i="100"/>
  <c r="Q36" i="100"/>
  <c r="P36" i="100"/>
  <c r="O36" i="100"/>
  <c r="N36" i="100"/>
  <c r="M36" i="100"/>
  <c r="L36" i="100"/>
  <c r="K36" i="100"/>
  <c r="J36" i="100"/>
  <c r="I36" i="100"/>
  <c r="H36" i="100"/>
  <c r="G36" i="100"/>
  <c r="F36" i="100"/>
  <c r="E36" i="100"/>
  <c r="D36" i="100"/>
  <c r="T35" i="100"/>
  <c r="S35" i="100"/>
  <c r="AN35" i="100" s="1"/>
  <c r="R35" i="100"/>
  <c r="Q35" i="100"/>
  <c r="P35" i="100"/>
  <c r="O35" i="100"/>
  <c r="N35" i="100"/>
  <c r="M35" i="100"/>
  <c r="L35" i="100"/>
  <c r="K35" i="100"/>
  <c r="AF35" i="100" s="1"/>
  <c r="J35" i="100"/>
  <c r="I35" i="100"/>
  <c r="H35" i="100"/>
  <c r="G35" i="100"/>
  <c r="F35" i="100"/>
  <c r="E35" i="100"/>
  <c r="D35" i="100"/>
  <c r="T34" i="100"/>
  <c r="S34" i="100"/>
  <c r="R34" i="100"/>
  <c r="Q34" i="100"/>
  <c r="P34" i="100"/>
  <c r="O34" i="100"/>
  <c r="N34" i="100"/>
  <c r="M34" i="100"/>
  <c r="L34" i="100"/>
  <c r="K34" i="100"/>
  <c r="J34" i="100"/>
  <c r="I34" i="100"/>
  <c r="H34" i="100"/>
  <c r="G34" i="100"/>
  <c r="F34" i="100"/>
  <c r="E34" i="100"/>
  <c r="D34" i="100"/>
  <c r="T33" i="100"/>
  <c r="S33" i="100"/>
  <c r="R33" i="100"/>
  <c r="Q33" i="100"/>
  <c r="P33" i="100"/>
  <c r="O33" i="100"/>
  <c r="N33" i="100"/>
  <c r="M33" i="100"/>
  <c r="L33" i="100"/>
  <c r="K33" i="100"/>
  <c r="J33" i="100"/>
  <c r="I33" i="100"/>
  <c r="H33" i="100"/>
  <c r="G33" i="100"/>
  <c r="F33" i="100"/>
  <c r="E33" i="100"/>
  <c r="D33" i="100"/>
  <c r="T32" i="100"/>
  <c r="S32" i="100"/>
  <c r="R32" i="100"/>
  <c r="Q32" i="100"/>
  <c r="P32" i="100"/>
  <c r="O32" i="100"/>
  <c r="N32" i="100"/>
  <c r="M32" i="100"/>
  <c r="L32" i="100"/>
  <c r="K32" i="100"/>
  <c r="J32" i="100"/>
  <c r="I32" i="100"/>
  <c r="H32" i="100"/>
  <c r="G32" i="100"/>
  <c r="F32" i="100"/>
  <c r="E32" i="100"/>
  <c r="D32" i="100"/>
  <c r="T31" i="100"/>
  <c r="S31" i="100"/>
  <c r="R31" i="100"/>
  <c r="Q31" i="100"/>
  <c r="P31" i="100"/>
  <c r="O31" i="100"/>
  <c r="N31" i="100"/>
  <c r="M31" i="100"/>
  <c r="L31" i="100"/>
  <c r="K31" i="100"/>
  <c r="J31" i="100"/>
  <c r="I31" i="100"/>
  <c r="H31" i="100"/>
  <c r="G31" i="100"/>
  <c r="F31" i="100"/>
  <c r="E31" i="100"/>
  <c r="D31" i="100"/>
  <c r="T30" i="100"/>
  <c r="S30" i="100"/>
  <c r="R30" i="100"/>
  <c r="Q30" i="100"/>
  <c r="P30" i="100"/>
  <c r="O30" i="100"/>
  <c r="N30" i="100"/>
  <c r="M30" i="100"/>
  <c r="L30" i="100"/>
  <c r="K30" i="100"/>
  <c r="J30" i="100"/>
  <c r="I30" i="100"/>
  <c r="H30" i="100"/>
  <c r="G30" i="100"/>
  <c r="F30" i="100"/>
  <c r="E30" i="100"/>
  <c r="D30" i="100"/>
  <c r="T29" i="100"/>
  <c r="S29" i="100"/>
  <c r="R29" i="100"/>
  <c r="Q29" i="100"/>
  <c r="P29" i="100"/>
  <c r="O29" i="100"/>
  <c r="N29" i="100"/>
  <c r="M29" i="100"/>
  <c r="L29" i="100"/>
  <c r="K29" i="100"/>
  <c r="J29" i="100"/>
  <c r="I29" i="100"/>
  <c r="H29" i="100"/>
  <c r="G29" i="100"/>
  <c r="F29" i="100"/>
  <c r="E29" i="100"/>
  <c r="D29" i="100"/>
  <c r="T28" i="100"/>
  <c r="S28" i="100"/>
  <c r="R28" i="100"/>
  <c r="Q28" i="100"/>
  <c r="P28" i="100"/>
  <c r="O28" i="100"/>
  <c r="N28" i="100"/>
  <c r="AI27" i="100" s="1"/>
  <c r="M28" i="100"/>
  <c r="L28" i="100"/>
  <c r="K28" i="100"/>
  <c r="J28" i="100"/>
  <c r="I28" i="100"/>
  <c r="H28" i="100"/>
  <c r="G28" i="100"/>
  <c r="F28" i="100"/>
  <c r="E28" i="100"/>
  <c r="D28" i="100"/>
  <c r="T27" i="100"/>
  <c r="S27" i="100"/>
  <c r="R27" i="100"/>
  <c r="Q27" i="100"/>
  <c r="P27" i="100"/>
  <c r="O27" i="100"/>
  <c r="N27" i="100"/>
  <c r="M27" i="100"/>
  <c r="L27" i="100"/>
  <c r="K27" i="100"/>
  <c r="J27" i="100"/>
  <c r="I27" i="100"/>
  <c r="H27" i="100"/>
  <c r="G27" i="100"/>
  <c r="F27" i="100"/>
  <c r="E27" i="100"/>
  <c r="D27" i="100"/>
  <c r="Y29" i="100" s="1"/>
  <c r="T26" i="100"/>
  <c r="S26" i="100"/>
  <c r="R26" i="100"/>
  <c r="Q26" i="100"/>
  <c r="P26" i="100"/>
  <c r="O26" i="100"/>
  <c r="N26" i="100"/>
  <c r="M26" i="100"/>
  <c r="L26" i="100"/>
  <c r="K26" i="100"/>
  <c r="J26" i="100"/>
  <c r="I26" i="100"/>
  <c r="H26" i="100"/>
  <c r="G26" i="100"/>
  <c r="F26" i="100"/>
  <c r="E26" i="100"/>
  <c r="D26" i="100"/>
  <c r="T25" i="100"/>
  <c r="S25" i="100"/>
  <c r="R25" i="100"/>
  <c r="Q25" i="100"/>
  <c r="P25" i="100"/>
  <c r="O25" i="100"/>
  <c r="N25" i="100"/>
  <c r="M25" i="100"/>
  <c r="L25" i="100"/>
  <c r="K25" i="100"/>
  <c r="J25" i="100"/>
  <c r="I25" i="100"/>
  <c r="H25" i="100"/>
  <c r="G25" i="100"/>
  <c r="F25" i="100"/>
  <c r="E25" i="100"/>
  <c r="D25" i="100"/>
  <c r="T24" i="100"/>
  <c r="S24" i="100"/>
  <c r="R24" i="100"/>
  <c r="Q24" i="100"/>
  <c r="P24" i="100"/>
  <c r="O24" i="100"/>
  <c r="N24" i="100"/>
  <c r="M24" i="100"/>
  <c r="L24" i="100"/>
  <c r="K24" i="100"/>
  <c r="J24" i="100"/>
  <c r="I24" i="100"/>
  <c r="H24" i="100"/>
  <c r="G24" i="100"/>
  <c r="F24" i="100"/>
  <c r="E24" i="100"/>
  <c r="D24" i="100"/>
  <c r="T23" i="100"/>
  <c r="S23" i="100"/>
  <c r="R23" i="100"/>
  <c r="Q23" i="100"/>
  <c r="P23" i="100"/>
  <c r="O23" i="100"/>
  <c r="N23" i="100"/>
  <c r="M23" i="100"/>
  <c r="L23" i="100"/>
  <c r="K23" i="100"/>
  <c r="J23" i="100"/>
  <c r="I23" i="100"/>
  <c r="H23" i="100"/>
  <c r="G23" i="100"/>
  <c r="F23" i="100"/>
  <c r="E23" i="100"/>
  <c r="D23" i="100"/>
  <c r="T22" i="100"/>
  <c r="S22" i="100"/>
  <c r="R22" i="100"/>
  <c r="Q22" i="100"/>
  <c r="P22" i="100"/>
  <c r="O22" i="100"/>
  <c r="N22" i="100"/>
  <c r="M22" i="100"/>
  <c r="L22" i="100"/>
  <c r="K22" i="100"/>
  <c r="J22" i="100"/>
  <c r="I22" i="100"/>
  <c r="H22" i="100"/>
  <c r="G22" i="100"/>
  <c r="F22" i="100"/>
  <c r="E22" i="100"/>
  <c r="D22" i="100"/>
  <c r="T21" i="100"/>
  <c r="S21" i="100"/>
  <c r="R21" i="100"/>
  <c r="Q21" i="100"/>
  <c r="P21" i="100"/>
  <c r="O21" i="100"/>
  <c r="N21" i="100"/>
  <c r="M21" i="100"/>
  <c r="L21" i="100"/>
  <c r="K21" i="100"/>
  <c r="J21" i="100"/>
  <c r="I21" i="100"/>
  <c r="H21" i="100"/>
  <c r="G21" i="100"/>
  <c r="F21" i="100"/>
  <c r="E21" i="100"/>
  <c r="D21" i="100"/>
  <c r="T20" i="100"/>
  <c r="S20" i="100"/>
  <c r="R20" i="100"/>
  <c r="Q20" i="100"/>
  <c r="P20" i="100"/>
  <c r="O20" i="100"/>
  <c r="N20" i="100"/>
  <c r="M20" i="100"/>
  <c r="L20" i="100"/>
  <c r="K20" i="100"/>
  <c r="J20" i="100"/>
  <c r="I20" i="100"/>
  <c r="H20" i="100"/>
  <c r="G20" i="100"/>
  <c r="F20" i="100"/>
  <c r="E20" i="100"/>
  <c r="D20" i="100"/>
  <c r="T19" i="100"/>
  <c r="S19" i="100"/>
  <c r="R19" i="100"/>
  <c r="Q19" i="100"/>
  <c r="P19" i="100"/>
  <c r="O19" i="100"/>
  <c r="N19" i="100"/>
  <c r="M19" i="100"/>
  <c r="L19" i="100"/>
  <c r="K19" i="100"/>
  <c r="J19" i="100"/>
  <c r="I19" i="100"/>
  <c r="H19" i="100"/>
  <c r="G19" i="100"/>
  <c r="F19" i="100"/>
  <c r="E19" i="100"/>
  <c r="D19" i="100"/>
  <c r="T18" i="100"/>
  <c r="S18" i="100"/>
  <c r="R18" i="100"/>
  <c r="Q18" i="100"/>
  <c r="P18" i="100"/>
  <c r="O18" i="100"/>
  <c r="N18" i="100"/>
  <c r="M18" i="100"/>
  <c r="L18" i="100"/>
  <c r="K18" i="100"/>
  <c r="J18" i="100"/>
  <c r="I18" i="100"/>
  <c r="H18" i="100"/>
  <c r="G18" i="100"/>
  <c r="F18" i="100"/>
  <c r="E18" i="100"/>
  <c r="D18" i="100"/>
  <c r="T17" i="100"/>
  <c r="S17" i="100"/>
  <c r="R17" i="100"/>
  <c r="Q17" i="100"/>
  <c r="P17" i="100"/>
  <c r="O17" i="100"/>
  <c r="N17" i="100"/>
  <c r="M17" i="100"/>
  <c r="L17" i="100"/>
  <c r="K17" i="100"/>
  <c r="J17" i="100"/>
  <c r="I17" i="100"/>
  <c r="H17" i="100"/>
  <c r="G17" i="100"/>
  <c r="F17" i="100"/>
  <c r="E17" i="100"/>
  <c r="D17" i="100"/>
  <c r="T16" i="100"/>
  <c r="S16" i="100"/>
  <c r="R16" i="100"/>
  <c r="Q16" i="100"/>
  <c r="P16" i="100"/>
  <c r="O16" i="100"/>
  <c r="N16" i="100"/>
  <c r="M16" i="100"/>
  <c r="L16" i="100"/>
  <c r="K16" i="100"/>
  <c r="J16" i="100"/>
  <c r="I16" i="100"/>
  <c r="H16" i="100"/>
  <c r="G16" i="100"/>
  <c r="F16" i="100"/>
  <c r="E16" i="100"/>
  <c r="D16" i="100"/>
  <c r="T15" i="100"/>
  <c r="S15" i="100"/>
  <c r="R15" i="100"/>
  <c r="Q15" i="100"/>
  <c r="P15" i="100"/>
  <c r="O15" i="100"/>
  <c r="N15" i="100"/>
  <c r="M15" i="100"/>
  <c r="L15" i="100"/>
  <c r="K15" i="100"/>
  <c r="J15" i="100"/>
  <c r="I15" i="100"/>
  <c r="H15" i="100"/>
  <c r="G15" i="100"/>
  <c r="F15" i="100"/>
  <c r="E15" i="100"/>
  <c r="D15" i="100"/>
  <c r="T14" i="100"/>
  <c r="S14" i="100"/>
  <c r="R14" i="100"/>
  <c r="Q14" i="100"/>
  <c r="P14" i="100"/>
  <c r="O14" i="100"/>
  <c r="N14" i="100"/>
  <c r="M14" i="100"/>
  <c r="L14" i="100"/>
  <c r="K14" i="100"/>
  <c r="J14" i="100"/>
  <c r="I14" i="100"/>
  <c r="H14" i="100"/>
  <c r="G14" i="100"/>
  <c r="F14" i="100"/>
  <c r="E14" i="100"/>
  <c r="D14" i="100"/>
  <c r="T13" i="100"/>
  <c r="S13" i="100"/>
  <c r="R13" i="100"/>
  <c r="Q13" i="100"/>
  <c r="P13" i="100"/>
  <c r="O13" i="100"/>
  <c r="N13" i="100"/>
  <c r="M13" i="100"/>
  <c r="L13" i="100"/>
  <c r="K13" i="100"/>
  <c r="J13" i="100"/>
  <c r="I13" i="100"/>
  <c r="H13" i="100"/>
  <c r="G13" i="100"/>
  <c r="F13" i="100"/>
  <c r="E13" i="100"/>
  <c r="D13" i="100"/>
  <c r="T12" i="100"/>
  <c r="S12" i="100"/>
  <c r="R12" i="100"/>
  <c r="Q12" i="100"/>
  <c r="P12" i="100"/>
  <c r="O12" i="100"/>
  <c r="N12" i="100"/>
  <c r="M12" i="100"/>
  <c r="L12" i="100"/>
  <c r="K12" i="100"/>
  <c r="J12" i="100"/>
  <c r="I12" i="100"/>
  <c r="H12" i="100"/>
  <c r="G12" i="100"/>
  <c r="F12" i="100"/>
  <c r="E12" i="100"/>
  <c r="D12" i="100"/>
  <c r="T11" i="100"/>
  <c r="S11" i="100"/>
  <c r="R11" i="100"/>
  <c r="Q11" i="100"/>
  <c r="P11" i="100"/>
  <c r="O11" i="100"/>
  <c r="N11" i="100"/>
  <c r="M11" i="100"/>
  <c r="L11" i="100"/>
  <c r="K11" i="100"/>
  <c r="J11" i="100"/>
  <c r="I11" i="100"/>
  <c r="H11" i="100"/>
  <c r="G11" i="100"/>
  <c r="F11" i="100"/>
  <c r="E11" i="100"/>
  <c r="D11" i="100"/>
  <c r="T10" i="100"/>
  <c r="S10" i="100"/>
  <c r="R10" i="100"/>
  <c r="Q10" i="100"/>
  <c r="P10" i="100"/>
  <c r="O10" i="100"/>
  <c r="N10" i="100"/>
  <c r="M10" i="100"/>
  <c r="L10" i="100"/>
  <c r="K10" i="100"/>
  <c r="J10" i="100"/>
  <c r="I10" i="100"/>
  <c r="H10" i="100"/>
  <c r="G10" i="100"/>
  <c r="F10" i="100"/>
  <c r="E10" i="100"/>
  <c r="D10" i="100"/>
  <c r="T9" i="100"/>
  <c r="S9" i="100"/>
  <c r="R9" i="100"/>
  <c r="Q9" i="100"/>
  <c r="P9" i="100"/>
  <c r="O9" i="100"/>
  <c r="N9" i="100"/>
  <c r="M9" i="100"/>
  <c r="L9" i="100"/>
  <c r="K9" i="100"/>
  <c r="J9" i="100"/>
  <c r="I9" i="100"/>
  <c r="H9" i="100"/>
  <c r="G9" i="100"/>
  <c r="F9" i="100"/>
  <c r="E9" i="100"/>
  <c r="D9" i="100"/>
  <c r="T8" i="100"/>
  <c r="S8" i="100"/>
  <c r="R8" i="100"/>
  <c r="Q8" i="100"/>
  <c r="P8" i="100"/>
  <c r="O8" i="100"/>
  <c r="N8" i="100"/>
  <c r="M8" i="100"/>
  <c r="L8" i="100"/>
  <c r="K8" i="100"/>
  <c r="J8" i="100"/>
  <c r="I8" i="100"/>
  <c r="H8" i="100"/>
  <c r="G8" i="100"/>
  <c r="F8" i="100"/>
  <c r="E8" i="100"/>
  <c r="D8" i="100"/>
  <c r="T7" i="100"/>
  <c r="S7" i="100"/>
  <c r="R7" i="100"/>
  <c r="Q7" i="100"/>
  <c r="P7" i="100"/>
  <c r="O7" i="100"/>
  <c r="N7" i="100"/>
  <c r="M7" i="100"/>
  <c r="L7" i="100"/>
  <c r="K7" i="100"/>
  <c r="J7" i="100"/>
  <c r="I7" i="100"/>
  <c r="H7" i="100"/>
  <c r="G7" i="100"/>
  <c r="F7" i="100"/>
  <c r="E7" i="100"/>
  <c r="D7" i="100"/>
  <c r="G37" i="114"/>
  <c r="G34" i="114"/>
  <c r="D34" i="114"/>
  <c r="C34" i="114"/>
  <c r="G33" i="114"/>
  <c r="J29" i="114"/>
  <c r="I29" i="114"/>
  <c r="G29" i="114"/>
  <c r="F29" i="114"/>
  <c r="D29" i="114"/>
  <c r="C29" i="114"/>
  <c r="J28" i="114"/>
  <c r="I28" i="114"/>
  <c r="G28" i="114"/>
  <c r="F28" i="114"/>
  <c r="D28" i="114"/>
  <c r="C28" i="114"/>
  <c r="B28" i="114"/>
  <c r="H22" i="114"/>
  <c r="F22" i="114"/>
  <c r="D22" i="114"/>
  <c r="C22" i="114"/>
  <c r="H21" i="114"/>
  <c r="F21" i="114"/>
  <c r="D21" i="114"/>
  <c r="C21" i="114"/>
  <c r="B21" i="114"/>
  <c r="L16" i="114"/>
  <c r="K16" i="114"/>
  <c r="I16" i="114"/>
  <c r="G16" i="114"/>
  <c r="F16" i="114"/>
  <c r="D16" i="114"/>
  <c r="C16" i="114"/>
  <c r="L15" i="114"/>
  <c r="K15" i="114"/>
  <c r="I15" i="114"/>
  <c r="G15" i="114"/>
  <c r="F15" i="114"/>
  <c r="D15" i="114"/>
  <c r="C15" i="114"/>
  <c r="B15" i="114"/>
  <c r="L11" i="114"/>
  <c r="K11" i="114"/>
  <c r="I11" i="114"/>
  <c r="H11" i="114"/>
  <c r="F11" i="114"/>
  <c r="E11" i="114"/>
  <c r="D11" i="114"/>
  <c r="C11" i="114"/>
  <c r="L10" i="114"/>
  <c r="L12" i="114" s="1"/>
  <c r="K10" i="114"/>
  <c r="K12" i="114" s="1"/>
  <c r="I10" i="114"/>
  <c r="I12" i="114" s="1"/>
  <c r="H10" i="114"/>
  <c r="H12" i="114" s="1"/>
  <c r="F10" i="114"/>
  <c r="E10" i="114"/>
  <c r="E12" i="114" s="1"/>
  <c r="D10" i="114"/>
  <c r="D12" i="114" s="1"/>
  <c r="C10" i="114"/>
  <c r="C12" i="114" s="1"/>
  <c r="B10" i="114"/>
  <c r="U129" i="98"/>
  <c r="B129" i="98"/>
  <c r="U122" i="98"/>
  <c r="B122" i="98"/>
  <c r="U115" i="98"/>
  <c r="B115" i="98"/>
  <c r="Q134" i="98" s="1"/>
  <c r="U108" i="98"/>
  <c r="B108" i="98"/>
  <c r="Q127" i="98" s="1"/>
  <c r="B100" i="98"/>
  <c r="B93" i="98"/>
  <c r="S97" i="98" s="1"/>
  <c r="D41" i="98"/>
  <c r="D40" i="98"/>
  <c r="D39" i="98"/>
  <c r="D38" i="98"/>
  <c r="G37" i="98"/>
  <c r="D37" i="98"/>
  <c r="G34" i="98"/>
  <c r="D34" i="98"/>
  <c r="C34" i="98"/>
  <c r="G33" i="98"/>
  <c r="J29" i="98"/>
  <c r="I29" i="98"/>
  <c r="G29" i="98"/>
  <c r="F29" i="98"/>
  <c r="D29" i="98"/>
  <c r="C29" i="98"/>
  <c r="J28" i="98"/>
  <c r="I28" i="98"/>
  <c r="G28" i="98"/>
  <c r="F28" i="98"/>
  <c r="D28" i="98"/>
  <c r="C28" i="98"/>
  <c r="B28" i="98"/>
  <c r="H22" i="98"/>
  <c r="F22" i="98"/>
  <c r="D22" i="98"/>
  <c r="C22" i="98"/>
  <c r="H21" i="98"/>
  <c r="F21" i="98"/>
  <c r="D21" i="98"/>
  <c r="C21" i="98"/>
  <c r="B21" i="98"/>
  <c r="L16" i="98"/>
  <c r="K16" i="98"/>
  <c r="I16" i="98"/>
  <c r="G16" i="98"/>
  <c r="F16" i="98"/>
  <c r="D16" i="98"/>
  <c r="C16" i="98"/>
  <c r="L15" i="98"/>
  <c r="K15" i="98"/>
  <c r="I15" i="98"/>
  <c r="G15" i="98"/>
  <c r="F15" i="98"/>
  <c r="D15" i="98"/>
  <c r="C15" i="98"/>
  <c r="B15" i="98"/>
  <c r="L11" i="98"/>
  <c r="K11" i="98"/>
  <c r="I11" i="98"/>
  <c r="H11" i="98"/>
  <c r="F11" i="98"/>
  <c r="E11" i="98"/>
  <c r="D11" i="98"/>
  <c r="C11" i="98"/>
  <c r="L10" i="98"/>
  <c r="L12" i="98" s="1"/>
  <c r="K10" i="98"/>
  <c r="K12" i="98" s="1"/>
  <c r="I10" i="98"/>
  <c r="I12" i="98" s="1"/>
  <c r="H10" i="98"/>
  <c r="H12" i="98" s="1"/>
  <c r="F10" i="98"/>
  <c r="F12" i="98" s="1"/>
  <c r="E10" i="98"/>
  <c r="E12" i="98" s="1"/>
  <c r="D10" i="98"/>
  <c r="C10" i="98"/>
  <c r="C12" i="98" s="1"/>
  <c r="B10" i="98"/>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S70" i="117"/>
  <c r="R70" i="117"/>
  <c r="Q70" i="117"/>
  <c r="P70" i="117"/>
  <c r="O70" i="117"/>
  <c r="N70" i="117"/>
  <c r="M70" i="117"/>
  <c r="L70" i="117"/>
  <c r="K70" i="117"/>
  <c r="J70" i="117"/>
  <c r="I70" i="117"/>
  <c r="H70" i="117"/>
  <c r="G70" i="117"/>
  <c r="F70" i="117"/>
  <c r="E70" i="117"/>
  <c r="D70" i="117"/>
  <c r="C70" i="117"/>
  <c r="B68"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B54" i="117"/>
  <c r="S52" i="117"/>
  <c r="R52" i="117"/>
  <c r="Q52" i="117"/>
  <c r="P52" i="117"/>
  <c r="O52" i="117"/>
  <c r="N52" i="117"/>
  <c r="M52" i="117"/>
  <c r="L52" i="117"/>
  <c r="K52" i="117"/>
  <c r="J52" i="117"/>
  <c r="I52" i="117"/>
  <c r="H52" i="117"/>
  <c r="G52" i="117"/>
  <c r="F52" i="117"/>
  <c r="E52" i="117"/>
  <c r="D52" i="117"/>
  <c r="C52"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B47" i="117"/>
  <c r="S45" i="117"/>
  <c r="R45" i="117"/>
  <c r="Q45" i="117"/>
  <c r="P45" i="117"/>
  <c r="O45" i="117"/>
  <c r="N45" i="117"/>
  <c r="M45" i="117"/>
  <c r="L45" i="117"/>
  <c r="K45" i="117"/>
  <c r="J45" i="117"/>
  <c r="I45" i="117"/>
  <c r="H45" i="117"/>
  <c r="G45" i="117"/>
  <c r="F45" i="117"/>
  <c r="E45" i="117"/>
  <c r="D45" i="117"/>
  <c r="C45" i="117"/>
  <c r="S44" i="117"/>
  <c r="R44" i="117"/>
  <c r="Q44" i="117"/>
  <c r="P44" i="117"/>
  <c r="O44" i="117"/>
  <c r="N44" i="117"/>
  <c r="M44" i="117"/>
  <c r="L44" i="117"/>
  <c r="K44" i="117"/>
  <c r="J44" i="117"/>
  <c r="I44" i="117"/>
  <c r="H44" i="117"/>
  <c r="G44" i="117"/>
  <c r="F44" i="117"/>
  <c r="E44" i="117"/>
  <c r="D44" i="117"/>
  <c r="C44" i="117"/>
  <c r="S43" i="117"/>
  <c r="R43" i="117"/>
  <c r="Q43" i="117"/>
  <c r="P43" i="117"/>
  <c r="O43" i="117"/>
  <c r="N43" i="117"/>
  <c r="M43" i="117"/>
  <c r="L43" i="117"/>
  <c r="K43" i="117"/>
  <c r="J43" i="117"/>
  <c r="I43" i="117"/>
  <c r="H43" i="117"/>
  <c r="G43" i="117"/>
  <c r="F43" i="117"/>
  <c r="E43" i="117"/>
  <c r="D43" i="117"/>
  <c r="C43" i="117"/>
  <c r="S42" i="117"/>
  <c r="R42" i="117"/>
  <c r="Q42" i="117"/>
  <c r="P42" i="117"/>
  <c r="O42" i="117"/>
  <c r="N42" i="117"/>
  <c r="M42" i="117"/>
  <c r="L42" i="117"/>
  <c r="K42" i="117"/>
  <c r="J42" i="117"/>
  <c r="I42" i="117"/>
  <c r="H42" i="117"/>
  <c r="G42" i="117"/>
  <c r="F42" i="117"/>
  <c r="E42" i="117"/>
  <c r="D42" i="117"/>
  <c r="C42" i="117"/>
  <c r="B40" i="117"/>
  <c r="F31" i="117"/>
  <c r="E31" i="117"/>
  <c r="D31" i="117"/>
  <c r="C31" i="117"/>
  <c r="F30" i="117"/>
  <c r="E30" i="117"/>
  <c r="D30" i="117"/>
  <c r="C30" i="117"/>
  <c r="B30" i="117"/>
  <c r="F25" i="117"/>
  <c r="E25" i="117"/>
  <c r="D25" i="117"/>
  <c r="C25" i="117"/>
  <c r="F24" i="117"/>
  <c r="E24" i="117"/>
  <c r="D24" i="117"/>
  <c r="C24" i="117"/>
  <c r="B24" i="117"/>
  <c r="F19" i="117"/>
  <c r="E19" i="117"/>
  <c r="D19" i="117"/>
  <c r="C19" i="117"/>
  <c r="F18" i="117"/>
  <c r="E18" i="117"/>
  <c r="D18" i="117"/>
  <c r="C18" i="117"/>
  <c r="B18" i="117"/>
  <c r="L12" i="117"/>
  <c r="K12" i="117"/>
  <c r="J12" i="117"/>
  <c r="I12" i="117"/>
  <c r="F12" i="117"/>
  <c r="E12" i="117"/>
  <c r="D12" i="117"/>
  <c r="C12" i="117"/>
  <c r="L11" i="117"/>
  <c r="K11" i="117"/>
  <c r="J11" i="117"/>
  <c r="J13" i="117" s="1"/>
  <c r="I11" i="117"/>
  <c r="I13" i="117" s="1"/>
  <c r="H11" i="117"/>
  <c r="F11" i="117"/>
  <c r="E11" i="117"/>
  <c r="D11" i="117"/>
  <c r="C11" i="117"/>
  <c r="B11" i="117"/>
  <c r="S68" i="115"/>
  <c r="R68" i="115"/>
  <c r="Q68" i="115"/>
  <c r="P68" i="115"/>
  <c r="O68" i="115"/>
  <c r="N68" i="115"/>
  <c r="M68" i="115"/>
  <c r="L68" i="115"/>
  <c r="K68" i="115"/>
  <c r="J68" i="115"/>
  <c r="I68" i="115"/>
  <c r="H68" i="115"/>
  <c r="G68" i="115"/>
  <c r="F68" i="115"/>
  <c r="E68" i="115"/>
  <c r="D68" i="115"/>
  <c r="C68" i="115"/>
  <c r="S67" i="115"/>
  <c r="R67" i="115"/>
  <c r="Q67" i="115"/>
  <c r="P67" i="115"/>
  <c r="O67" i="115"/>
  <c r="N67" i="115"/>
  <c r="M67" i="115"/>
  <c r="L67" i="115"/>
  <c r="K67" i="115"/>
  <c r="J67" i="115"/>
  <c r="I67" i="115"/>
  <c r="H67" i="115"/>
  <c r="G67" i="115"/>
  <c r="F67" i="115"/>
  <c r="E67" i="115"/>
  <c r="D67" i="115"/>
  <c r="C67" i="115"/>
  <c r="S66" i="115"/>
  <c r="R66" i="115"/>
  <c r="Q66" i="115"/>
  <c r="P66" i="115"/>
  <c r="O66" i="115"/>
  <c r="N66" i="115"/>
  <c r="M66" i="115"/>
  <c r="L66" i="115"/>
  <c r="K66" i="115"/>
  <c r="J66" i="115"/>
  <c r="I66" i="115"/>
  <c r="H66" i="115"/>
  <c r="G66" i="115"/>
  <c r="F66" i="115"/>
  <c r="E66" i="115"/>
  <c r="D66" i="115"/>
  <c r="C66" i="115"/>
  <c r="S65" i="115"/>
  <c r="R65" i="115"/>
  <c r="Q65" i="115"/>
  <c r="P65" i="115"/>
  <c r="O65" i="115"/>
  <c r="N65" i="115"/>
  <c r="M65" i="115"/>
  <c r="L65" i="115"/>
  <c r="K65" i="115"/>
  <c r="J65" i="115"/>
  <c r="I65" i="115"/>
  <c r="H65" i="115"/>
  <c r="G65" i="115"/>
  <c r="F65" i="115"/>
  <c r="E65" i="115"/>
  <c r="D65" i="115"/>
  <c r="C65" i="115"/>
  <c r="B63" i="115"/>
  <c r="S60" i="115"/>
  <c r="R60" i="115"/>
  <c r="Q60" i="115"/>
  <c r="P60" i="115"/>
  <c r="O60" i="115"/>
  <c r="N60" i="115"/>
  <c r="M60" i="115"/>
  <c r="L60" i="115"/>
  <c r="K60" i="115"/>
  <c r="J60" i="115"/>
  <c r="I60" i="115"/>
  <c r="H60" i="115"/>
  <c r="G60" i="115"/>
  <c r="F60" i="115"/>
  <c r="E60" i="115"/>
  <c r="D60" i="115"/>
  <c r="C60" i="115"/>
  <c r="S59" i="115"/>
  <c r="R59" i="115"/>
  <c r="Q59" i="115"/>
  <c r="P59" i="115"/>
  <c r="O59" i="115"/>
  <c r="N59" i="115"/>
  <c r="M59" i="115"/>
  <c r="L59" i="115"/>
  <c r="K59" i="115"/>
  <c r="J59" i="115"/>
  <c r="I59" i="115"/>
  <c r="H59" i="115"/>
  <c r="G59" i="115"/>
  <c r="F59" i="115"/>
  <c r="E59" i="115"/>
  <c r="D59" i="115"/>
  <c r="C59" i="115"/>
  <c r="S58" i="115"/>
  <c r="R58" i="115"/>
  <c r="Q58" i="115"/>
  <c r="P58" i="115"/>
  <c r="O58" i="115"/>
  <c r="N58" i="115"/>
  <c r="M58" i="115"/>
  <c r="L58" i="115"/>
  <c r="K58" i="115"/>
  <c r="J58" i="115"/>
  <c r="I58" i="115"/>
  <c r="H58" i="115"/>
  <c r="G58" i="115"/>
  <c r="F58" i="115"/>
  <c r="E58" i="115"/>
  <c r="D58" i="115"/>
  <c r="C58" i="115"/>
  <c r="S57" i="115"/>
  <c r="R57" i="115"/>
  <c r="Q57" i="115"/>
  <c r="P57" i="115"/>
  <c r="O57" i="115"/>
  <c r="N57" i="115"/>
  <c r="M57" i="115"/>
  <c r="L57" i="115"/>
  <c r="K57" i="115"/>
  <c r="J57" i="115"/>
  <c r="I57" i="115"/>
  <c r="H57" i="115"/>
  <c r="G57" i="115"/>
  <c r="F57" i="115"/>
  <c r="E57" i="115"/>
  <c r="D57" i="115"/>
  <c r="C57" i="115"/>
  <c r="B55" i="115"/>
  <c r="S53" i="115"/>
  <c r="R53" i="115"/>
  <c r="Q53" i="115"/>
  <c r="P53" i="115"/>
  <c r="O53" i="115"/>
  <c r="N53" i="115"/>
  <c r="M53" i="115"/>
  <c r="L53" i="115"/>
  <c r="K53" i="115"/>
  <c r="J53" i="115"/>
  <c r="I53" i="115"/>
  <c r="H53" i="115"/>
  <c r="G53" i="115"/>
  <c r="F53" i="115"/>
  <c r="E53" i="115"/>
  <c r="D53" i="115"/>
  <c r="C53" i="115"/>
  <c r="S52" i="115"/>
  <c r="R52" i="115"/>
  <c r="Q52" i="115"/>
  <c r="P52" i="115"/>
  <c r="O52" i="115"/>
  <c r="N52" i="115"/>
  <c r="M52" i="115"/>
  <c r="L52" i="115"/>
  <c r="K52" i="115"/>
  <c r="J52" i="115"/>
  <c r="I52" i="115"/>
  <c r="H52" i="115"/>
  <c r="G52" i="115"/>
  <c r="F52" i="115"/>
  <c r="E52" i="115"/>
  <c r="D52" i="115"/>
  <c r="C52" i="115"/>
  <c r="S51" i="115"/>
  <c r="R51" i="115"/>
  <c r="Q51" i="115"/>
  <c r="P51" i="115"/>
  <c r="O51" i="115"/>
  <c r="N51" i="115"/>
  <c r="M51" i="115"/>
  <c r="L51" i="115"/>
  <c r="K51" i="115"/>
  <c r="J51" i="115"/>
  <c r="I51" i="115"/>
  <c r="H51" i="115"/>
  <c r="G51" i="115"/>
  <c r="F51" i="115"/>
  <c r="E51" i="115"/>
  <c r="D51" i="115"/>
  <c r="C51" i="115"/>
  <c r="S50" i="115"/>
  <c r="R50" i="115"/>
  <c r="Q50" i="115"/>
  <c r="P50" i="115"/>
  <c r="O50" i="115"/>
  <c r="N50" i="115"/>
  <c r="M50" i="115"/>
  <c r="L50" i="115"/>
  <c r="K50" i="115"/>
  <c r="J50" i="115"/>
  <c r="I50" i="115"/>
  <c r="H50" i="115"/>
  <c r="G50" i="115"/>
  <c r="F50" i="115"/>
  <c r="E50" i="115"/>
  <c r="D50" i="115"/>
  <c r="C50" i="115"/>
  <c r="B48" i="115"/>
  <c r="B41" i="115"/>
  <c r="S39" i="115"/>
  <c r="R39" i="115"/>
  <c r="Q39" i="115"/>
  <c r="P39" i="115"/>
  <c r="O39" i="115"/>
  <c r="N39" i="115"/>
  <c r="M39" i="115"/>
  <c r="L39" i="115"/>
  <c r="K39" i="115"/>
  <c r="J39" i="115"/>
  <c r="I39" i="115"/>
  <c r="H39" i="115"/>
  <c r="G39" i="115"/>
  <c r="F39" i="115"/>
  <c r="E39" i="115"/>
  <c r="D39" i="115"/>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B34" i="115"/>
  <c r="F29" i="115"/>
  <c r="E29" i="115"/>
  <c r="D29" i="115"/>
  <c r="C29" i="115"/>
  <c r="F28" i="115"/>
  <c r="E28" i="115"/>
  <c r="D28" i="115"/>
  <c r="C28" i="115"/>
  <c r="B28" i="115"/>
  <c r="F23" i="115"/>
  <c r="E23" i="115"/>
  <c r="D23" i="115"/>
  <c r="C23" i="115"/>
  <c r="F22" i="115"/>
  <c r="E22" i="115"/>
  <c r="D22" i="115"/>
  <c r="C22" i="115"/>
  <c r="B22" i="115"/>
  <c r="F18" i="115"/>
  <c r="E18" i="115"/>
  <c r="D18" i="115"/>
  <c r="C18" i="115"/>
  <c r="B16" i="115"/>
  <c r="L10" i="115"/>
  <c r="K10" i="115"/>
  <c r="J10" i="115"/>
  <c r="I10" i="115"/>
  <c r="F10" i="115"/>
  <c r="E10" i="115"/>
  <c r="D10" i="115"/>
  <c r="C10" i="115"/>
  <c r="L9" i="115"/>
  <c r="K9" i="115"/>
  <c r="K11" i="115" s="1"/>
  <c r="J9" i="115"/>
  <c r="J11" i="115" s="1"/>
  <c r="I9" i="115"/>
  <c r="H9" i="115"/>
  <c r="F9" i="115"/>
  <c r="E9" i="115"/>
  <c r="D9" i="115"/>
  <c r="C9" i="115"/>
  <c r="B9" i="115"/>
  <c r="U130" i="101"/>
  <c r="B130" i="101"/>
  <c r="U123" i="101"/>
  <c r="B123" i="101"/>
  <c r="U116" i="101"/>
  <c r="B116" i="101"/>
  <c r="O134" i="101" s="1"/>
  <c r="U109" i="101"/>
  <c r="B109" i="101"/>
  <c r="O135" i="101" s="1"/>
  <c r="B99" i="101"/>
  <c r="B92" i="101"/>
  <c r="Q96" i="101" s="1"/>
  <c r="G35" i="101"/>
  <c r="G34" i="101"/>
  <c r="G33" i="101"/>
  <c r="J29" i="101"/>
  <c r="I29" i="101"/>
  <c r="G29" i="101"/>
  <c r="F29" i="101"/>
  <c r="D29" i="101"/>
  <c r="C29" i="101"/>
  <c r="B28" i="101"/>
  <c r="J28" i="101" s="1"/>
  <c r="H22" i="101"/>
  <c r="F22" i="101"/>
  <c r="D22" i="101"/>
  <c r="C22" i="101"/>
  <c r="H21" i="101"/>
  <c r="C21" i="101"/>
  <c r="B21" i="101"/>
  <c r="F21" i="101" s="1"/>
  <c r="L16" i="101"/>
  <c r="K16" i="101"/>
  <c r="I16" i="101"/>
  <c r="G16" i="101"/>
  <c r="F16" i="101"/>
  <c r="D16" i="101"/>
  <c r="C16" i="101"/>
  <c r="L15" i="101"/>
  <c r="K15" i="101"/>
  <c r="I15" i="101"/>
  <c r="G15" i="101"/>
  <c r="F15" i="101"/>
  <c r="D15" i="101"/>
  <c r="C15" i="101"/>
  <c r="B15" i="101"/>
  <c r="L10" i="101"/>
  <c r="K10" i="101"/>
  <c r="I10" i="101"/>
  <c r="H10" i="101"/>
  <c r="F10" i="101"/>
  <c r="E10" i="101"/>
  <c r="D10" i="101"/>
  <c r="C10" i="101"/>
  <c r="L9" i="101"/>
  <c r="L11" i="101" s="1"/>
  <c r="K9" i="101"/>
  <c r="K11" i="101" s="1"/>
  <c r="I9" i="101"/>
  <c r="H9" i="101"/>
  <c r="H11" i="101" s="1"/>
  <c r="F9" i="101"/>
  <c r="F11" i="101" s="1"/>
  <c r="E9" i="101"/>
  <c r="D9" i="101"/>
  <c r="D11" i="101" s="1"/>
  <c r="C9" i="101"/>
  <c r="B9" i="101"/>
  <c r="D46" i="106"/>
  <c r="E46" i="106" s="1"/>
  <c r="D35" i="106"/>
  <c r="E35" i="106" s="1"/>
  <c r="D34" i="106"/>
  <c r="E34" i="106" s="1"/>
  <c r="D33" i="106"/>
  <c r="E33" i="106" s="1"/>
  <c r="D32" i="106"/>
  <c r="E32" i="106" s="1"/>
  <c r="D31" i="106"/>
  <c r="E31" i="106" s="1"/>
  <c r="D30" i="106"/>
  <c r="E30" i="106" s="1"/>
  <c r="D29" i="106"/>
  <c r="E29" i="106" s="1"/>
  <c r="D28" i="106"/>
  <c r="E28" i="106" s="1"/>
  <c r="D27" i="106"/>
  <c r="E27" i="106" s="1"/>
  <c r="D26" i="106"/>
  <c r="E26" i="106" s="1"/>
  <c r="D25" i="106"/>
  <c r="E25" i="106" s="1"/>
  <c r="D24" i="106"/>
  <c r="E24" i="106" s="1"/>
  <c r="D23" i="106"/>
  <c r="E23" i="106" s="1"/>
  <c r="D22" i="106"/>
  <c r="E22" i="106" s="1"/>
  <c r="D21" i="106"/>
  <c r="E21" i="106" s="1"/>
  <c r="D20" i="106"/>
  <c r="E20" i="106" s="1"/>
  <c r="D19" i="106"/>
  <c r="E19" i="106" s="1"/>
  <c r="D18" i="106"/>
  <c r="E18" i="106" s="1"/>
  <c r="D17" i="106"/>
  <c r="E17" i="106" s="1"/>
  <c r="D16" i="106"/>
  <c r="E16" i="106" s="1"/>
  <c r="D15" i="106"/>
  <c r="E15" i="106" s="1"/>
  <c r="D13" i="106"/>
  <c r="E13" i="106" s="1"/>
  <c r="D12" i="106"/>
  <c r="E12" i="106" s="1"/>
  <c r="D11" i="106"/>
  <c r="E11" i="106" s="1"/>
  <c r="D10" i="106"/>
  <c r="E10" i="106" s="1"/>
  <c r="D9" i="106"/>
  <c r="E9" i="106" s="1"/>
  <c r="D8" i="106"/>
  <c r="E8" i="106" s="1"/>
  <c r="D7" i="106"/>
  <c r="E7" i="106" s="1"/>
  <c r="D6" i="106"/>
  <c r="E6" i="106" s="1"/>
  <c r="U153" i="79"/>
  <c r="T153" i="79"/>
  <c r="R153" i="79"/>
  <c r="Q153" i="79"/>
  <c r="U152" i="79"/>
  <c r="T152" i="79"/>
  <c r="R152" i="79"/>
  <c r="Q152" i="79"/>
  <c r="U151" i="79"/>
  <c r="T151" i="79"/>
  <c r="R151" i="79"/>
  <c r="Q151" i="79"/>
  <c r="U150" i="79"/>
  <c r="T150" i="79"/>
  <c r="R150" i="79"/>
  <c r="Q150" i="79"/>
  <c r="U149" i="79"/>
  <c r="T149" i="79"/>
  <c r="R149" i="79"/>
  <c r="Q149" i="79"/>
  <c r="U148" i="79"/>
  <c r="T148" i="79"/>
  <c r="R148" i="79"/>
  <c r="Q148" i="79"/>
  <c r="U147" i="79"/>
  <c r="T147" i="79"/>
  <c r="R147" i="79"/>
  <c r="Q147" i="79"/>
  <c r="U146" i="79"/>
  <c r="T146" i="79"/>
  <c r="R146" i="79"/>
  <c r="Q146" i="79"/>
  <c r="U145" i="79"/>
  <c r="T145" i="79"/>
  <c r="R145" i="79"/>
  <c r="Q145" i="79"/>
  <c r="U144" i="79"/>
  <c r="T144" i="79"/>
  <c r="R144" i="79"/>
  <c r="Q144" i="79"/>
  <c r="U143" i="79"/>
  <c r="T143" i="79"/>
  <c r="R143" i="79"/>
  <c r="Q143" i="79"/>
  <c r="U142" i="79"/>
  <c r="T142" i="79"/>
  <c r="R142" i="79"/>
  <c r="Q142" i="79"/>
  <c r="U141" i="79"/>
  <c r="T141" i="79"/>
  <c r="R141" i="79"/>
  <c r="Q141" i="79"/>
  <c r="U140" i="79"/>
  <c r="T140" i="79"/>
  <c r="R140" i="79"/>
  <c r="Q140" i="79"/>
  <c r="U139" i="79"/>
  <c r="T139" i="79"/>
  <c r="R139" i="79"/>
  <c r="Q139" i="79"/>
  <c r="U138" i="79"/>
  <c r="T138" i="79"/>
  <c r="R138" i="79"/>
  <c r="Q138" i="79"/>
  <c r="U137" i="79"/>
  <c r="T137" i="79"/>
  <c r="R137" i="79"/>
  <c r="Q137" i="79"/>
  <c r="U136" i="79"/>
  <c r="T136" i="79"/>
  <c r="R136" i="79"/>
  <c r="Q136" i="79"/>
  <c r="U135" i="79"/>
  <c r="T135" i="79"/>
  <c r="R135" i="79"/>
  <c r="Q135" i="79"/>
  <c r="U134" i="79"/>
  <c r="T134" i="79"/>
  <c r="R134" i="79"/>
  <c r="Q134" i="79"/>
  <c r="U133" i="79"/>
  <c r="T133" i="79"/>
  <c r="R133" i="79"/>
  <c r="Q133" i="79"/>
  <c r="U132" i="79"/>
  <c r="T132" i="79"/>
  <c r="R132" i="79"/>
  <c r="Q132" i="79"/>
  <c r="U131" i="79"/>
  <c r="T131" i="79"/>
  <c r="R131" i="79"/>
  <c r="Q131" i="79"/>
  <c r="U130" i="79"/>
  <c r="T130" i="79"/>
  <c r="R130" i="79"/>
  <c r="Q130" i="79"/>
  <c r="U129" i="79"/>
  <c r="T129" i="79"/>
  <c r="R129" i="79"/>
  <c r="Q129" i="79"/>
  <c r="U128" i="79"/>
  <c r="T128" i="79"/>
  <c r="R128" i="79"/>
  <c r="Q128" i="79"/>
  <c r="U127" i="79"/>
  <c r="T127" i="79"/>
  <c r="R127" i="79"/>
  <c r="Q127" i="79"/>
  <c r="U126" i="79"/>
  <c r="T126" i="79"/>
  <c r="R126" i="79"/>
  <c r="Q126" i="79"/>
  <c r="U125" i="79"/>
  <c r="T125" i="79"/>
  <c r="R125" i="79"/>
  <c r="Q125" i="79"/>
  <c r="U124" i="79"/>
  <c r="T124" i="79"/>
  <c r="R124" i="79"/>
  <c r="Q124" i="79"/>
  <c r="U123" i="79"/>
  <c r="T123" i="79"/>
  <c r="R123" i="79"/>
  <c r="Q123" i="79"/>
  <c r="U122" i="79"/>
  <c r="T122" i="79"/>
  <c r="R122" i="79"/>
  <c r="Q122" i="79"/>
  <c r="U121" i="79"/>
  <c r="T121" i="79"/>
  <c r="R121" i="79"/>
  <c r="Q121" i="79"/>
  <c r="U120" i="79"/>
  <c r="T120" i="79"/>
  <c r="R120" i="79"/>
  <c r="Q120" i="79"/>
  <c r="U119" i="79"/>
  <c r="T119" i="79"/>
  <c r="R119" i="79"/>
  <c r="Q119" i="79"/>
  <c r="U118" i="79"/>
  <c r="T118" i="79"/>
  <c r="R118" i="79"/>
  <c r="Q118" i="79"/>
  <c r="U117" i="79"/>
  <c r="T117" i="79"/>
  <c r="R117" i="79"/>
  <c r="Q117" i="79"/>
  <c r="U116" i="79"/>
  <c r="T116" i="79"/>
  <c r="R116" i="79"/>
  <c r="Q116" i="79"/>
  <c r="U115" i="79"/>
  <c r="T115" i="79"/>
  <c r="R115" i="79"/>
  <c r="Q115" i="79"/>
  <c r="U114" i="79"/>
  <c r="T114" i="79"/>
  <c r="R114" i="79"/>
  <c r="Q114" i="79"/>
  <c r="U113" i="79"/>
  <c r="T113" i="79"/>
  <c r="R113" i="79"/>
  <c r="Q113" i="79"/>
  <c r="U112" i="79"/>
  <c r="T112" i="79"/>
  <c r="R112" i="79"/>
  <c r="Q112" i="79"/>
  <c r="U111" i="79"/>
  <c r="T111" i="79"/>
  <c r="R111" i="79"/>
  <c r="Q111" i="79"/>
  <c r="U110" i="79"/>
  <c r="T110" i="79"/>
  <c r="R110" i="79"/>
  <c r="Q110" i="79"/>
  <c r="U109" i="79"/>
  <c r="T109" i="79"/>
  <c r="R109" i="79"/>
  <c r="Q109" i="79"/>
  <c r="U108" i="79"/>
  <c r="T108" i="79"/>
  <c r="R108" i="79"/>
  <c r="Q108" i="79"/>
  <c r="U107" i="79"/>
  <c r="T107" i="79"/>
  <c r="R107" i="79"/>
  <c r="Q107" i="79"/>
  <c r="U106" i="79"/>
  <c r="T106" i="79"/>
  <c r="R106" i="79"/>
  <c r="Q106" i="79"/>
  <c r="U105" i="79"/>
  <c r="T105" i="79"/>
  <c r="R105" i="79"/>
  <c r="Q105" i="79"/>
  <c r="U104" i="79"/>
  <c r="T104" i="79"/>
  <c r="R104" i="79"/>
  <c r="Q104" i="79"/>
  <c r="U103" i="79"/>
  <c r="T103" i="79"/>
  <c r="R103" i="79"/>
  <c r="Q103" i="79"/>
  <c r="U102" i="79"/>
  <c r="T102" i="79"/>
  <c r="R102" i="79"/>
  <c r="Q102" i="79"/>
  <c r="U101" i="79"/>
  <c r="T101" i="79"/>
  <c r="R101" i="79"/>
  <c r="Q101" i="79"/>
  <c r="U100" i="79"/>
  <c r="T100" i="79"/>
  <c r="R100" i="79"/>
  <c r="Q100" i="79"/>
  <c r="U99" i="79"/>
  <c r="T99" i="79"/>
  <c r="R99" i="79"/>
  <c r="Q99" i="79"/>
  <c r="U98" i="79"/>
  <c r="T98" i="79"/>
  <c r="R98" i="79"/>
  <c r="Q98" i="79"/>
  <c r="U97" i="79"/>
  <c r="T97" i="79"/>
  <c r="R97" i="79"/>
  <c r="Q97" i="79"/>
  <c r="U96" i="79"/>
  <c r="T96" i="79"/>
  <c r="R96" i="79"/>
  <c r="Q96" i="79"/>
  <c r="U95" i="79"/>
  <c r="T95" i="79"/>
  <c r="R95" i="79"/>
  <c r="Q95" i="79"/>
  <c r="U94" i="79"/>
  <c r="T94" i="79"/>
  <c r="R94" i="79"/>
  <c r="Q94" i="79"/>
  <c r="U93" i="79"/>
  <c r="T93" i="79"/>
  <c r="R93" i="79"/>
  <c r="Q93" i="79"/>
  <c r="U92" i="79"/>
  <c r="T92" i="79"/>
  <c r="R92" i="79"/>
  <c r="Q92" i="79"/>
  <c r="U91" i="79"/>
  <c r="T91" i="79"/>
  <c r="R91" i="79"/>
  <c r="Q91" i="79"/>
  <c r="U90" i="79"/>
  <c r="T90" i="79"/>
  <c r="R90" i="79"/>
  <c r="Q90" i="79"/>
  <c r="U89" i="79"/>
  <c r="T89" i="79"/>
  <c r="R89" i="79"/>
  <c r="Q89" i="79"/>
  <c r="U88" i="79"/>
  <c r="T88" i="79"/>
  <c r="R88" i="79"/>
  <c r="Q88" i="79"/>
  <c r="U87" i="79"/>
  <c r="T87" i="79"/>
  <c r="R87" i="79"/>
  <c r="Q87" i="79"/>
  <c r="U86" i="79"/>
  <c r="T86" i="79"/>
  <c r="R86" i="79"/>
  <c r="Q86" i="79"/>
  <c r="U85" i="79"/>
  <c r="T85" i="79"/>
  <c r="R85" i="79"/>
  <c r="Q85" i="79"/>
  <c r="U84" i="79"/>
  <c r="T84" i="79"/>
  <c r="R84" i="79"/>
  <c r="Q84" i="79"/>
  <c r="U83" i="79"/>
  <c r="T83" i="79"/>
  <c r="R83" i="79"/>
  <c r="Q83" i="79"/>
  <c r="U82" i="79"/>
  <c r="T82" i="79"/>
  <c r="R82" i="79"/>
  <c r="Q82" i="79"/>
  <c r="U81" i="79"/>
  <c r="T81" i="79"/>
  <c r="R81" i="79"/>
  <c r="Q81" i="79"/>
  <c r="U80" i="79"/>
  <c r="T80" i="79"/>
  <c r="R80" i="79"/>
  <c r="Q80" i="79"/>
  <c r="U79" i="79"/>
  <c r="T79" i="79"/>
  <c r="R79" i="79"/>
  <c r="Q79" i="79"/>
  <c r="U78" i="79"/>
  <c r="T78" i="79"/>
  <c r="R78" i="79"/>
  <c r="Q78" i="79"/>
  <c r="U77" i="79"/>
  <c r="T77" i="79"/>
  <c r="R77" i="79"/>
  <c r="Q77" i="79"/>
  <c r="U76" i="79"/>
  <c r="T76" i="79"/>
  <c r="R76" i="79"/>
  <c r="Q76" i="79"/>
  <c r="U75" i="79"/>
  <c r="T75" i="79"/>
  <c r="R75" i="79"/>
  <c r="Q75" i="79"/>
  <c r="U74" i="79"/>
  <c r="T74" i="79"/>
  <c r="R74" i="79"/>
  <c r="Q74" i="79"/>
  <c r="U73" i="79"/>
  <c r="T73" i="79"/>
  <c r="R73" i="79"/>
  <c r="Q73" i="79"/>
  <c r="U72" i="79"/>
  <c r="T72" i="79"/>
  <c r="R72" i="79"/>
  <c r="Q72" i="79"/>
  <c r="U71" i="79"/>
  <c r="T71" i="79"/>
  <c r="R71" i="79"/>
  <c r="Q71" i="79"/>
  <c r="U70" i="79"/>
  <c r="T70" i="79"/>
  <c r="R70" i="79"/>
  <c r="Q70" i="79"/>
  <c r="U69" i="79"/>
  <c r="T69" i="79"/>
  <c r="R69" i="79"/>
  <c r="Q69" i="79"/>
  <c r="U68" i="79"/>
  <c r="T68" i="79"/>
  <c r="R68" i="79"/>
  <c r="Q68" i="79"/>
  <c r="U67" i="79"/>
  <c r="T67" i="79"/>
  <c r="R67" i="79"/>
  <c r="Q67" i="79"/>
  <c r="U66" i="79"/>
  <c r="T66" i="79"/>
  <c r="R66" i="79"/>
  <c r="Q66" i="79"/>
  <c r="U65" i="79"/>
  <c r="T65" i="79"/>
  <c r="R65" i="79"/>
  <c r="Q65" i="79"/>
  <c r="U64" i="79"/>
  <c r="T64" i="79"/>
  <c r="R64" i="79"/>
  <c r="Q64" i="79"/>
  <c r="U63" i="79"/>
  <c r="T63" i="79"/>
  <c r="R63" i="79"/>
  <c r="Q63" i="79"/>
  <c r="U62" i="79"/>
  <c r="T62" i="79"/>
  <c r="R62" i="79"/>
  <c r="Q62" i="79"/>
  <c r="U61" i="79"/>
  <c r="T61" i="79"/>
  <c r="R61" i="79"/>
  <c r="Q61" i="79"/>
  <c r="U60" i="79"/>
  <c r="T60" i="79"/>
  <c r="R60" i="79"/>
  <c r="Q60" i="79"/>
  <c r="U59" i="79"/>
  <c r="T59" i="79"/>
  <c r="R59" i="79"/>
  <c r="Q59" i="79"/>
  <c r="U58" i="79"/>
  <c r="T58" i="79"/>
  <c r="R58" i="79"/>
  <c r="Q58" i="79"/>
  <c r="U57" i="79"/>
  <c r="T57" i="79"/>
  <c r="R57" i="79"/>
  <c r="Q57" i="79"/>
  <c r="U56" i="79"/>
  <c r="T56" i="79"/>
  <c r="R56" i="79"/>
  <c r="Q56" i="79"/>
  <c r="U55" i="79"/>
  <c r="T55" i="79"/>
  <c r="R55" i="79"/>
  <c r="Q55" i="79"/>
  <c r="U54" i="79"/>
  <c r="T54" i="79"/>
  <c r="R54" i="79"/>
  <c r="Q54" i="79"/>
  <c r="U53" i="79"/>
  <c r="T53" i="79"/>
  <c r="R53" i="79"/>
  <c r="Q53" i="79"/>
  <c r="U52" i="79"/>
  <c r="T52" i="79"/>
  <c r="R52" i="79"/>
  <c r="Q52" i="79"/>
  <c r="U51" i="79"/>
  <c r="T51" i="79"/>
  <c r="R51" i="79"/>
  <c r="Q51" i="79"/>
  <c r="U50" i="79"/>
  <c r="T50" i="79"/>
  <c r="R50" i="79"/>
  <c r="Q50" i="79"/>
  <c r="U49" i="79"/>
  <c r="T49" i="79"/>
  <c r="R49" i="79"/>
  <c r="Q49" i="79"/>
  <c r="U48" i="79"/>
  <c r="T48" i="79"/>
  <c r="R48" i="79"/>
  <c r="Q48" i="79"/>
  <c r="U47" i="79"/>
  <c r="T47" i="79"/>
  <c r="R47" i="79"/>
  <c r="Q47" i="79"/>
  <c r="U46" i="79"/>
  <c r="T46" i="79"/>
  <c r="R46" i="79"/>
  <c r="Q46" i="79"/>
  <c r="U45" i="79"/>
  <c r="T45" i="79"/>
  <c r="R45" i="79"/>
  <c r="Q45" i="79"/>
  <c r="U44" i="79"/>
  <c r="T44" i="79"/>
  <c r="R44" i="79"/>
  <c r="Q44" i="79"/>
  <c r="U43" i="79"/>
  <c r="T43" i="79"/>
  <c r="R43" i="79"/>
  <c r="Q43" i="79"/>
  <c r="U42" i="79"/>
  <c r="T42" i="79"/>
  <c r="R42" i="79"/>
  <c r="Q42" i="79"/>
  <c r="U41" i="79"/>
  <c r="T41" i="79"/>
  <c r="R41" i="79"/>
  <c r="Q41" i="79"/>
  <c r="U40" i="79"/>
  <c r="T40" i="79"/>
  <c r="R40" i="79"/>
  <c r="Q40" i="79"/>
  <c r="U39" i="79"/>
  <c r="T39" i="79"/>
  <c r="R39" i="79"/>
  <c r="Q39" i="79"/>
  <c r="U38" i="79"/>
  <c r="T38" i="79"/>
  <c r="R38" i="79"/>
  <c r="Q38" i="79"/>
  <c r="U37" i="79"/>
  <c r="T37" i="79"/>
  <c r="R37" i="79"/>
  <c r="Q37" i="79"/>
  <c r="U36" i="79"/>
  <c r="T36" i="79"/>
  <c r="R36" i="79"/>
  <c r="Q36" i="79"/>
  <c r="U35" i="79"/>
  <c r="T35" i="79"/>
  <c r="R35" i="79"/>
  <c r="Q35" i="79"/>
  <c r="U34" i="79"/>
  <c r="T34" i="79"/>
  <c r="R34" i="79"/>
  <c r="Q34" i="79"/>
  <c r="U33" i="79"/>
  <c r="T33" i="79"/>
  <c r="R33" i="79"/>
  <c r="Q33" i="79"/>
  <c r="U32" i="79"/>
  <c r="T32" i="79"/>
  <c r="R32" i="79"/>
  <c r="Q32" i="79"/>
  <c r="U31" i="79"/>
  <c r="T31" i="79"/>
  <c r="R31" i="79"/>
  <c r="Q31" i="79"/>
  <c r="U30" i="79"/>
  <c r="T30" i="79"/>
  <c r="R30" i="79"/>
  <c r="Q30" i="79"/>
  <c r="U29" i="79"/>
  <c r="T29" i="79"/>
  <c r="R29" i="79"/>
  <c r="Q29" i="79"/>
  <c r="U28" i="79"/>
  <c r="T28" i="79"/>
  <c r="R28" i="79"/>
  <c r="Q28" i="79"/>
  <c r="U27" i="79"/>
  <c r="T27" i="79"/>
  <c r="R27" i="79"/>
  <c r="Q27" i="79"/>
  <c r="U26" i="79"/>
  <c r="T26" i="79"/>
  <c r="R26" i="79"/>
  <c r="Q26" i="79"/>
  <c r="U25" i="79"/>
  <c r="T25" i="79"/>
  <c r="R25" i="79"/>
  <c r="Q25" i="79"/>
  <c r="U24" i="79"/>
  <c r="T24" i="79"/>
  <c r="R24" i="79"/>
  <c r="Q24" i="79"/>
  <c r="U23" i="79"/>
  <c r="T23" i="79"/>
  <c r="R23" i="79"/>
  <c r="Q23" i="79"/>
  <c r="U22" i="79"/>
  <c r="T22" i="79"/>
  <c r="R22" i="79"/>
  <c r="Q22" i="79"/>
  <c r="U21" i="79"/>
  <c r="T21" i="79"/>
  <c r="R21" i="79"/>
  <c r="Q21" i="79"/>
  <c r="U20" i="79"/>
  <c r="T20" i="79"/>
  <c r="R20" i="79"/>
  <c r="Q20" i="79"/>
  <c r="U19" i="79"/>
  <c r="T19" i="79"/>
  <c r="R19" i="79"/>
  <c r="Q19" i="79"/>
  <c r="U18" i="79"/>
  <c r="T18" i="79"/>
  <c r="R18" i="79"/>
  <c r="Q18" i="79"/>
  <c r="U17" i="79"/>
  <c r="T17" i="79"/>
  <c r="R17" i="79"/>
  <c r="Q17" i="79"/>
  <c r="U16" i="79"/>
  <c r="T16" i="79"/>
  <c r="R16" i="79"/>
  <c r="Q16" i="79"/>
  <c r="U15" i="79"/>
  <c r="T15" i="79"/>
  <c r="R15" i="79"/>
  <c r="Q15" i="79"/>
  <c r="U14" i="79"/>
  <c r="T14" i="79"/>
  <c r="R14" i="79"/>
  <c r="Q14" i="79"/>
  <c r="U13" i="79"/>
  <c r="T13" i="79"/>
  <c r="R13" i="79"/>
  <c r="Q13" i="79"/>
  <c r="U12" i="79"/>
  <c r="T12" i="79"/>
  <c r="R12" i="79"/>
  <c r="Q12" i="79"/>
  <c r="U11" i="79"/>
  <c r="T11" i="79"/>
  <c r="R11" i="79"/>
  <c r="Q11" i="79"/>
  <c r="U10" i="79"/>
  <c r="T10" i="79"/>
  <c r="R10" i="79"/>
  <c r="Q10" i="79"/>
  <c r="U9" i="79"/>
  <c r="T9" i="79"/>
  <c r="R9" i="79"/>
  <c r="Q9" i="79"/>
  <c r="U8" i="79"/>
  <c r="T8" i="79"/>
  <c r="R8" i="79"/>
  <c r="Q8" i="79"/>
  <c r="U7" i="79"/>
  <c r="T7" i="79"/>
  <c r="R7" i="79"/>
  <c r="Q7" i="79"/>
  <c r="U6" i="79"/>
  <c r="T6" i="79"/>
  <c r="R6" i="79"/>
  <c r="Q6" i="79"/>
  <c r="U5" i="79"/>
  <c r="T5" i="79"/>
  <c r="R5" i="79"/>
  <c r="Q5" i="79"/>
  <c r="U4" i="79"/>
  <c r="T4" i="79"/>
  <c r="R4" i="79"/>
  <c r="Q4" i="79"/>
  <c r="U3" i="79"/>
  <c r="T3" i="79"/>
  <c r="R3" i="79"/>
  <c r="Q3" i="79"/>
  <c r="U2" i="79"/>
  <c r="T2" i="79"/>
  <c r="R2" i="79"/>
  <c r="Q2" i="79"/>
  <c r="AA43" i="100" l="1"/>
  <c r="Y125" i="100"/>
  <c r="Y149" i="100"/>
  <c r="AJ153" i="100"/>
  <c r="Z157" i="100"/>
  <c r="AH157" i="100"/>
  <c r="Y158" i="100"/>
  <c r="AG158" i="100"/>
  <c r="AC10" i="111"/>
  <c r="AK10" i="111"/>
  <c r="AA18" i="111"/>
  <c r="AI18" i="111"/>
  <c r="AE43" i="100"/>
  <c r="AM43" i="100"/>
  <c r="AA55" i="100"/>
  <c r="AI55" i="100"/>
  <c r="AE84" i="100"/>
  <c r="AF89" i="100"/>
  <c r="AG152" i="100"/>
  <c r="AF153" i="100"/>
  <c r="AN156" i="100"/>
  <c r="W6" i="111"/>
  <c r="W10" i="111"/>
  <c r="AE10" i="111"/>
  <c r="X30" i="111"/>
  <c r="AF30" i="111"/>
  <c r="W46" i="111"/>
  <c r="X10" i="111"/>
  <c r="AF10" i="111"/>
  <c r="Z19" i="100"/>
  <c r="AH19" i="100"/>
  <c r="Z27" i="100"/>
  <c r="AH27" i="100"/>
  <c r="AF92" i="100"/>
  <c r="AC97" i="100"/>
  <c r="Y6" i="111"/>
  <c r="AG6" i="111"/>
  <c r="Z9" i="111"/>
  <c r="AH9" i="111"/>
  <c r="Y10" i="111"/>
  <c r="AG10" i="111"/>
  <c r="Z30" i="111"/>
  <c r="AH30" i="111"/>
  <c r="Z40" i="111"/>
  <c r="AH40" i="111"/>
  <c r="AG48" i="111"/>
  <c r="W58" i="111"/>
  <c r="AE58" i="111"/>
  <c r="AG59" i="111"/>
  <c r="AA62" i="111"/>
  <c r="AI19" i="100"/>
  <c r="AC48" i="100"/>
  <c r="AK48" i="100"/>
  <c r="Y71" i="100"/>
  <c r="AN94" i="100"/>
  <c r="AF104" i="100"/>
  <c r="AF112" i="100"/>
  <c r="AM150" i="100"/>
  <c r="AN169" i="100"/>
  <c r="AA30" i="111"/>
  <c r="AA40" i="111"/>
  <c r="AI40" i="111"/>
  <c r="Z43" i="111"/>
  <c r="AF49" i="111"/>
  <c r="AE24" i="100"/>
  <c r="AM24" i="100"/>
  <c r="AB27" i="100"/>
  <c r="AJ27" i="100"/>
  <c r="AE31" i="100"/>
  <c r="AM31" i="100"/>
  <c r="AA35" i="100"/>
  <c r="AI43" i="100"/>
  <c r="AE64" i="100"/>
  <c r="AM127" i="100"/>
  <c r="AB145" i="100"/>
  <c r="AJ145" i="100"/>
  <c r="AI6" i="111"/>
  <c r="AG8" i="111"/>
  <c r="AA10" i="111"/>
  <c r="AI10" i="111"/>
  <c r="AG28" i="111"/>
  <c r="AK29" i="111"/>
  <c r="AB30" i="111"/>
  <c r="AJ30" i="111"/>
  <c r="AI46" i="111"/>
  <c r="AI66" i="111"/>
  <c r="AA51" i="100"/>
  <c r="AE56" i="100"/>
  <c r="Z115" i="100"/>
  <c r="AN126" i="100"/>
  <c r="AC129" i="100"/>
  <c r="AK129" i="100"/>
  <c r="Y141" i="100"/>
  <c r="AB6" i="111"/>
  <c r="AJ6" i="111"/>
  <c r="AK9" i="111"/>
  <c r="AK25" i="111"/>
  <c r="Z41" i="111"/>
  <c r="AH41" i="111"/>
  <c r="Z64" i="111"/>
  <c r="AH64" i="111"/>
  <c r="D28" i="101"/>
  <c r="AG85" i="100"/>
  <c r="AC32" i="100"/>
  <c r="AK32" i="100"/>
  <c r="Z35" i="100"/>
  <c r="AH35" i="100"/>
  <c r="AC52" i="100"/>
  <c r="AK52" i="100"/>
  <c r="Z55" i="100"/>
  <c r="AH55" i="100"/>
  <c r="Z28" i="100"/>
  <c r="AH28" i="100"/>
  <c r="Y36" i="100"/>
  <c r="Y56" i="100"/>
  <c r="AG56" i="100"/>
  <c r="AM58" i="100"/>
  <c r="Z7" i="100"/>
  <c r="AH7" i="100"/>
  <c r="Y8" i="100"/>
  <c r="AG8" i="100"/>
  <c r="AD11" i="100"/>
  <c r="AL11" i="100"/>
  <c r="AC12" i="100"/>
  <c r="AK12" i="100"/>
  <c r="Z15" i="100"/>
  <c r="AH15" i="100"/>
  <c r="Y16" i="100"/>
  <c r="AG16" i="100"/>
  <c r="AD19" i="100"/>
  <c r="AL19" i="100"/>
  <c r="Y25" i="100"/>
  <c r="AA28" i="100"/>
  <c r="AI28" i="100"/>
  <c r="AC41" i="100"/>
  <c r="AK41" i="100"/>
  <c r="AA47" i="100"/>
  <c r="Y53" i="100"/>
  <c r="AE52" i="100"/>
  <c r="AM52" i="100"/>
  <c r="AB55" i="100"/>
  <c r="AJ55" i="100"/>
  <c r="Z56" i="100"/>
  <c r="AH56" i="100"/>
  <c r="AA7" i="100"/>
  <c r="AI7" i="100"/>
  <c r="AE11" i="100"/>
  <c r="AM11" i="100"/>
  <c r="AA15" i="100"/>
  <c r="AI15" i="100"/>
  <c r="AC20" i="100"/>
  <c r="AK20" i="100"/>
  <c r="AB43" i="100"/>
  <c r="AJ43" i="100"/>
  <c r="AD47" i="100"/>
  <c r="AL47" i="100"/>
  <c r="Z51" i="100"/>
  <c r="AH51" i="100"/>
  <c r="AA56" i="100"/>
  <c r="AI56" i="100"/>
  <c r="Y32" i="100"/>
  <c r="AG32" i="100"/>
  <c r="AD35" i="100"/>
  <c r="AL35" i="100"/>
  <c r="Y41" i="100"/>
  <c r="Z44" i="100"/>
  <c r="AH44" i="100"/>
  <c r="AE47" i="100"/>
  <c r="AM47" i="100"/>
  <c r="Y52" i="100"/>
  <c r="AG52" i="100"/>
  <c r="AD55" i="100"/>
  <c r="AL55" i="100"/>
  <c r="AA24" i="100"/>
  <c r="AI24" i="100"/>
  <c r="AF27" i="100"/>
  <c r="AN27" i="100"/>
  <c r="AC29" i="100"/>
  <c r="AK29" i="100"/>
  <c r="Z39" i="100"/>
  <c r="AH39" i="100"/>
  <c r="Y40" i="100"/>
  <c r="AG40" i="100"/>
  <c r="AA44" i="100"/>
  <c r="AI44" i="100"/>
  <c r="AE48" i="100"/>
  <c r="AM48" i="100"/>
  <c r="AB51" i="100"/>
  <c r="AJ51" i="100"/>
  <c r="AC56" i="100"/>
  <c r="AK56" i="100"/>
  <c r="AI65" i="100"/>
  <c r="AD7" i="100"/>
  <c r="AL7" i="100"/>
  <c r="AC8" i="100"/>
  <c r="AK8" i="100"/>
  <c r="Z11" i="100"/>
  <c r="AH11" i="100"/>
  <c r="Y12" i="100"/>
  <c r="AG12" i="100"/>
  <c r="AD15" i="100"/>
  <c r="AL15" i="100"/>
  <c r="AC16" i="100"/>
  <c r="AK16" i="100"/>
  <c r="AI23" i="100"/>
  <c r="AB31" i="100"/>
  <c r="AJ31" i="100"/>
  <c r="AA32" i="100"/>
  <c r="AI32" i="100"/>
  <c r="AA39" i="100"/>
  <c r="AI39" i="100"/>
  <c r="Z40" i="100"/>
  <c r="AH40" i="100"/>
  <c r="Y49" i="100"/>
  <c r="AA52" i="100"/>
  <c r="AI52" i="100"/>
  <c r="AL94" i="100"/>
  <c r="AB106" i="100"/>
  <c r="AA89" i="100"/>
  <c r="Z90" i="100"/>
  <c r="AH90" i="100"/>
  <c r="AG125" i="100"/>
  <c r="AA151" i="100"/>
  <c r="AI151" i="100"/>
  <c r="M163" i="100"/>
  <c r="AH163" i="100" s="1"/>
  <c r="AH171" i="100"/>
  <c r="W12" i="111"/>
  <c r="AE12" i="111"/>
  <c r="AC17" i="111"/>
  <c r="W24" i="111"/>
  <c r="AE24" i="111"/>
  <c r="X31" i="111"/>
  <c r="AF31" i="111"/>
  <c r="X42" i="111"/>
  <c r="AF42" i="111"/>
  <c r="AE46" i="111"/>
  <c r="W48" i="111"/>
  <c r="AE48" i="111"/>
  <c r="W61" i="111"/>
  <c r="AE61" i="111"/>
  <c r="AE62" i="111"/>
  <c r="W63" i="111"/>
  <c r="AE63" i="111"/>
  <c r="Y65" i="111"/>
  <c r="AG65" i="111"/>
  <c r="W66" i="111"/>
  <c r="Y85" i="100"/>
  <c r="AM90" i="100"/>
  <c r="AH94" i="100"/>
  <c r="AJ98" i="100"/>
  <c r="AN112" i="100"/>
  <c r="AE127" i="100"/>
  <c r="AH147" i="100"/>
  <c r="AI158" i="100"/>
  <c r="AH159" i="100"/>
  <c r="AG160" i="100"/>
  <c r="AG34" i="111"/>
  <c r="X43" i="111"/>
  <c r="AF43" i="111"/>
  <c r="X46" i="111"/>
  <c r="AF46" i="111"/>
  <c r="X61" i="111"/>
  <c r="AF61" i="111"/>
  <c r="Z66" i="111"/>
  <c r="AC89" i="100"/>
  <c r="AK89" i="100"/>
  <c r="AI108" i="100"/>
  <c r="AF125" i="100"/>
  <c r="AN142" i="100"/>
  <c r="AG149" i="100"/>
  <c r="AE150" i="100"/>
  <c r="Y164" i="100"/>
  <c r="AA6" i="111"/>
  <c r="AB7" i="111"/>
  <c r="AJ7" i="111"/>
  <c r="AC14" i="111"/>
  <c r="AK14" i="111"/>
  <c r="W18" i="111"/>
  <c r="AE18" i="111"/>
  <c r="AB27" i="111"/>
  <c r="AJ27" i="111"/>
  <c r="AC30" i="111"/>
  <c r="AK30" i="111"/>
  <c r="Z31" i="111"/>
  <c r="AH31" i="111"/>
  <c r="AE35" i="111"/>
  <c r="AG40" i="111"/>
  <c r="Z42" i="111"/>
  <c r="AH42" i="111"/>
  <c r="Y43" i="111"/>
  <c r="AG43" i="111"/>
  <c r="AC47" i="111"/>
  <c r="AK47" i="111"/>
  <c r="W50" i="111"/>
  <c r="Z52" i="111"/>
  <c r="AH52" i="111"/>
  <c r="Y56" i="111"/>
  <c r="AG56" i="111"/>
  <c r="X57" i="111"/>
  <c r="AF57" i="111"/>
  <c r="X62" i="111"/>
  <c r="AF62" i="111"/>
  <c r="AA65" i="111"/>
  <c r="Y66" i="111"/>
  <c r="AG66" i="111"/>
  <c r="AN89" i="100"/>
  <c r="AE92" i="100"/>
  <c r="AM92" i="100"/>
  <c r="Z134" i="100"/>
  <c r="AF133" i="100"/>
  <c r="AE137" i="100"/>
  <c r="AB153" i="100"/>
  <c r="Z12" i="111"/>
  <c r="AH12" i="111"/>
  <c r="Z24" i="111"/>
  <c r="AH24" i="111"/>
  <c r="W26" i="111"/>
  <c r="AA31" i="111"/>
  <c r="AI31" i="111"/>
  <c r="AG32" i="111"/>
  <c r="AA34" i="111"/>
  <c r="AI34" i="111"/>
  <c r="AA42" i="111"/>
  <c r="AI42" i="111"/>
  <c r="AH43" i="111"/>
  <c r="Z46" i="111"/>
  <c r="AH46" i="111"/>
  <c r="Z48" i="111"/>
  <c r="AH48" i="111"/>
  <c r="AA52" i="111"/>
  <c r="AI52" i="111"/>
  <c r="Z61" i="111"/>
  <c r="AH61" i="111"/>
  <c r="Y62" i="111"/>
  <c r="AG62" i="111"/>
  <c r="AB65" i="111"/>
  <c r="AJ65" i="111"/>
  <c r="Z92" i="100"/>
  <c r="AF106" i="100"/>
  <c r="AK109" i="100"/>
  <c r="AD115" i="100"/>
  <c r="AF122" i="100"/>
  <c r="AN122" i="100"/>
  <c r="AE123" i="100"/>
  <c r="AM123" i="100"/>
  <c r="AJ133" i="100"/>
  <c r="AI134" i="100"/>
  <c r="AA154" i="100"/>
  <c r="AI154" i="100"/>
  <c r="AF157" i="100"/>
  <c r="AN160" i="100"/>
  <c r="Z8" i="111"/>
  <c r="AH8" i="111"/>
  <c r="AA12" i="111"/>
  <c r="AI12" i="111"/>
  <c r="AE14" i="111"/>
  <c r="AA24" i="111"/>
  <c r="AI24" i="111"/>
  <c r="W27" i="111"/>
  <c r="AE30" i="111"/>
  <c r="AB31" i="111"/>
  <c r="AJ31" i="111"/>
  <c r="AB34" i="111"/>
  <c r="AJ34" i="111"/>
  <c r="AK41" i="111"/>
  <c r="AA43" i="111"/>
  <c r="AI43" i="111"/>
  <c r="AG44" i="111"/>
  <c r="AA48" i="111"/>
  <c r="AI48" i="111"/>
  <c r="Y49" i="111"/>
  <c r="AG49" i="111"/>
  <c r="W51" i="111"/>
  <c r="Z57" i="111"/>
  <c r="AH57" i="111"/>
  <c r="AA61" i="111"/>
  <c r="AI61" i="111"/>
  <c r="AA63" i="111"/>
  <c r="AI63" i="111"/>
  <c r="AG64" i="111"/>
  <c r="AI127" i="100"/>
  <c r="AE146" i="100"/>
  <c r="AB149" i="100"/>
  <c r="AJ149" i="100"/>
  <c r="AF170" i="100"/>
  <c r="AN170" i="100"/>
  <c r="Z18" i="111"/>
  <c r="AH18" i="111"/>
  <c r="Z25" i="111"/>
  <c r="AH25" i="111"/>
  <c r="Z29" i="111"/>
  <c r="AH29" i="111"/>
  <c r="AC31" i="111"/>
  <c r="AK31" i="111"/>
  <c r="AH35" i="111"/>
  <c r="AC42" i="111"/>
  <c r="AK42" i="111"/>
  <c r="Z67" i="111"/>
  <c r="AK95" i="100"/>
  <c r="AE100" i="100"/>
  <c r="AE108" i="100"/>
  <c r="AM108" i="100"/>
  <c r="AJ141" i="100"/>
  <c r="AN146" i="100"/>
  <c r="AC61" i="111"/>
  <c r="AK61" i="111"/>
  <c r="AC66" i="111"/>
  <c r="AK66" i="111"/>
  <c r="AG68" i="111"/>
  <c r="F12" i="114"/>
  <c r="D12" i="98"/>
  <c r="K13" i="117"/>
  <c r="E9" i="84"/>
  <c r="F9" i="84" s="1"/>
  <c r="E17" i="84"/>
  <c r="N6" i="88"/>
  <c r="L11" i="115"/>
  <c r="K12" i="95"/>
  <c r="K16" i="95"/>
  <c r="N7" i="88"/>
  <c r="N8" i="88"/>
  <c r="N10" i="88"/>
  <c r="E28" i="95"/>
  <c r="S16" i="79"/>
  <c r="S52" i="79"/>
  <c r="S72" i="79"/>
  <c r="S88" i="79"/>
  <c r="S140" i="79"/>
  <c r="K7" i="88"/>
  <c r="K8" i="88"/>
  <c r="K12" i="88"/>
  <c r="E11" i="101"/>
  <c r="L13" i="117"/>
  <c r="E15" i="84"/>
  <c r="F15" i="84" s="1"/>
  <c r="N12" i="88"/>
  <c r="E20" i="117"/>
  <c r="D26" i="117"/>
  <c r="C32" i="117"/>
  <c r="S15" i="79"/>
  <c r="S23" i="79"/>
  <c r="S31" i="79"/>
  <c r="S39" i="79"/>
  <c r="S55" i="79"/>
  <c r="S63" i="79"/>
  <c r="S71" i="79"/>
  <c r="S91" i="79"/>
  <c r="S107" i="79"/>
  <c r="S109" i="79"/>
  <c r="S111" i="79"/>
  <c r="S123" i="79"/>
  <c r="S125" i="79"/>
  <c r="S127" i="79"/>
  <c r="S137" i="79"/>
  <c r="S139" i="79"/>
  <c r="E9" i="88"/>
  <c r="E10" i="88"/>
  <c r="E17" i="88"/>
  <c r="E18" i="88"/>
  <c r="H67" i="81"/>
  <c r="K139" i="87"/>
  <c r="H8" i="88"/>
  <c r="H13" i="88"/>
  <c r="K17" i="95"/>
  <c r="E6" i="84"/>
  <c r="F6" i="84" s="1"/>
  <c r="F17" i="84"/>
  <c r="S141" i="79"/>
  <c r="S143" i="79"/>
  <c r="N11" i="88"/>
  <c r="K13" i="88"/>
  <c r="K14" i="88"/>
  <c r="K15" i="88"/>
  <c r="J139" i="87"/>
  <c r="N14" i="88"/>
  <c r="N15" i="88"/>
  <c r="N16" i="88"/>
  <c r="N18" i="88"/>
  <c r="S4" i="79"/>
  <c r="S6" i="79"/>
  <c r="S8" i="79"/>
  <c r="S96" i="79"/>
  <c r="S98" i="79"/>
  <c r="S100" i="79"/>
  <c r="S108" i="79"/>
  <c r="S110" i="79"/>
  <c r="S116" i="79"/>
  <c r="S132" i="79"/>
  <c r="K27" i="95"/>
  <c r="H9" i="88"/>
  <c r="K26" i="95"/>
  <c r="H16" i="88"/>
  <c r="I11" i="115"/>
  <c r="K34" i="95"/>
  <c r="K10" i="88"/>
  <c r="E13" i="84"/>
  <c r="F13" i="84" s="1"/>
  <c r="E6" i="88"/>
  <c r="S41" i="79"/>
  <c r="S73" i="79"/>
  <c r="K29" i="101"/>
  <c r="G41" i="114"/>
  <c r="G47" i="114" s="1"/>
  <c r="S93" i="79"/>
  <c r="S105" i="79"/>
  <c r="S121" i="79"/>
  <c r="S22" i="79"/>
  <c r="S24" i="79"/>
  <c r="S28" i="79"/>
  <c r="S30" i="79"/>
  <c r="S32" i="79"/>
  <c r="S36" i="79"/>
  <c r="S38" i="79"/>
  <c r="S40" i="79"/>
  <c r="S44" i="79"/>
  <c r="S46" i="79"/>
  <c r="S48" i="79"/>
  <c r="S76" i="79"/>
  <c r="S78" i="79"/>
  <c r="S80" i="79"/>
  <c r="S86" i="79"/>
  <c r="F26" i="117"/>
  <c r="E32" i="117"/>
  <c r="G41" i="98"/>
  <c r="J37" i="81"/>
  <c r="E13" i="95"/>
  <c r="K15" i="95"/>
  <c r="E17" i="95"/>
  <c r="E24" i="95"/>
  <c r="E12" i="88"/>
  <c r="K29" i="95"/>
  <c r="E33" i="95"/>
  <c r="E14" i="84"/>
  <c r="F14" i="84" s="1"/>
  <c r="K9" i="95"/>
  <c r="E30" i="95"/>
  <c r="E7" i="84"/>
  <c r="F7" i="84" s="1"/>
  <c r="E12" i="84"/>
  <c r="F12" i="84" s="1"/>
  <c r="K6" i="88"/>
  <c r="K9" i="88"/>
  <c r="K7" i="95"/>
  <c r="G36" i="101"/>
  <c r="G37" i="101" s="1"/>
  <c r="S92" i="79"/>
  <c r="C24" i="115"/>
  <c r="H16" i="98"/>
  <c r="H28" i="98"/>
  <c r="E12" i="95"/>
  <c r="K13" i="95"/>
  <c r="E16" i="95"/>
  <c r="E23" i="95"/>
  <c r="K25" i="95"/>
  <c r="E32" i="95"/>
  <c r="N9" i="88"/>
  <c r="K11" i="88"/>
  <c r="K16" i="88"/>
  <c r="K32" i="95"/>
  <c r="E11" i="84"/>
  <c r="F11" i="84" s="1"/>
  <c r="E16" i="84"/>
  <c r="F16" i="84" s="1"/>
  <c r="E18" i="84"/>
  <c r="F18" i="84" s="1"/>
  <c r="I139" i="87"/>
  <c r="F13" i="89"/>
  <c r="F14" i="89" s="1"/>
  <c r="H14" i="88"/>
  <c r="E15" i="88"/>
  <c r="K17" i="88"/>
  <c r="K18" i="88"/>
  <c r="I11" i="101"/>
  <c r="S20" i="79"/>
  <c r="S81" i="79"/>
  <c r="S9" i="79"/>
  <c r="E29" i="101"/>
  <c r="F32" i="117"/>
  <c r="E16" i="98"/>
  <c r="K29" i="114"/>
  <c r="N17" i="88"/>
  <c r="C11" i="101"/>
  <c r="S17" i="79"/>
  <c r="S25" i="79"/>
  <c r="S33" i="79"/>
  <c r="S47" i="79"/>
  <c r="S119" i="79"/>
  <c r="S136" i="79"/>
  <c r="J16" i="98"/>
  <c r="H97" i="81"/>
  <c r="I97" i="81" s="1"/>
  <c r="K31" i="95"/>
  <c r="H15" i="88"/>
  <c r="E16" i="88"/>
  <c r="H6" i="88"/>
  <c r="E7" i="88"/>
  <c r="H10" i="88"/>
  <c r="E11" i="88"/>
  <c r="N13" i="88"/>
  <c r="S12" i="79"/>
  <c r="S14" i="79"/>
  <c r="S49" i="79"/>
  <c r="S57" i="79"/>
  <c r="S65" i="79"/>
  <c r="S79" i="79"/>
  <c r="S104" i="79"/>
  <c r="S144" i="79"/>
  <c r="S148" i="79"/>
  <c r="C11" i="115"/>
  <c r="E13" i="117"/>
  <c r="K29" i="98"/>
  <c r="E7" i="95"/>
  <c r="E27" i="95"/>
  <c r="E35" i="95"/>
  <c r="E139" i="87"/>
  <c r="M139" i="87"/>
  <c r="E31" i="95"/>
  <c r="F139" i="87"/>
  <c r="N139" i="87"/>
  <c r="H7" i="88"/>
  <c r="E8" i="88"/>
  <c r="H11" i="88"/>
  <c r="E13" i="88"/>
  <c r="E34" i="95"/>
  <c r="E8" i="84"/>
  <c r="F8" i="84" s="1"/>
  <c r="E10" i="84"/>
  <c r="F10" i="84" s="1"/>
  <c r="H12" i="88"/>
  <c r="E14" i="88"/>
  <c r="H17" i="88"/>
  <c r="H18" i="88"/>
  <c r="S85" i="79"/>
  <c r="S133" i="79"/>
  <c r="S7" i="79"/>
  <c r="S54" i="79"/>
  <c r="S56" i="79"/>
  <c r="S60" i="79"/>
  <c r="S62" i="79"/>
  <c r="S64" i="79"/>
  <c r="S68" i="79"/>
  <c r="S70" i="79"/>
  <c r="S99" i="79"/>
  <c r="S103" i="79"/>
  <c r="S120" i="79"/>
  <c r="S124" i="79"/>
  <c r="S149" i="79"/>
  <c r="S151" i="79"/>
  <c r="S153" i="79"/>
  <c r="E14" i="95"/>
  <c r="E18" i="95"/>
  <c r="K23" i="95"/>
  <c r="E25" i="95"/>
  <c r="K28" i="95"/>
  <c r="G74" i="105"/>
  <c r="S5" i="79"/>
  <c r="S11" i="79"/>
  <c r="S26" i="79"/>
  <c r="S37" i="79"/>
  <c r="S43" i="79"/>
  <c r="S58" i="79"/>
  <c r="S94" i="79"/>
  <c r="S135" i="79"/>
  <c r="S13" i="79"/>
  <c r="S19" i="79"/>
  <c r="S34" i="79"/>
  <c r="S45" i="79"/>
  <c r="S51" i="79"/>
  <c r="S66" i="79"/>
  <c r="S77" i="79"/>
  <c r="S83" i="79"/>
  <c r="S87" i="79"/>
  <c r="S102" i="79"/>
  <c r="S113" i="79"/>
  <c r="S115" i="79"/>
  <c r="S126" i="79"/>
  <c r="S152" i="79"/>
  <c r="S10" i="79"/>
  <c r="S21" i="79"/>
  <c r="S27" i="79"/>
  <c r="S42" i="79"/>
  <c r="S53" i="79"/>
  <c r="S59" i="79"/>
  <c r="S74" i="79"/>
  <c r="S89" i="79"/>
  <c r="S95" i="79"/>
  <c r="S117" i="79"/>
  <c r="S128" i="79"/>
  <c r="S134" i="79"/>
  <c r="S145" i="79"/>
  <c r="S147" i="79"/>
  <c r="S3" i="79"/>
  <c r="S18" i="79"/>
  <c r="S29" i="79"/>
  <c r="S35" i="79"/>
  <c r="S50" i="79"/>
  <c r="S61" i="79"/>
  <c r="S67" i="79"/>
  <c r="S82" i="79"/>
  <c r="S84" i="79"/>
  <c r="S97" i="79"/>
  <c r="C13" i="117"/>
  <c r="AF23" i="100"/>
  <c r="AN23" i="100"/>
  <c r="AC25" i="100"/>
  <c r="AK25" i="100"/>
  <c r="Y28" i="100"/>
  <c r="AG28" i="100"/>
  <c r="AD31" i="100"/>
  <c r="AL31" i="100"/>
  <c r="AE36" i="100"/>
  <c r="AM36" i="100"/>
  <c r="AB39" i="100"/>
  <c r="AJ39" i="100"/>
  <c r="AD43" i="100"/>
  <c r="AL43" i="100"/>
  <c r="AF47" i="100"/>
  <c r="AN47" i="100"/>
  <c r="AC49" i="100"/>
  <c r="AK49" i="100"/>
  <c r="AI51" i="100"/>
  <c r="AC65" i="100"/>
  <c r="AK65" i="100"/>
  <c r="AD89" i="100"/>
  <c r="AD94" i="100"/>
  <c r="AI92" i="100"/>
  <c r="AJ139" i="100"/>
  <c r="Z141" i="100"/>
  <c r="AH141" i="100"/>
  <c r="AE142" i="100"/>
  <c r="AM143" i="100"/>
  <c r="Z146" i="100"/>
  <c r="AB152" i="100"/>
  <c r="AC155" i="100"/>
  <c r="AB156" i="100"/>
  <c r="AK33" i="111"/>
  <c r="Y35" i="111"/>
  <c r="AG35" i="111"/>
  <c r="X51" i="111"/>
  <c r="AF51" i="111"/>
  <c r="E22" i="114"/>
  <c r="G22" i="114" s="1"/>
  <c r="AD65" i="100"/>
  <c r="AL65" i="100"/>
  <c r="AC93" i="100"/>
  <c r="AK93" i="100"/>
  <c r="AF149" i="100"/>
  <c r="AN152" i="100"/>
  <c r="AG153" i="100"/>
  <c r="Z35" i="111"/>
  <c r="D24" i="115"/>
  <c r="C30" i="115"/>
  <c r="C20" i="117"/>
  <c r="Z8" i="100"/>
  <c r="AH8" i="100"/>
  <c r="Y9" i="100"/>
  <c r="AG9" i="100"/>
  <c r="AD12" i="100"/>
  <c r="AL12" i="100"/>
  <c r="AC13" i="100"/>
  <c r="AK13" i="100"/>
  <c r="Z16" i="100"/>
  <c r="AH16" i="100"/>
  <c r="Y17" i="100"/>
  <c r="AG17" i="100"/>
  <c r="AE19" i="100"/>
  <c r="AM19" i="100"/>
  <c r="Z23" i="100"/>
  <c r="AH23" i="100"/>
  <c r="AF31" i="100"/>
  <c r="AN31" i="100"/>
  <c r="AC33" i="100"/>
  <c r="AK33" i="100"/>
  <c r="AD39" i="100"/>
  <c r="AL39" i="100"/>
  <c r="AA40" i="100"/>
  <c r="AI40" i="100"/>
  <c r="AF43" i="100"/>
  <c r="AN43" i="100"/>
  <c r="AC44" i="100"/>
  <c r="AK44" i="100"/>
  <c r="Z47" i="100"/>
  <c r="AH47" i="100"/>
  <c r="AM84" i="100"/>
  <c r="AF88" i="100"/>
  <c r="AA92" i="100"/>
  <c r="AA99" i="100"/>
  <c r="AH106" i="100"/>
  <c r="AL115" i="100"/>
  <c r="AG136" i="100"/>
  <c r="AF137" i="100"/>
  <c r="AA147" i="100"/>
  <c r="AI147" i="100"/>
  <c r="AH148" i="100"/>
  <c r="Y152" i="100"/>
  <c r="AC159" i="100"/>
  <c r="W11" i="111"/>
  <c r="W16" i="111"/>
  <c r="AE16" i="111"/>
  <c r="AA26" i="111"/>
  <c r="W28" i="111"/>
  <c r="AE28" i="111"/>
  <c r="AA35" i="111"/>
  <c r="AI35" i="111"/>
  <c r="AH51" i="111"/>
  <c r="AG52" i="111"/>
  <c r="M37" i="81"/>
  <c r="D11" i="115"/>
  <c r="E24" i="115"/>
  <c r="D30" i="115"/>
  <c r="F13" i="117"/>
  <c r="D20" i="117"/>
  <c r="C26" i="117"/>
  <c r="E22" i="98"/>
  <c r="G22" i="98" s="1"/>
  <c r="AI47" i="100"/>
  <c r="AD51" i="100"/>
  <c r="AL51" i="100"/>
  <c r="AF55" i="100"/>
  <c r="AN55" i="100"/>
  <c r="Y89" i="100"/>
  <c r="AG89" i="100"/>
  <c r="AA100" i="100"/>
  <c r="AI100" i="100"/>
  <c r="AN104" i="100"/>
  <c r="AE124" i="100"/>
  <c r="AM124" i="100"/>
  <c r="AD127" i="100"/>
  <c r="AL127" i="100"/>
  <c r="Y129" i="100"/>
  <c r="AG129" i="100"/>
  <c r="AB134" i="100"/>
  <c r="AJ136" i="100"/>
  <c r="AF138" i="100"/>
  <c r="AN138" i="100"/>
  <c r="AC146" i="100"/>
  <c r="Z149" i="100"/>
  <c r="AH149" i="100"/>
  <c r="X11" i="111"/>
  <c r="AF11" i="111"/>
  <c r="AE11" i="111"/>
  <c r="X26" i="111"/>
  <c r="AF26" i="111"/>
  <c r="AE26" i="111"/>
  <c r="AA51" i="111"/>
  <c r="AI51" i="111"/>
  <c r="Z58" i="111"/>
  <c r="AH58" i="111"/>
  <c r="W59" i="111"/>
  <c r="AE59" i="111"/>
  <c r="AA67" i="111"/>
  <c r="AI67" i="111"/>
  <c r="E11" i="115"/>
  <c r="F24" i="115"/>
  <c r="E30" i="115"/>
  <c r="AB23" i="100"/>
  <c r="AJ23" i="100"/>
  <c r="Z24" i="100"/>
  <c r="AH24" i="100"/>
  <c r="AE27" i="100"/>
  <c r="AM27" i="100"/>
  <c r="AC28" i="100"/>
  <c r="AK28" i="100"/>
  <c r="Z31" i="100"/>
  <c r="AH31" i="100"/>
  <c r="AI31" i="100"/>
  <c r="AA36" i="100"/>
  <c r="AI36" i="100"/>
  <c r="AF39" i="100"/>
  <c r="AN39" i="100"/>
  <c r="AC40" i="100"/>
  <c r="AK40" i="100"/>
  <c r="Z43" i="100"/>
  <c r="AH43" i="100"/>
  <c r="AE44" i="100"/>
  <c r="AM44" i="100"/>
  <c r="AB47" i="100"/>
  <c r="AJ47" i="100"/>
  <c r="Z48" i="100"/>
  <c r="AH48" i="100"/>
  <c r="AE51" i="100"/>
  <c r="AM51" i="100"/>
  <c r="AC57" i="100"/>
  <c r="AK57" i="100"/>
  <c r="Y65" i="100"/>
  <c r="AG65" i="100"/>
  <c r="Y84" i="100"/>
  <c r="AG84" i="100"/>
  <c r="AB92" i="100"/>
  <c r="AE105" i="100"/>
  <c r="AM105" i="100"/>
  <c r="Y130" i="100"/>
  <c r="AG130" i="100"/>
  <c r="AE132" i="100"/>
  <c r="AM132" i="100"/>
  <c r="AL152" i="100"/>
  <c r="Y168" i="100"/>
  <c r="AD170" i="100"/>
  <c r="AE6" i="111"/>
  <c r="AH11" i="111"/>
  <c r="Y26" i="111"/>
  <c r="AG26" i="111"/>
  <c r="AI26" i="111"/>
  <c r="AA58" i="111"/>
  <c r="AI58" i="111"/>
  <c r="AG60" i="111"/>
  <c r="F30" i="115"/>
  <c r="F20" i="117"/>
  <c r="E26" i="117"/>
  <c r="D32" i="117"/>
  <c r="M15" i="98"/>
  <c r="Z65" i="100"/>
  <c r="AH65" i="100"/>
  <c r="H163" i="100"/>
  <c r="AC163" i="100" s="1"/>
  <c r="H162" i="100"/>
  <c r="S69" i="79"/>
  <c r="S75" i="79"/>
  <c r="S90" i="79"/>
  <c r="S101" i="79"/>
  <c r="S112" i="79"/>
  <c r="S118" i="79"/>
  <c r="S129" i="79"/>
  <c r="S131" i="79"/>
  <c r="S142" i="79"/>
  <c r="AE7" i="100"/>
  <c r="AM7" i="100"/>
  <c r="AD8" i="100"/>
  <c r="AL8" i="100"/>
  <c r="AC9" i="100"/>
  <c r="AK9" i="100"/>
  <c r="AA11" i="100"/>
  <c r="AI11" i="100"/>
  <c r="Z12" i="100"/>
  <c r="AH12" i="100"/>
  <c r="Y13" i="100"/>
  <c r="AG13" i="100"/>
  <c r="AE15" i="100"/>
  <c r="AM15" i="100"/>
  <c r="AD16" i="100"/>
  <c r="AL16" i="100"/>
  <c r="AC17" i="100"/>
  <c r="AK17" i="100"/>
  <c r="AA19" i="100"/>
  <c r="Y20" i="100"/>
  <c r="AG20" i="100"/>
  <c r="AD23" i="100"/>
  <c r="AL23" i="100"/>
  <c r="AE28" i="100"/>
  <c r="AM28" i="100"/>
  <c r="Z32" i="100"/>
  <c r="AH32" i="100"/>
  <c r="AC36" i="100"/>
  <c r="AK36" i="100"/>
  <c r="AE40" i="100"/>
  <c r="AM40" i="100"/>
  <c r="Y44" i="100"/>
  <c r="AG44" i="100"/>
  <c r="AC53" i="100"/>
  <c r="AK53" i="100"/>
  <c r="AA65" i="100"/>
  <c r="AA84" i="100"/>
  <c r="AI84" i="100"/>
  <c r="AL87" i="100"/>
  <c r="AI90" i="100"/>
  <c r="Y94" i="100"/>
  <c r="AG94" i="100"/>
  <c r="AC121" i="100"/>
  <c r="AK121" i="100"/>
  <c r="AE145" i="100"/>
  <c r="AE147" i="100"/>
  <c r="AD148" i="100"/>
  <c r="AL148" i="100"/>
  <c r="AC149" i="100"/>
  <c r="AC151" i="100"/>
  <c r="AA11" i="111"/>
  <c r="AI11" i="111"/>
  <c r="AA16" i="111"/>
  <c r="AI16" i="111"/>
  <c r="W35" i="111"/>
  <c r="AF7" i="100"/>
  <c r="AN7" i="100"/>
  <c r="AB11" i="100"/>
  <c r="AJ11" i="100"/>
  <c r="AF15" i="100"/>
  <c r="AN15" i="100"/>
  <c r="AB19" i="100"/>
  <c r="AJ19" i="100"/>
  <c r="Z20" i="100"/>
  <c r="AH20" i="100"/>
  <c r="AE23" i="100"/>
  <c r="AM23" i="100"/>
  <c r="AC24" i="100"/>
  <c r="AK24" i="100"/>
  <c r="AM100" i="100"/>
  <c r="AC109" i="100"/>
  <c r="AB131" i="100"/>
  <c r="Y133" i="100"/>
  <c r="AN158" i="100"/>
  <c r="AL160" i="100"/>
  <c r="AA59" i="111"/>
  <c r="AI59" i="111"/>
  <c r="Z84" i="100"/>
  <c r="AH84" i="100"/>
  <c r="AB112" i="100"/>
  <c r="AA124" i="100"/>
  <c r="AI124" i="100"/>
  <c r="Z127" i="100"/>
  <c r="AH127" i="100"/>
  <c r="AE133" i="100"/>
  <c r="AE151" i="100"/>
  <c r="AM149" i="100"/>
  <c r="AA153" i="100"/>
  <c r="AD157" i="100"/>
  <c r="AL157" i="100"/>
  <c r="AA159" i="100"/>
  <c r="AB170" i="100"/>
  <c r="AJ170" i="100"/>
  <c r="AC6" i="111"/>
  <c r="AK6" i="111"/>
  <c r="AB11" i="111"/>
  <c r="AJ11" i="111"/>
  <c r="Z26" i="111"/>
  <c r="AH26" i="111"/>
  <c r="Y51" i="111"/>
  <c r="AG51" i="111"/>
  <c r="AC58" i="111"/>
  <c r="AK58" i="111"/>
  <c r="AC84" i="100"/>
  <c r="AK84" i="100"/>
  <c r="AE89" i="100"/>
  <c r="AD90" i="100"/>
  <c r="AL90" i="100"/>
  <c r="Y109" i="100"/>
  <c r="AJ112" i="100"/>
  <c r="Y122" i="100"/>
  <c r="AG122" i="100"/>
  <c r="AF134" i="100"/>
  <c r="AN134" i="100"/>
  <c r="AM135" i="100"/>
  <c r="AC137" i="100"/>
  <c r="AK139" i="100"/>
  <c r="AB138" i="100"/>
  <c r="AJ140" i="100"/>
  <c r="AD153" i="100"/>
  <c r="AL153" i="100"/>
  <c r="AA155" i="100"/>
  <c r="AE158" i="100"/>
  <c r="AJ167" i="100"/>
  <c r="AC26" i="111"/>
  <c r="AK26" i="111"/>
  <c r="AE50" i="111"/>
  <c r="W52" i="111"/>
  <c r="AE52" i="111"/>
  <c r="X58" i="111"/>
  <c r="AF58" i="111"/>
  <c r="Y156" i="100"/>
  <c r="Y153" i="100"/>
  <c r="F162" i="100"/>
  <c r="Y161" i="100"/>
  <c r="G167" i="100"/>
  <c r="G166" i="100"/>
  <c r="P167" i="100"/>
  <c r="P166" i="100"/>
  <c r="AG67" i="111"/>
  <c r="AH67" i="111"/>
  <c r="AN125" i="100"/>
  <c r="AM128" i="100"/>
  <c r="AD129" i="100"/>
  <c r="AL129" i="100"/>
  <c r="AC130" i="100"/>
  <c r="AK130" i="100"/>
  <c r="AJ131" i="100"/>
  <c r="AC135" i="100"/>
  <c r="AB136" i="100"/>
  <c r="AA137" i="100"/>
  <c r="AI138" i="100"/>
  <c r="Z138" i="100"/>
  <c r="AN139" i="100"/>
  <c r="AD141" i="100"/>
  <c r="AL141" i="100"/>
  <c r="AA142" i="100"/>
  <c r="AI142" i="100"/>
  <c r="AG144" i="100"/>
  <c r="AF145" i="100"/>
  <c r="AN148" i="100"/>
  <c r="AA149" i="100"/>
  <c r="AI150" i="100"/>
  <c r="AI149" i="100"/>
  <c r="AN150" i="100"/>
  <c r="Z153" i="100"/>
  <c r="AH153" i="100"/>
  <c r="AE154" i="100"/>
  <c r="AB157" i="100"/>
  <c r="AJ157" i="100"/>
  <c r="Z6" i="111"/>
  <c r="AH6" i="111"/>
  <c r="AC9" i="111"/>
  <c r="AB10" i="111"/>
  <c r="AJ10" i="111"/>
  <c r="Y11" i="111"/>
  <c r="AG11" i="111"/>
  <c r="Z15" i="111"/>
  <c r="AH15" i="111"/>
  <c r="Y18" i="111"/>
  <c r="AG18" i="111"/>
  <c r="AC23" i="111"/>
  <c r="AK23" i="111"/>
  <c r="Z28" i="111"/>
  <c r="AH28" i="111"/>
  <c r="AA32" i="111"/>
  <c r="AI32" i="111"/>
  <c r="X34" i="111"/>
  <c r="AF34" i="111"/>
  <c r="AB35" i="111"/>
  <c r="AJ35" i="111"/>
  <c r="AC43" i="111"/>
  <c r="AK43" i="111"/>
  <c r="AF45" i="111"/>
  <c r="AC46" i="111"/>
  <c r="AK46" i="111"/>
  <c r="Y47" i="111"/>
  <c r="AG47" i="111"/>
  <c r="AC51" i="111"/>
  <c r="AK51" i="111"/>
  <c r="AF56" i="111"/>
  <c r="AC57" i="111"/>
  <c r="AK57" i="111"/>
  <c r="Y58" i="111"/>
  <c r="AG58" i="111"/>
  <c r="AC62" i="111"/>
  <c r="AK62" i="111"/>
  <c r="AB66" i="111"/>
  <c r="AJ66" i="111"/>
  <c r="E10" i="95"/>
  <c r="AB7" i="100"/>
  <c r="AJ7" i="100"/>
  <c r="AF11" i="100"/>
  <c r="AN11" i="100"/>
  <c r="AB15" i="100"/>
  <c r="AJ15" i="100"/>
  <c r="AF19" i="100"/>
  <c r="AN19" i="100"/>
  <c r="AD20" i="100"/>
  <c r="AC21" i="100"/>
  <c r="AK21" i="100"/>
  <c r="Y24" i="100"/>
  <c r="AG24" i="100"/>
  <c r="AD27" i="100"/>
  <c r="AL27" i="100"/>
  <c r="Y33" i="100"/>
  <c r="AE32" i="100"/>
  <c r="AM32" i="100"/>
  <c r="AB35" i="100"/>
  <c r="AJ35" i="100"/>
  <c r="AE39" i="100"/>
  <c r="AM39" i="100"/>
  <c r="Y45" i="100"/>
  <c r="AC45" i="100"/>
  <c r="AK45" i="100"/>
  <c r="Z52" i="100"/>
  <c r="AH52" i="100"/>
  <c r="AE55" i="100"/>
  <c r="AM55" i="100"/>
  <c r="AE65" i="100"/>
  <c r="AM65" i="100"/>
  <c r="AD84" i="100"/>
  <c r="AC94" i="100"/>
  <c r="Y97" i="100"/>
  <c r="AG97" i="100"/>
  <c r="AF98" i="100"/>
  <c r="AM99" i="100"/>
  <c r="AH115" i="100"/>
  <c r="AF126" i="100"/>
  <c r="AB125" i="100"/>
  <c r="AJ125" i="100"/>
  <c r="AA135" i="100"/>
  <c r="AC143" i="100"/>
  <c r="AB144" i="100"/>
  <c r="AA145" i="100"/>
  <c r="AI146" i="100"/>
  <c r="Y146" i="100"/>
  <c r="AG146" i="100"/>
  <c r="AD149" i="100"/>
  <c r="AL149" i="100"/>
  <c r="AC153" i="100"/>
  <c r="AK155" i="100"/>
  <c r="Z154" i="100"/>
  <c r="AC158" i="100"/>
  <c r="AK158" i="100"/>
  <c r="W8" i="111"/>
  <c r="AE8" i="111"/>
  <c r="Z10" i="111"/>
  <c r="AH10" i="111"/>
  <c r="AC11" i="111"/>
  <c r="AK11" i="111"/>
  <c r="AG12" i="111"/>
  <c r="Y14" i="111"/>
  <c r="AG14" i="111"/>
  <c r="AB15" i="111"/>
  <c r="AJ15" i="111"/>
  <c r="Z17" i="111"/>
  <c r="AH17" i="111"/>
  <c r="X18" i="111"/>
  <c r="AF18" i="111"/>
  <c r="AA23" i="111"/>
  <c r="AI23" i="111"/>
  <c r="AA28" i="111"/>
  <c r="AI28" i="111"/>
  <c r="Y31" i="111"/>
  <c r="AG31" i="111"/>
  <c r="Z32" i="111"/>
  <c r="AH32" i="111"/>
  <c r="AC34" i="111"/>
  <c r="AK34" i="111"/>
  <c r="X35" i="111"/>
  <c r="AF35" i="111"/>
  <c r="AC41" i="111"/>
  <c r="AB42" i="111"/>
  <c r="AJ42" i="111"/>
  <c r="AB46" i="111"/>
  <c r="AJ46" i="111"/>
  <c r="AB50" i="111"/>
  <c r="AJ50" i="111"/>
  <c r="AB57" i="111"/>
  <c r="AJ57" i="111"/>
  <c r="AB61" i="111"/>
  <c r="AJ61" i="111"/>
  <c r="AG63" i="111"/>
  <c r="X65" i="111"/>
  <c r="AF65" i="111"/>
  <c r="H37" i="81"/>
  <c r="E67" i="81"/>
  <c r="E8" i="95"/>
  <c r="K11" i="95"/>
  <c r="K8" i="95"/>
  <c r="Z158" i="100"/>
  <c r="Y172" i="100"/>
  <c r="AG172" i="100"/>
  <c r="X6" i="111"/>
  <c r="AF6" i="111"/>
  <c r="Y15" i="111"/>
  <c r="AG15" i="111"/>
  <c r="Z16" i="111"/>
  <c r="AH16" i="111"/>
  <c r="AC18" i="111"/>
  <c r="AK18" i="111"/>
  <c r="X23" i="111"/>
  <c r="AF23" i="111"/>
  <c r="AB26" i="111"/>
  <c r="AJ26" i="111"/>
  <c r="W32" i="111"/>
  <c r="AE32" i="111"/>
  <c r="Z34" i="111"/>
  <c r="AH34" i="111"/>
  <c r="AC35" i="111"/>
  <c r="AK35" i="111"/>
  <c r="Y42" i="111"/>
  <c r="AG42" i="111"/>
  <c r="AB43" i="111"/>
  <c r="AJ43" i="111"/>
  <c r="Z45" i="111"/>
  <c r="AH45" i="111"/>
  <c r="Y46" i="111"/>
  <c r="AG46" i="111"/>
  <c r="AB47" i="111"/>
  <c r="AJ47" i="111"/>
  <c r="Z49" i="111"/>
  <c r="AH49" i="111"/>
  <c r="Y50" i="111"/>
  <c r="AG50" i="111"/>
  <c r="AB51" i="111"/>
  <c r="AJ51" i="111"/>
  <c r="Z56" i="111"/>
  <c r="AH56" i="111"/>
  <c r="Y57" i="111"/>
  <c r="AG57" i="111"/>
  <c r="AB58" i="111"/>
  <c r="AJ58" i="111"/>
  <c r="Z60" i="111"/>
  <c r="AH60" i="111"/>
  <c r="Y61" i="111"/>
  <c r="AG61" i="111"/>
  <c r="AB62" i="111"/>
  <c r="AJ62" i="111"/>
  <c r="AC65" i="111"/>
  <c r="AK65" i="111"/>
  <c r="X66" i="111"/>
  <c r="AF66" i="111"/>
  <c r="W67" i="111"/>
  <c r="AE67" i="111"/>
  <c r="Z68" i="111"/>
  <c r="AH68" i="111"/>
  <c r="E37" i="81"/>
  <c r="K67" i="81"/>
  <c r="E16" i="114"/>
  <c r="J16" i="114"/>
  <c r="H29" i="114"/>
  <c r="AE35" i="100"/>
  <c r="AM35" i="100"/>
  <c r="AI35" i="100"/>
  <c r="AC37" i="100"/>
  <c r="AK37" i="100"/>
  <c r="AI66" i="100"/>
  <c r="Z69" i="100"/>
  <c r="AI69" i="100"/>
  <c r="AE8" i="100"/>
  <c r="AM8" i="100"/>
  <c r="AD9" i="100"/>
  <c r="AL9" i="100"/>
  <c r="Y10" i="100"/>
  <c r="AC10" i="100"/>
  <c r="AG10" i="100"/>
  <c r="AK10" i="100"/>
  <c r="AA12" i="100"/>
  <c r="AE12" i="100"/>
  <c r="AI12" i="100"/>
  <c r="AM12" i="100"/>
  <c r="Z13" i="100"/>
  <c r="AD13" i="100"/>
  <c r="AH13" i="100"/>
  <c r="AL13" i="100"/>
  <c r="Y14" i="100"/>
  <c r="AC14" i="100"/>
  <c r="AG14" i="100"/>
  <c r="AK14" i="100"/>
  <c r="AA16" i="100"/>
  <c r="AE16" i="100"/>
  <c r="AI16" i="100"/>
  <c r="AM16" i="100"/>
  <c r="Z17" i="100"/>
  <c r="AD17" i="100"/>
  <c r="AH17" i="100"/>
  <c r="AL17" i="100"/>
  <c r="Y18" i="100"/>
  <c r="AC18" i="100"/>
  <c r="AG18" i="100"/>
  <c r="AK18" i="100"/>
  <c r="AA20" i="100"/>
  <c r="AE20" i="100"/>
  <c r="AI20" i="100"/>
  <c r="AM20" i="100"/>
  <c r="Z21" i="100"/>
  <c r="AD21" i="100"/>
  <c r="AH21" i="100"/>
  <c r="AL21" i="100"/>
  <c r="Y21" i="100"/>
  <c r="Y22" i="100"/>
  <c r="AC22" i="100"/>
  <c r="AG22" i="100"/>
  <c r="AK22" i="100"/>
  <c r="AD24" i="100"/>
  <c r="Z25" i="100"/>
  <c r="AD25" i="100"/>
  <c r="AH25" i="100"/>
  <c r="AL25" i="100"/>
  <c r="Y26" i="100"/>
  <c r="AC26" i="100"/>
  <c r="AG26" i="100"/>
  <c r="AK26" i="100"/>
  <c r="AD28" i="100"/>
  <c r="Z29" i="100"/>
  <c r="AD29" i="100"/>
  <c r="AH29" i="100"/>
  <c r="AL29" i="100"/>
  <c r="Y30" i="100"/>
  <c r="AC30" i="100"/>
  <c r="AG30" i="100"/>
  <c r="AK30" i="100"/>
  <c r="AD32" i="100"/>
  <c r="Z33" i="100"/>
  <c r="AD33" i="100"/>
  <c r="AH33" i="100"/>
  <c r="AL33" i="100"/>
  <c r="Y34" i="100"/>
  <c r="AC34" i="100"/>
  <c r="AG34" i="100"/>
  <c r="AK34" i="100"/>
  <c r="AG36" i="100"/>
  <c r="AG37" i="100"/>
  <c r="Z37" i="100"/>
  <c r="AD37" i="100"/>
  <c r="AA66" i="100"/>
  <c r="AG74" i="100"/>
  <c r="AA69" i="100"/>
  <c r="AG69" i="100"/>
  <c r="AA8" i="100"/>
  <c r="AI8" i="100"/>
  <c r="Z9" i="100"/>
  <c r="AH9" i="100"/>
  <c r="Y7" i="100"/>
  <c r="AC7" i="100"/>
  <c r="AG7" i="100"/>
  <c r="AK7" i="100"/>
  <c r="AB8" i="100"/>
  <c r="AF8" i="100"/>
  <c r="AJ8" i="100"/>
  <c r="AN8" i="100"/>
  <c r="AA9" i="100"/>
  <c r="AE9" i="100"/>
  <c r="AI9" i="100"/>
  <c r="AM9" i="100"/>
  <c r="Z10" i="100"/>
  <c r="AD10" i="100"/>
  <c r="AH10" i="100"/>
  <c r="AL10" i="100"/>
  <c r="Y11" i="100"/>
  <c r="AC11" i="100"/>
  <c r="AG11" i="100"/>
  <c r="AK11" i="100"/>
  <c r="AB12" i="100"/>
  <c r="AF12" i="100"/>
  <c r="AJ12" i="100"/>
  <c r="AN12" i="100"/>
  <c r="AA13" i="100"/>
  <c r="AE13" i="100"/>
  <c r="AI13" i="100"/>
  <c r="AM13" i="100"/>
  <c r="Z14" i="100"/>
  <c r="AD14" i="100"/>
  <c r="AH14" i="100"/>
  <c r="AL14" i="100"/>
  <c r="Y15" i="100"/>
  <c r="AC15" i="100"/>
  <c r="AG15" i="100"/>
  <c r="AK15" i="100"/>
  <c r="AB16" i="100"/>
  <c r="AF16" i="100"/>
  <c r="AJ16" i="100"/>
  <c r="AN16" i="100"/>
  <c r="AA17" i="100"/>
  <c r="AE17" i="100"/>
  <c r="AI17" i="100"/>
  <c r="AM17" i="100"/>
  <c r="Z18" i="100"/>
  <c r="AD18" i="100"/>
  <c r="AH18" i="100"/>
  <c r="AL18" i="100"/>
  <c r="Y19" i="100"/>
  <c r="AC19" i="100"/>
  <c r="AG19" i="100"/>
  <c r="AK19" i="100"/>
  <c r="AB20" i="100"/>
  <c r="AF20" i="100"/>
  <c r="AJ20" i="100"/>
  <c r="AN20" i="100"/>
  <c r="AA21" i="100"/>
  <c r="AE21" i="100"/>
  <c r="AI21" i="100"/>
  <c r="AM21" i="100"/>
  <c r="Z22" i="100"/>
  <c r="AD22" i="100"/>
  <c r="AH22" i="100"/>
  <c r="AL22" i="100"/>
  <c r="Y23" i="100"/>
  <c r="AC23" i="100"/>
  <c r="AG23" i="100"/>
  <c r="AK23" i="100"/>
  <c r="AB24" i="100"/>
  <c r="AF24" i="100"/>
  <c r="AJ24" i="100"/>
  <c r="AN24" i="100"/>
  <c r="AA25" i="100"/>
  <c r="AE25" i="100"/>
  <c r="AI25" i="100"/>
  <c r="AM25" i="100"/>
  <c r="Z26" i="100"/>
  <c r="AD26" i="100"/>
  <c r="AH26" i="100"/>
  <c r="AL26" i="100"/>
  <c r="Y27" i="100"/>
  <c r="AC27" i="100"/>
  <c r="AG27" i="100"/>
  <c r="AK27" i="100"/>
  <c r="AB28" i="100"/>
  <c r="AF28" i="100"/>
  <c r="AJ28" i="100"/>
  <c r="AN28" i="100"/>
  <c r="AA29" i="100"/>
  <c r="AE29" i="100"/>
  <c r="AI29" i="100"/>
  <c r="AM29" i="100"/>
  <c r="Z30" i="100"/>
  <c r="AD30" i="100"/>
  <c r="AH30" i="100"/>
  <c r="AL30" i="100"/>
  <c r="Y31" i="100"/>
  <c r="AC31" i="100"/>
  <c r="AG31" i="100"/>
  <c r="AK31" i="100"/>
  <c r="AB32" i="100"/>
  <c r="AF32" i="100"/>
  <c r="AJ32" i="100"/>
  <c r="AN32" i="100"/>
  <c r="AA33" i="100"/>
  <c r="AE33" i="100"/>
  <c r="AI33" i="100"/>
  <c r="AM33" i="100"/>
  <c r="Z34" i="100"/>
  <c r="AD34" i="100"/>
  <c r="Y37" i="100"/>
  <c r="Z36" i="100"/>
  <c r="AH36" i="100"/>
  <c r="AD36" i="100"/>
  <c r="AE66" i="100"/>
  <c r="AA68" i="100"/>
  <c r="AI68" i="100"/>
  <c r="AM68" i="100"/>
  <c r="AB69" i="100"/>
  <c r="AE69" i="100"/>
  <c r="AM69" i="100"/>
  <c r="AB9" i="100"/>
  <c r="AF9" i="100"/>
  <c r="AJ9" i="100"/>
  <c r="AN9" i="100"/>
  <c r="AA10" i="100"/>
  <c r="AE10" i="100"/>
  <c r="AI10" i="100"/>
  <c r="AM10" i="100"/>
  <c r="AB13" i="100"/>
  <c r="AF13" i="100"/>
  <c r="AJ13" i="100"/>
  <c r="AN13" i="100"/>
  <c r="AA14" i="100"/>
  <c r="AE14" i="100"/>
  <c r="AI14" i="100"/>
  <c r="AM14" i="100"/>
  <c r="AB17" i="100"/>
  <c r="AF17" i="100"/>
  <c r="AJ17" i="100"/>
  <c r="AN17" i="100"/>
  <c r="AA18" i="100"/>
  <c r="AE18" i="100"/>
  <c r="AI18" i="100"/>
  <c r="AM18" i="100"/>
  <c r="AL20" i="100"/>
  <c r="AB21" i="100"/>
  <c r="AF21" i="100"/>
  <c r="AJ21" i="100"/>
  <c r="AN21" i="100"/>
  <c r="AG21" i="100"/>
  <c r="AA22" i="100"/>
  <c r="AE22" i="100"/>
  <c r="AI22" i="100"/>
  <c r="AM22" i="100"/>
  <c r="AA23" i="100"/>
  <c r="AL24" i="100"/>
  <c r="AB25" i="100"/>
  <c r="AF25" i="100"/>
  <c r="AJ25" i="100"/>
  <c r="AN25" i="100"/>
  <c r="AG25" i="100"/>
  <c r="AA26" i="100"/>
  <c r="AE26" i="100"/>
  <c r="AI26" i="100"/>
  <c r="AM26" i="100"/>
  <c r="AA27" i="100"/>
  <c r="AL28" i="100"/>
  <c r="AB29" i="100"/>
  <c r="AF29" i="100"/>
  <c r="AJ29" i="100"/>
  <c r="AN29" i="100"/>
  <c r="AG29" i="100"/>
  <c r="AA30" i="100"/>
  <c r="AE30" i="100"/>
  <c r="AI30" i="100"/>
  <c r="AM30" i="100"/>
  <c r="AA31" i="100"/>
  <c r="AL32" i="100"/>
  <c r="AB33" i="100"/>
  <c r="AF33" i="100"/>
  <c r="AJ33" i="100"/>
  <c r="AN33" i="100"/>
  <c r="AG33" i="100"/>
  <c r="AA34" i="100"/>
  <c r="AE34" i="100"/>
  <c r="AI34" i="100"/>
  <c r="AM34" i="100"/>
  <c r="AL36" i="100"/>
  <c r="AB37" i="100"/>
  <c r="Y74" i="100"/>
  <c r="AC74" i="100"/>
  <c r="AK74" i="100"/>
  <c r="Y69" i="100"/>
  <c r="AC69" i="100"/>
  <c r="AK69" i="100"/>
  <c r="AK71" i="100"/>
  <c r="AA67" i="100"/>
  <c r="AE67" i="100"/>
  <c r="AI67" i="100"/>
  <c r="AM67" i="100"/>
  <c r="Z68" i="100"/>
  <c r="AD68" i="100"/>
  <c r="AH68" i="100"/>
  <c r="AL68" i="100"/>
  <c r="AE68" i="100"/>
  <c r="Y70" i="100"/>
  <c r="AA70" i="100"/>
  <c r="AI70" i="100"/>
  <c r="Z71" i="100"/>
  <c r="AE71" i="100"/>
  <c r="AH71" i="100"/>
  <c r="AM71" i="100"/>
  <c r="Z72" i="100"/>
  <c r="AC72" i="100"/>
  <c r="AD77" i="100"/>
  <c r="AL77" i="100"/>
  <c r="AI78" i="100"/>
  <c r="AM78" i="100"/>
  <c r="AD79" i="100"/>
  <c r="AL79" i="100"/>
  <c r="AH37" i="100"/>
  <c r="AL37" i="100"/>
  <c r="Y38" i="100"/>
  <c r="AC38" i="100"/>
  <c r="AG38" i="100"/>
  <c r="AK38" i="100"/>
  <c r="AD40" i="100"/>
  <c r="Z41" i="100"/>
  <c r="AD41" i="100"/>
  <c r="AH41" i="100"/>
  <c r="AL41" i="100"/>
  <c r="Y42" i="100"/>
  <c r="AC42" i="100"/>
  <c r="AG42" i="100"/>
  <c r="AK42" i="100"/>
  <c r="AD44" i="100"/>
  <c r="Z45" i="100"/>
  <c r="AD45" i="100"/>
  <c r="AH45" i="100"/>
  <c r="AL45" i="100"/>
  <c r="Y46" i="100"/>
  <c r="AC46" i="100"/>
  <c r="AG46" i="100"/>
  <c r="AK46" i="100"/>
  <c r="AD48" i="100"/>
  <c r="Z49" i="100"/>
  <c r="AD49" i="100"/>
  <c r="AH49" i="100"/>
  <c r="AL49" i="100"/>
  <c r="Y50" i="100"/>
  <c r="AC50" i="100"/>
  <c r="AG50" i="100"/>
  <c r="AK50" i="100"/>
  <c r="AD52" i="100"/>
  <c r="Z53" i="100"/>
  <c r="AD53" i="100"/>
  <c r="AH53" i="100"/>
  <c r="AL53" i="100"/>
  <c r="Y54" i="100"/>
  <c r="AC54" i="100"/>
  <c r="AG54" i="100"/>
  <c r="AK54" i="100"/>
  <c r="AM56" i="100"/>
  <c r="AD56" i="100"/>
  <c r="Z57" i="100"/>
  <c r="AD57" i="100"/>
  <c r="AH57" i="100"/>
  <c r="AL57" i="100"/>
  <c r="Y57" i="100"/>
  <c r="Y58" i="100"/>
  <c r="AC58" i="100"/>
  <c r="AG58" i="100"/>
  <c r="AK58" i="100"/>
  <c r="Z82" i="100"/>
  <c r="AB82" i="100"/>
  <c r="AD82" i="100"/>
  <c r="AF82" i="100"/>
  <c r="AH82" i="100"/>
  <c r="AJ82" i="100"/>
  <c r="AL82" i="100"/>
  <c r="AN82" i="100"/>
  <c r="AD69" i="100"/>
  <c r="AF69" i="100"/>
  <c r="AH69" i="100"/>
  <c r="AJ69" i="100"/>
  <c r="AL69" i="100"/>
  <c r="AN69" i="100"/>
  <c r="AD70" i="100"/>
  <c r="AG70" i="100"/>
  <c r="AL70" i="100"/>
  <c r="AC71" i="100"/>
  <c r="AF71" i="100"/>
  <c r="AN71" i="100"/>
  <c r="AA72" i="100"/>
  <c r="AA73" i="100"/>
  <c r="AE73" i="100"/>
  <c r="AI73" i="100"/>
  <c r="AM73" i="100"/>
  <c r="Z74" i="100"/>
  <c r="AD74" i="100"/>
  <c r="AH74" i="100"/>
  <c r="AL74" i="100"/>
  <c r="Y75" i="100"/>
  <c r="AC75" i="100"/>
  <c r="AG75" i="100"/>
  <c r="AK75" i="100"/>
  <c r="AB76" i="100"/>
  <c r="AF76" i="100"/>
  <c r="AC78" i="100"/>
  <c r="AG78" i="100"/>
  <c r="AH34" i="100"/>
  <c r="AL34" i="100"/>
  <c r="Y35" i="100"/>
  <c r="AC35" i="100"/>
  <c r="AG35" i="100"/>
  <c r="AK35" i="100"/>
  <c r="AB36" i="100"/>
  <c r="AF36" i="100"/>
  <c r="AJ36" i="100"/>
  <c r="AN36" i="100"/>
  <c r="AA37" i="100"/>
  <c r="AE37" i="100"/>
  <c r="AI37" i="100"/>
  <c r="AM37" i="100"/>
  <c r="Z38" i="100"/>
  <c r="AD38" i="100"/>
  <c r="AH38" i="100"/>
  <c r="AL38" i="100"/>
  <c r="Y39" i="100"/>
  <c r="AC39" i="100"/>
  <c r="AG39" i="100"/>
  <c r="AK39" i="100"/>
  <c r="AB40" i="100"/>
  <c r="AF40" i="100"/>
  <c r="AJ40" i="100"/>
  <c r="AN40" i="100"/>
  <c r="AA41" i="100"/>
  <c r="AE41" i="100"/>
  <c r="AI41" i="100"/>
  <c r="AM41" i="100"/>
  <c r="Z42" i="100"/>
  <c r="AD42" i="100"/>
  <c r="AH42" i="100"/>
  <c r="AL42" i="100"/>
  <c r="Y43" i="100"/>
  <c r="AC43" i="100"/>
  <c r="AG43" i="100"/>
  <c r="AK43" i="100"/>
  <c r="AB44" i="100"/>
  <c r="AF44" i="100"/>
  <c r="AJ44" i="100"/>
  <c r="AN44" i="100"/>
  <c r="AA45" i="100"/>
  <c r="AE45" i="100"/>
  <c r="AI45" i="100"/>
  <c r="AM45" i="100"/>
  <c r="Z46" i="100"/>
  <c r="AD46" i="100"/>
  <c r="AH46" i="100"/>
  <c r="AL46" i="100"/>
  <c r="Y47" i="100"/>
  <c r="AC47" i="100"/>
  <c r="AG47" i="100"/>
  <c r="AK47" i="100"/>
  <c r="AB48" i="100"/>
  <c r="AF48" i="100"/>
  <c r="AJ48" i="100"/>
  <c r="AN48" i="100"/>
  <c r="AA49" i="100"/>
  <c r="AE49" i="100"/>
  <c r="AI49" i="100"/>
  <c r="AM49" i="100"/>
  <c r="Z50" i="100"/>
  <c r="AD50" i="100"/>
  <c r="AH50" i="100"/>
  <c r="AL50" i="100"/>
  <c r="Y51" i="100"/>
  <c r="AC51" i="100"/>
  <c r="AG51" i="100"/>
  <c r="AK51" i="100"/>
  <c r="AB52" i="100"/>
  <c r="AF52" i="100"/>
  <c r="AJ52" i="100"/>
  <c r="AN52" i="100"/>
  <c r="AA53" i="100"/>
  <c r="AE53" i="100"/>
  <c r="AI53" i="100"/>
  <c r="AM53" i="100"/>
  <c r="Z54" i="100"/>
  <c r="AD54" i="100"/>
  <c r="AH54" i="100"/>
  <c r="AL54" i="100"/>
  <c r="Y55" i="100"/>
  <c r="AC55" i="100"/>
  <c r="AG55" i="100"/>
  <c r="AK55" i="100"/>
  <c r="AB56" i="100"/>
  <c r="AF56" i="100"/>
  <c r="AJ56" i="100"/>
  <c r="AN56" i="100"/>
  <c r="AA57" i="100"/>
  <c r="AE57" i="100"/>
  <c r="AI57" i="100"/>
  <c r="AM57" i="100"/>
  <c r="Z58" i="100"/>
  <c r="AD58" i="100"/>
  <c r="AH58" i="100"/>
  <c r="AL58" i="100"/>
  <c r="AM66" i="100"/>
  <c r="Z67" i="100"/>
  <c r="AD67" i="100"/>
  <c r="AH67" i="100"/>
  <c r="AL67" i="100"/>
  <c r="Y68" i="100"/>
  <c r="AC68" i="100"/>
  <c r="AG68" i="100"/>
  <c r="AK68" i="100"/>
  <c r="Z70" i="100"/>
  <c r="AE70" i="100"/>
  <c r="AM70" i="100"/>
  <c r="AA71" i="100"/>
  <c r="AD71" i="100"/>
  <c r="AI71" i="100"/>
  <c r="AL71" i="100"/>
  <c r="Y72" i="100"/>
  <c r="AD72" i="100"/>
  <c r="AG72" i="100"/>
  <c r="AI72" i="100"/>
  <c r="AK72" i="100"/>
  <c r="AM72" i="100"/>
  <c r="AA74" i="100"/>
  <c r="AE74" i="100"/>
  <c r="AI74" i="100"/>
  <c r="AM74" i="100"/>
  <c r="Y76" i="100"/>
  <c r="AC76" i="100"/>
  <c r="AG76" i="100"/>
  <c r="AJ76" i="100"/>
  <c r="Z77" i="100"/>
  <c r="AH77" i="100"/>
  <c r="AK78" i="100"/>
  <c r="Z79" i="100"/>
  <c r="AH79" i="100"/>
  <c r="AF37" i="100"/>
  <c r="AJ37" i="100"/>
  <c r="AN37" i="100"/>
  <c r="AA38" i="100"/>
  <c r="AE38" i="100"/>
  <c r="AI38" i="100"/>
  <c r="AM38" i="100"/>
  <c r="AL40" i="100"/>
  <c r="AB41" i="100"/>
  <c r="AF41" i="100"/>
  <c r="AJ41" i="100"/>
  <c r="AN41" i="100"/>
  <c r="AG41" i="100"/>
  <c r="AA42" i="100"/>
  <c r="AE42" i="100"/>
  <c r="AI42" i="100"/>
  <c r="AM42" i="100"/>
  <c r="AL44" i="100"/>
  <c r="AB45" i="100"/>
  <c r="AF45" i="100"/>
  <c r="AJ45" i="100"/>
  <c r="AN45" i="100"/>
  <c r="AG45" i="100"/>
  <c r="AA46" i="100"/>
  <c r="AE46" i="100"/>
  <c r="AI46" i="100"/>
  <c r="AM46" i="100"/>
  <c r="AL48" i="100"/>
  <c r="AB49" i="100"/>
  <c r="AF49" i="100"/>
  <c r="AJ49" i="100"/>
  <c r="AN49" i="100"/>
  <c r="AG49" i="100"/>
  <c r="AA50" i="100"/>
  <c r="AE50" i="100"/>
  <c r="AI50" i="100"/>
  <c r="AM50" i="100"/>
  <c r="AL52" i="100"/>
  <c r="AB53" i="100"/>
  <c r="AF53" i="100"/>
  <c r="AJ53" i="100"/>
  <c r="AN53" i="100"/>
  <c r="AG53" i="100"/>
  <c r="AA54" i="100"/>
  <c r="AE54" i="100"/>
  <c r="AI54" i="100"/>
  <c r="AM54" i="100"/>
  <c r="AL56" i="100"/>
  <c r="AB57" i="100"/>
  <c r="AF57" i="100"/>
  <c r="AJ57" i="100"/>
  <c r="AN57" i="100"/>
  <c r="AG57" i="100"/>
  <c r="AA58" i="100"/>
  <c r="AE58" i="100"/>
  <c r="AI58" i="100"/>
  <c r="Y83" i="100"/>
  <c r="AA76" i="100"/>
  <c r="AC83" i="100"/>
  <c r="AE76" i="100"/>
  <c r="AG83" i="100"/>
  <c r="AI76" i="100"/>
  <c r="AK83" i="100"/>
  <c r="AM76" i="100"/>
  <c r="AM64" i="100"/>
  <c r="AC70" i="100"/>
  <c r="AH70" i="100"/>
  <c r="AK70" i="100"/>
  <c r="AB71" i="100"/>
  <c r="AG71" i="100"/>
  <c r="AJ71" i="100"/>
  <c r="AE72" i="100"/>
  <c r="Y73" i="100"/>
  <c r="AC73" i="100"/>
  <c r="AG73" i="100"/>
  <c r="AK73" i="100"/>
  <c r="AA75" i="100"/>
  <c r="AE75" i="100"/>
  <c r="AI75" i="100"/>
  <c r="AM75" i="100"/>
  <c r="Z76" i="100"/>
  <c r="AD76" i="100"/>
  <c r="AH76" i="100"/>
  <c r="AK76" i="100"/>
  <c r="AA78" i="100"/>
  <c r="AE78" i="100"/>
  <c r="Y77" i="100"/>
  <c r="AA77" i="100"/>
  <c r="AC77" i="100"/>
  <c r="AE77" i="100"/>
  <c r="AG77" i="100"/>
  <c r="AI77" i="100"/>
  <c r="AK77" i="100"/>
  <c r="AM77" i="100"/>
  <c r="AD78" i="100"/>
  <c r="AL78" i="100"/>
  <c r="Y79" i="100"/>
  <c r="AA79" i="100"/>
  <c r="AC79" i="100"/>
  <c r="AE79" i="100"/>
  <c r="AG79" i="100"/>
  <c r="AI79" i="100"/>
  <c r="AK79" i="100"/>
  <c r="AM79" i="100"/>
  <c r="Z80" i="100"/>
  <c r="AB80" i="100"/>
  <c r="AD80" i="100"/>
  <c r="AF80" i="100"/>
  <c r="AH80" i="100"/>
  <c r="AJ80" i="100"/>
  <c r="AL80" i="100"/>
  <c r="AN80" i="100"/>
  <c r="Z81" i="100"/>
  <c r="AD81" i="100"/>
  <c r="AH81" i="100"/>
  <c r="AL81" i="100"/>
  <c r="Y82" i="100"/>
  <c r="AC82" i="100"/>
  <c r="AG82" i="100"/>
  <c r="AK82" i="100"/>
  <c r="Y91" i="100"/>
  <c r="AC91" i="100"/>
  <c r="AG91" i="100"/>
  <c r="AK91" i="100"/>
  <c r="AK94" i="100"/>
  <c r="Z103" i="100"/>
  <c r="AL76" i="100"/>
  <c r="AN76" i="100"/>
  <c r="AB78" i="100"/>
  <c r="AJ78" i="100"/>
  <c r="AA81" i="100"/>
  <c r="AE81" i="100"/>
  <c r="AI81" i="100"/>
  <c r="AM81" i="100"/>
  <c r="AA85" i="100"/>
  <c r="AC85" i="100"/>
  <c r="AE85" i="100"/>
  <c r="AI85" i="100"/>
  <c r="AK85" i="100"/>
  <c r="AM85" i="100"/>
  <c r="Y86" i="100"/>
  <c r="AA86" i="100"/>
  <c r="AC86" i="100"/>
  <c r="AE86" i="100"/>
  <c r="AG86" i="100"/>
  <c r="AI86" i="100"/>
  <c r="AK86" i="100"/>
  <c r="AM86" i="100"/>
  <c r="Z87" i="100"/>
  <c r="AB87" i="100"/>
  <c r="AD87" i="100"/>
  <c r="AF87" i="100"/>
  <c r="AH87" i="100"/>
  <c r="AJ87" i="100"/>
  <c r="AN87" i="100"/>
  <c r="Y88" i="100"/>
  <c r="AA90" i="100"/>
  <c r="AC88" i="100"/>
  <c r="AE90" i="100"/>
  <c r="AG88" i="100"/>
  <c r="AK88" i="100"/>
  <c r="Z89" i="100"/>
  <c r="AH89" i="100"/>
  <c r="Y93" i="100"/>
  <c r="AG93" i="100"/>
  <c r="Z94" i="100"/>
  <c r="AC95" i="100"/>
  <c r="AA96" i="100"/>
  <c r="AE96" i="100"/>
  <c r="AI96" i="100"/>
  <c r="AM96" i="100"/>
  <c r="Z97" i="100"/>
  <c r="AD97" i="100"/>
  <c r="AH97" i="100"/>
  <c r="AL97" i="100"/>
  <c r="Y98" i="100"/>
  <c r="AC98" i="100"/>
  <c r="AG98" i="100"/>
  <c r="AK98" i="100"/>
  <c r="Z101" i="100"/>
  <c r="AD101" i="100"/>
  <c r="AH101" i="100"/>
  <c r="AL101" i="100"/>
  <c r="AD105" i="100"/>
  <c r="AL105" i="100"/>
  <c r="AN106" i="100"/>
  <c r="AG109" i="100"/>
  <c r="AG108" i="100"/>
  <c r="AH72" i="100"/>
  <c r="AL72" i="100"/>
  <c r="Z78" i="100"/>
  <c r="AH78" i="100"/>
  <c r="Y80" i="100"/>
  <c r="AC80" i="100"/>
  <c r="AG80" i="100"/>
  <c r="AK80" i="100"/>
  <c r="AA82" i="100"/>
  <c r="AE82" i="100"/>
  <c r="AI82" i="100"/>
  <c r="AM82" i="100"/>
  <c r="Z83" i="100"/>
  <c r="AD83" i="100"/>
  <c r="AH83" i="100"/>
  <c r="AL83" i="100"/>
  <c r="AI89" i="100"/>
  <c r="AM89" i="100"/>
  <c r="AB91" i="100"/>
  <c r="AF91" i="100"/>
  <c r="AJ91" i="100"/>
  <c r="AN91" i="100"/>
  <c r="Y92" i="100"/>
  <c r="AC92" i="100"/>
  <c r="AG95" i="100"/>
  <c r="Z93" i="100"/>
  <c r="AD93" i="100"/>
  <c r="AH93" i="100"/>
  <c r="AL93" i="100"/>
  <c r="AA94" i="100"/>
  <c r="AE94" i="100"/>
  <c r="AI94" i="100"/>
  <c r="AM94" i="100"/>
  <c r="AB96" i="100"/>
  <c r="AA97" i="100"/>
  <c r="AI97" i="100"/>
  <c r="AM97" i="100"/>
  <c r="AC99" i="100"/>
  <c r="AG99" i="100"/>
  <c r="AB102" i="100"/>
  <c r="Z106" i="100"/>
  <c r="AD106" i="100"/>
  <c r="AL106" i="100"/>
  <c r="Y108" i="100"/>
  <c r="AF78" i="100"/>
  <c r="AN78" i="100"/>
  <c r="AA83" i="100"/>
  <c r="AE83" i="100"/>
  <c r="AI83" i="100"/>
  <c r="AM83" i="100"/>
  <c r="AL84" i="100"/>
  <c r="Z85" i="100"/>
  <c r="AB86" i="100"/>
  <c r="AD85" i="100"/>
  <c r="AF86" i="100"/>
  <c r="AH85" i="100"/>
  <c r="AJ86" i="100"/>
  <c r="AL85" i="100"/>
  <c r="AN86" i="100"/>
  <c r="Z86" i="100"/>
  <c r="AD86" i="100"/>
  <c r="AH86" i="100"/>
  <c r="AL86" i="100"/>
  <c r="AA87" i="100"/>
  <c r="AE87" i="100"/>
  <c r="AI87" i="100"/>
  <c r="AM87" i="100"/>
  <c r="Z88" i="100"/>
  <c r="AB89" i="100"/>
  <c r="AB88" i="100"/>
  <c r="AD88" i="100"/>
  <c r="AH88" i="100"/>
  <c r="AJ89" i="100"/>
  <c r="AJ88" i="100"/>
  <c r="AL88" i="100"/>
  <c r="AN88" i="100"/>
  <c r="AA93" i="100"/>
  <c r="AE93" i="100"/>
  <c r="AI93" i="100"/>
  <c r="AM93" i="100"/>
  <c r="AJ94" i="100"/>
  <c r="Y96" i="100"/>
  <c r="AC96" i="100"/>
  <c r="AG96" i="100"/>
  <c r="AK99" i="100"/>
  <c r="AB97" i="100"/>
  <c r="AF97" i="100"/>
  <c r="AJ97" i="100"/>
  <c r="AN97" i="100"/>
  <c r="AA98" i="100"/>
  <c r="AE98" i="100"/>
  <c r="AI98" i="100"/>
  <c r="AM98" i="100"/>
  <c r="Z99" i="100"/>
  <c r="AD99" i="100"/>
  <c r="AH99" i="100"/>
  <c r="AL99" i="100"/>
  <c r="Y100" i="100"/>
  <c r="AC100" i="100"/>
  <c r="AG100" i="100"/>
  <c r="AK100" i="100"/>
  <c r="AB101" i="100"/>
  <c r="AF101" i="100"/>
  <c r="AJ101" i="100"/>
  <c r="AN101" i="100"/>
  <c r="AA102" i="100"/>
  <c r="AE102" i="100"/>
  <c r="AI102" i="100"/>
  <c r="AM102" i="100"/>
  <c r="AJ106" i="100"/>
  <c r="AA108" i="100"/>
  <c r="Z95" i="100"/>
  <c r="AB95" i="100"/>
  <c r="AD95" i="100"/>
  <c r="AF95" i="100"/>
  <c r="AJ95" i="100"/>
  <c r="AL95" i="100"/>
  <c r="AE107" i="100"/>
  <c r="AM107" i="100"/>
  <c r="AB111" i="100"/>
  <c r="AD108" i="100"/>
  <c r="AJ111" i="100"/>
  <c r="AL108" i="100"/>
  <c r="AD110" i="100"/>
  <c r="AL110" i="100"/>
  <c r="Y113" i="100"/>
  <c r="AD113" i="100"/>
  <c r="AG113" i="100"/>
  <c r="AL113" i="100"/>
  <c r="AA114" i="100"/>
  <c r="AI114" i="100"/>
  <c r="AD103" i="100"/>
  <c r="AH103" i="100"/>
  <c r="AL103" i="100"/>
  <c r="Y106" i="100"/>
  <c r="AA104" i="100"/>
  <c r="AC106" i="100"/>
  <c r="AE104" i="100"/>
  <c r="AG106" i="100"/>
  <c r="AI104" i="100"/>
  <c r="AK106" i="100"/>
  <c r="AM104" i="100"/>
  <c r="Z110" i="100"/>
  <c r="AB110" i="100"/>
  <c r="AJ110" i="100"/>
  <c r="AA111" i="100"/>
  <c r="AI111" i="100"/>
  <c r="Y112" i="100"/>
  <c r="AG112" i="100"/>
  <c r="AH110" i="100"/>
  <c r="AA112" i="100"/>
  <c r="Z113" i="100"/>
  <c r="AH113" i="100"/>
  <c r="AE114" i="100"/>
  <c r="AM114" i="100"/>
  <c r="Z91" i="100"/>
  <c r="AD91" i="100"/>
  <c r="AH91" i="100"/>
  <c r="AL91" i="100"/>
  <c r="AF110" i="100"/>
  <c r="AN110" i="100"/>
  <c r="AE111" i="100"/>
  <c r="AM111" i="100"/>
  <c r="AC112" i="100"/>
  <c r="AK112" i="100"/>
  <c r="AG121" i="100"/>
  <c r="AA127" i="100"/>
  <c r="AE128" i="100"/>
  <c r="AI128" i="100"/>
  <c r="AK131" i="100"/>
  <c r="Z133" i="100"/>
  <c r="AD133" i="100"/>
  <c r="AH133" i="100"/>
  <c r="AL133" i="100"/>
  <c r="Y134" i="100"/>
  <c r="AC134" i="100"/>
  <c r="AG134" i="100"/>
  <c r="AK134" i="100"/>
  <c r="AB135" i="100"/>
  <c r="AF135" i="100"/>
  <c r="AJ135" i="100"/>
  <c r="AN135" i="100"/>
  <c r="AL136" i="100"/>
  <c r="AB137" i="100"/>
  <c r="AJ137" i="100"/>
  <c r="AN140" i="100"/>
  <c r="AE138" i="100"/>
  <c r="AJ138" i="100"/>
  <c r="AA139" i="100"/>
  <c r="AE139" i="100"/>
  <c r="AI139" i="100"/>
  <c r="AM137" i="100"/>
  <c r="AM139" i="100"/>
  <c r="AA143" i="100"/>
  <c r="AE141" i="100"/>
  <c r="AH143" i="100"/>
  <c r="AC147" i="100"/>
  <c r="AC136" i="100"/>
  <c r="Y140" i="100"/>
  <c r="Y137" i="100"/>
  <c r="AG137" i="100"/>
  <c r="AG140" i="100"/>
  <c r="AK137" i="100"/>
  <c r="AB139" i="100"/>
  <c r="AF139" i="100"/>
  <c r="AD140" i="100"/>
  <c r="AH140" i="100"/>
  <c r="AL140" i="100"/>
  <c r="AB140" i="100"/>
  <c r="AK146" i="100"/>
  <c r="AK145" i="100"/>
  <c r="AM145" i="100"/>
  <c r="AM147" i="100"/>
  <c r="AG148" i="100"/>
  <c r="AH151" i="100"/>
  <c r="AA132" i="100"/>
  <c r="AB133" i="100"/>
  <c r="AN136" i="100"/>
  <c r="AD135" i="100"/>
  <c r="AD136" i="100"/>
  <c r="AH136" i="100"/>
  <c r="Z137" i="100"/>
  <c r="AD137" i="100"/>
  <c r="AH137" i="100"/>
  <c r="Y138" i="100"/>
  <c r="AC138" i="100"/>
  <c r="AG138" i="100"/>
  <c r="AK138" i="100"/>
  <c r="AK141" i="100"/>
  <c r="Z142" i="100"/>
  <c r="AL144" i="100"/>
  <c r="AJ146" i="100"/>
  <c r="AB148" i="100"/>
  <c r="AB115" i="100"/>
  <c r="AF115" i="100"/>
  <c r="AJ115" i="100"/>
  <c r="AN115" i="100"/>
  <c r="Z123" i="100"/>
  <c r="AD123" i="100"/>
  <c r="AH123" i="100"/>
  <c r="AL123" i="100"/>
  <c r="Y121" i="100"/>
  <c r="AB121" i="100"/>
  <c r="AF121" i="100"/>
  <c r="AJ121" i="100"/>
  <c r="AN121" i="100"/>
  <c r="Y126" i="100"/>
  <c r="AC125" i="100"/>
  <c r="AG126" i="100"/>
  <c r="AK125" i="100"/>
  <c r="AB129" i="100"/>
  <c r="AF129" i="100"/>
  <c r="AJ129" i="100"/>
  <c r="AN129" i="100"/>
  <c r="AN131" i="100"/>
  <c r="AF131" i="100"/>
  <c r="Y136" i="100"/>
  <c r="AC133" i="100"/>
  <c r="AG133" i="100"/>
  <c r="AK135" i="100"/>
  <c r="AK133" i="100"/>
  <c r="AJ134" i="100"/>
  <c r="AI135" i="100"/>
  <c r="AM133" i="100"/>
  <c r="AH135" i="100"/>
  <c r="AI136" i="100"/>
  <c r="AM136" i="100"/>
  <c r="AC139" i="100"/>
  <c r="Z150" i="100"/>
  <c r="AD152" i="100"/>
  <c r="AH152" i="100"/>
  <c r="AL156" i="100"/>
  <c r="AJ158" i="100"/>
  <c r="AE159" i="100"/>
  <c r="AI159" i="100"/>
  <c r="AM157" i="100"/>
  <c r="AD160" i="100"/>
  <c r="AH160" i="100"/>
  <c r="AB160" i="100"/>
  <c r="Z163" i="100"/>
  <c r="AH139" i="100"/>
  <c r="AA140" i="100"/>
  <c r="AE140" i="100"/>
  <c r="AI140" i="100"/>
  <c r="AM140" i="100"/>
  <c r="AA141" i="100"/>
  <c r="AB142" i="100"/>
  <c r="AF142" i="100"/>
  <c r="AJ144" i="100"/>
  <c r="AD143" i="100"/>
  <c r="AC144" i="100"/>
  <c r="Y148" i="100"/>
  <c r="AC145" i="100"/>
  <c r="AG145" i="100"/>
  <c r="AK147" i="100"/>
  <c r="AB147" i="100"/>
  <c r="AF147" i="100"/>
  <c r="AJ147" i="100"/>
  <c r="AN147" i="100"/>
  <c r="AA148" i="100"/>
  <c r="AE148" i="100"/>
  <c r="AI148" i="100"/>
  <c r="AM148" i="100"/>
  <c r="AA150" i="100"/>
  <c r="AB151" i="100"/>
  <c r="AF151" i="100"/>
  <c r="AJ151" i="100"/>
  <c r="AN151" i="100"/>
  <c r="AA152" i="100"/>
  <c r="AE152" i="100"/>
  <c r="AI152" i="100"/>
  <c r="AM152" i="100"/>
  <c r="AK153" i="100"/>
  <c r="AB154" i="100"/>
  <c r="AF154" i="100"/>
  <c r="AJ156" i="100"/>
  <c r="AD155" i="100"/>
  <c r="AC156" i="100"/>
  <c r="Y160" i="100"/>
  <c r="AC157" i="100"/>
  <c r="AG157" i="100"/>
  <c r="AK159" i="100"/>
  <c r="AB159" i="100"/>
  <c r="AF159" i="100"/>
  <c r="AJ159" i="100"/>
  <c r="AN159" i="100"/>
  <c r="AA160" i="100"/>
  <c r="AE160" i="100"/>
  <c r="AI160" i="100"/>
  <c r="AM160" i="100"/>
  <c r="J162" i="100"/>
  <c r="AE163" i="100" s="1"/>
  <c r="P162" i="100"/>
  <c r="AK164" i="100" s="1"/>
  <c r="Q163" i="100"/>
  <c r="AL164" i="100" s="1"/>
  <c r="H166" i="100"/>
  <c r="AC165" i="100" s="1"/>
  <c r="AA171" i="100"/>
  <c r="AI171" i="100"/>
  <c r="AL137" i="100"/>
  <c r="AA138" i="100"/>
  <c r="AB141" i="100"/>
  <c r="AN144" i="100"/>
  <c r="Y142" i="100"/>
  <c r="AC142" i="100"/>
  <c r="AG142" i="100"/>
  <c r="AK142" i="100"/>
  <c r="AJ142" i="100"/>
  <c r="AE143" i="100"/>
  <c r="AI143" i="100"/>
  <c r="AM141" i="100"/>
  <c r="AD144" i="100"/>
  <c r="AH144" i="100"/>
  <c r="Z145" i="100"/>
  <c r="AD145" i="100"/>
  <c r="AH145" i="100"/>
  <c r="AL145" i="100"/>
  <c r="Y145" i="100"/>
  <c r="AA146" i="100"/>
  <c r="AE149" i="100"/>
  <c r="AK149" i="100"/>
  <c r="AB150" i="100"/>
  <c r="AF150" i="100"/>
  <c r="AJ152" i="100"/>
  <c r="AM151" i="100"/>
  <c r="Y154" i="100"/>
  <c r="AC154" i="100"/>
  <c r="AG154" i="100"/>
  <c r="AK154" i="100"/>
  <c r="AJ154" i="100"/>
  <c r="AE155" i="100"/>
  <c r="AI155" i="100"/>
  <c r="AM153" i="100"/>
  <c r="AD156" i="100"/>
  <c r="AH156" i="100"/>
  <c r="Y157" i="100"/>
  <c r="AA158" i="100"/>
  <c r="AM159" i="100"/>
  <c r="Y162" i="100"/>
  <c r="L162" i="100"/>
  <c r="AG163" i="100" s="1"/>
  <c r="F163" i="100"/>
  <c r="R163" i="100"/>
  <c r="AM163" i="100" s="1"/>
  <c r="AK167" i="100"/>
  <c r="Z168" i="100"/>
  <c r="Z172" i="100"/>
  <c r="AD172" i="100"/>
  <c r="AH172" i="100"/>
  <c r="AL172" i="100"/>
  <c r="AD139" i="100"/>
  <c r="AC140" i="100"/>
  <c r="Y144" i="100"/>
  <c r="AC141" i="100"/>
  <c r="AG141" i="100"/>
  <c r="AK143" i="100"/>
  <c r="AF141" i="100"/>
  <c r="AB143" i="100"/>
  <c r="AF143" i="100"/>
  <c r="AJ143" i="100"/>
  <c r="AN143" i="100"/>
  <c r="AA144" i="100"/>
  <c r="AE144" i="100"/>
  <c r="AI144" i="100"/>
  <c r="AM144" i="100"/>
  <c r="AB146" i="100"/>
  <c r="AF146" i="100"/>
  <c r="AJ148" i="100"/>
  <c r="AD147" i="100"/>
  <c r="AC148" i="100"/>
  <c r="Y150" i="100"/>
  <c r="AC150" i="100"/>
  <c r="AG150" i="100"/>
  <c r="AK150" i="100"/>
  <c r="AJ150" i="100"/>
  <c r="AD151" i="100"/>
  <c r="AC152" i="100"/>
  <c r="AN154" i="100"/>
  <c r="AB155" i="100"/>
  <c r="AF155" i="100"/>
  <c r="AJ155" i="100"/>
  <c r="AN155" i="100"/>
  <c r="AH155" i="100"/>
  <c r="AA156" i="100"/>
  <c r="AE156" i="100"/>
  <c r="AI156" i="100"/>
  <c r="AM156" i="100"/>
  <c r="AG156" i="100"/>
  <c r="AK157" i="100"/>
  <c r="AB158" i="100"/>
  <c r="AF158" i="100"/>
  <c r="AJ160" i="100"/>
  <c r="AD159" i="100"/>
  <c r="AC160" i="100"/>
  <c r="N162" i="100"/>
  <c r="AI162" i="100" s="1"/>
  <c r="Z164" i="100"/>
  <c r="L166" i="100"/>
  <c r="AG166" i="100" s="1"/>
  <c r="J15" i="114"/>
  <c r="J17" i="114" s="1"/>
  <c r="K28" i="114"/>
  <c r="G139" i="87"/>
  <c r="O138" i="87"/>
  <c r="O139" i="87" s="1"/>
  <c r="C139" i="87"/>
  <c r="E15" i="101"/>
  <c r="E17" i="101" s="1"/>
  <c r="M16" i="101"/>
  <c r="H15" i="101"/>
  <c r="E16" i="101"/>
  <c r="J16" i="101"/>
  <c r="H16" i="101"/>
  <c r="E22" i="101"/>
  <c r="G22" i="101" s="1"/>
  <c r="H29" i="101"/>
  <c r="H61" i="106"/>
  <c r="E26" i="95"/>
  <c r="K33" i="95"/>
  <c r="E6" i="95"/>
  <c r="E9" i="95"/>
  <c r="E29" i="95"/>
  <c r="AE12" i="102"/>
  <c r="AH8" i="102"/>
  <c r="J97" i="98"/>
  <c r="J104" i="98" s="1"/>
  <c r="M94" i="98"/>
  <c r="L95" i="98"/>
  <c r="K96" i="98"/>
  <c r="E29" i="98"/>
  <c r="H110" i="98"/>
  <c r="C111" i="98"/>
  <c r="N111" i="98"/>
  <c r="N112" i="98"/>
  <c r="Q117" i="98"/>
  <c r="F119" i="98"/>
  <c r="L120" i="98"/>
  <c r="C124" i="98"/>
  <c r="H125" i="98"/>
  <c r="N126" i="98"/>
  <c r="O94" i="98"/>
  <c r="N95" i="98"/>
  <c r="M96" i="98"/>
  <c r="L97" i="98"/>
  <c r="J110" i="98"/>
  <c r="D111" i="98"/>
  <c r="O111" i="98"/>
  <c r="C113" i="98"/>
  <c r="F118" i="98"/>
  <c r="L119" i="98"/>
  <c r="Q120" i="98"/>
  <c r="H124" i="98"/>
  <c r="N125" i="98"/>
  <c r="C127" i="98"/>
  <c r="E28" i="98"/>
  <c r="K28" i="98"/>
  <c r="H29" i="98"/>
  <c r="E94" i="98"/>
  <c r="D95" i="98"/>
  <c r="C96" i="98"/>
  <c r="S96" i="98"/>
  <c r="K103" i="98" s="1"/>
  <c r="R97" i="98"/>
  <c r="R104" i="98" s="1"/>
  <c r="C110" i="98"/>
  <c r="N110" i="98"/>
  <c r="H111" i="98"/>
  <c r="C112" i="98"/>
  <c r="H113" i="98"/>
  <c r="F117" i="98"/>
  <c r="L118" i="98"/>
  <c r="Q119" i="98"/>
  <c r="N124" i="98"/>
  <c r="C126" i="98"/>
  <c r="H127" i="98"/>
  <c r="G94" i="98"/>
  <c r="F95" i="98"/>
  <c r="E96" i="98"/>
  <c r="D97" i="98"/>
  <c r="D110" i="98"/>
  <c r="O110" i="98"/>
  <c r="J111" i="98"/>
  <c r="H112" i="98"/>
  <c r="N113" i="98"/>
  <c r="L117" i="98"/>
  <c r="Q118" i="98"/>
  <c r="F120" i="98"/>
  <c r="C125" i="98"/>
  <c r="H126" i="98"/>
  <c r="N127" i="98"/>
  <c r="H30" i="98"/>
  <c r="AJ118" i="98"/>
  <c r="H131" i="98"/>
  <c r="P131" i="98"/>
  <c r="H132" i="98"/>
  <c r="P132" i="98"/>
  <c r="H133" i="98"/>
  <c r="P133" i="98"/>
  <c r="H134" i="98"/>
  <c r="P134" i="98"/>
  <c r="J15" i="98"/>
  <c r="H15" i="98"/>
  <c r="H17" i="98" s="1"/>
  <c r="E21" i="98"/>
  <c r="G21" i="98" s="1"/>
  <c r="M103" i="98"/>
  <c r="D112" i="98"/>
  <c r="J112" i="98"/>
  <c r="O112" i="98"/>
  <c r="D113" i="98"/>
  <c r="J113" i="98"/>
  <c r="O113" i="98"/>
  <c r="H117" i="98"/>
  <c r="M117" i="98"/>
  <c r="R117" i="98"/>
  <c r="H118" i="98"/>
  <c r="M118" i="98"/>
  <c r="R118" i="98"/>
  <c r="H119" i="98"/>
  <c r="M119" i="98"/>
  <c r="R119" i="98"/>
  <c r="H120" i="98"/>
  <c r="M120" i="98"/>
  <c r="R120" i="98"/>
  <c r="D124" i="98"/>
  <c r="J124" i="98"/>
  <c r="O124" i="98"/>
  <c r="D125" i="98"/>
  <c r="J125" i="98"/>
  <c r="O125" i="98"/>
  <c r="D126" i="98"/>
  <c r="J126" i="98"/>
  <c r="O126" i="98"/>
  <c r="D127" i="98"/>
  <c r="J127" i="98"/>
  <c r="O127" i="98"/>
  <c r="J131" i="98"/>
  <c r="R131" i="98"/>
  <c r="J132" i="98"/>
  <c r="R132" i="98"/>
  <c r="J133" i="98"/>
  <c r="R133" i="98"/>
  <c r="J134" i="98"/>
  <c r="R134" i="98"/>
  <c r="I94" i="98"/>
  <c r="Q94" i="98"/>
  <c r="H95" i="98"/>
  <c r="P95" i="98"/>
  <c r="G96" i="98"/>
  <c r="G103" i="98" s="1"/>
  <c r="O96" i="98"/>
  <c r="O103" i="98" s="1"/>
  <c r="F97" i="98"/>
  <c r="N97" i="98"/>
  <c r="F110" i="98"/>
  <c r="K110" i="98"/>
  <c r="P110" i="98"/>
  <c r="F111" i="98"/>
  <c r="K111" i="98"/>
  <c r="P111" i="98"/>
  <c r="F112" i="98"/>
  <c r="K112" i="98"/>
  <c r="P112" i="98"/>
  <c r="F113" i="98"/>
  <c r="K113" i="98"/>
  <c r="P113" i="98"/>
  <c r="D117" i="98"/>
  <c r="I117" i="98"/>
  <c r="N117" i="98"/>
  <c r="D118" i="98"/>
  <c r="I118" i="98"/>
  <c r="N118" i="98"/>
  <c r="D119" i="98"/>
  <c r="I119" i="98"/>
  <c r="N119" i="98"/>
  <c r="D120" i="98"/>
  <c r="I120" i="98"/>
  <c r="N120" i="98"/>
  <c r="F124" i="98"/>
  <c r="K124" i="98"/>
  <c r="P124" i="98"/>
  <c r="F125" i="98"/>
  <c r="K125" i="98"/>
  <c r="P125" i="98"/>
  <c r="F126" i="98"/>
  <c r="K126" i="98"/>
  <c r="P126" i="98"/>
  <c r="F127" i="98"/>
  <c r="K127" i="98"/>
  <c r="P127" i="98"/>
  <c r="D131" i="98"/>
  <c r="L131" i="98"/>
  <c r="D132" i="98"/>
  <c r="L132" i="98"/>
  <c r="D133" i="98"/>
  <c r="L133" i="98"/>
  <c r="D134" i="98"/>
  <c r="L134" i="98"/>
  <c r="E15" i="98"/>
  <c r="M16" i="98"/>
  <c r="C94" i="98"/>
  <c r="K94" i="98"/>
  <c r="S94" i="98"/>
  <c r="E101" i="98" s="1"/>
  <c r="J95" i="98"/>
  <c r="R95" i="98"/>
  <c r="I96" i="98"/>
  <c r="I103" i="98" s="1"/>
  <c r="Q96" i="98"/>
  <c r="Q103" i="98" s="1"/>
  <c r="H97" i="98"/>
  <c r="H104" i="98" s="1"/>
  <c r="P97" i="98"/>
  <c r="P104" i="98" s="1"/>
  <c r="G110" i="98"/>
  <c r="L110" i="98"/>
  <c r="R110" i="98"/>
  <c r="G111" i="98"/>
  <c r="L111" i="98"/>
  <c r="R111" i="98"/>
  <c r="G112" i="98"/>
  <c r="L112" i="98"/>
  <c r="R112" i="98"/>
  <c r="G113" i="98"/>
  <c r="L113" i="98"/>
  <c r="R113" i="98"/>
  <c r="E117" i="98"/>
  <c r="J117" i="98"/>
  <c r="P117" i="98"/>
  <c r="E118" i="98"/>
  <c r="J118" i="98"/>
  <c r="P118" i="98"/>
  <c r="E119" i="98"/>
  <c r="J119" i="98"/>
  <c r="P119" i="98"/>
  <c r="E120" i="98"/>
  <c r="J120" i="98"/>
  <c r="P120" i="98"/>
  <c r="G124" i="98"/>
  <c r="L124" i="98"/>
  <c r="R124" i="98"/>
  <c r="G125" i="98"/>
  <c r="L125" i="98"/>
  <c r="R125" i="98"/>
  <c r="G126" i="98"/>
  <c r="L126" i="98"/>
  <c r="R126" i="98"/>
  <c r="G127" i="98"/>
  <c r="L127" i="98"/>
  <c r="R127" i="98"/>
  <c r="F131" i="98"/>
  <c r="N131" i="98"/>
  <c r="F132" i="98"/>
  <c r="N132" i="98"/>
  <c r="F133" i="98"/>
  <c r="N133" i="98"/>
  <c r="F134" i="98"/>
  <c r="N134" i="98"/>
  <c r="H16" i="114"/>
  <c r="M16" i="114"/>
  <c r="E29" i="114"/>
  <c r="D139" i="87"/>
  <c r="H139" i="87"/>
  <c r="L139" i="87"/>
  <c r="D61" i="106"/>
  <c r="M15" i="114"/>
  <c r="E28" i="114"/>
  <c r="D10" i="109"/>
  <c r="E73" i="109"/>
  <c r="D86" i="81"/>
  <c r="AD31" i="102"/>
  <c r="I24" i="102"/>
  <c r="AF34" i="102"/>
  <c r="E99" i="81"/>
  <c r="P85" i="109"/>
  <c r="F52" i="109"/>
  <c r="X87" i="108" a="1"/>
  <c r="X87" i="108" s="1"/>
  <c r="X90" i="108" a="1"/>
  <c r="X90" i="108" s="1"/>
  <c r="J32" i="110"/>
  <c r="P22" i="105"/>
  <c r="N87" i="109"/>
  <c r="AD45" i="108"/>
  <c r="AF10" i="110"/>
  <c r="AF45" i="110"/>
  <c r="AJ52" i="110"/>
  <c r="R25" i="105"/>
  <c r="Y46" i="110"/>
  <c r="F38" i="102"/>
  <c r="P39" i="102"/>
  <c r="J26" i="105"/>
  <c r="AF31" i="105"/>
  <c r="L60" i="105"/>
  <c r="H13" i="81"/>
  <c r="P36" i="102"/>
  <c r="L41" i="102"/>
  <c r="AC19" i="105"/>
  <c r="G24" i="105"/>
  <c r="D27" i="105"/>
  <c r="Y32" i="105"/>
  <c r="AH54" i="105"/>
  <c r="R61" i="105"/>
  <c r="D85" i="81"/>
  <c r="E109" i="81"/>
  <c r="U34" i="107"/>
  <c r="K41" i="109"/>
  <c r="D59" i="109"/>
  <c r="Q89" i="109"/>
  <c r="F26" i="108"/>
  <c r="AC74" i="108" a="1"/>
  <c r="AC74" i="108" s="1"/>
  <c r="V89" i="108" a="1"/>
  <c r="V89" i="108" s="1"/>
  <c r="L95" i="108" a="1"/>
  <c r="L95" i="108" s="1"/>
  <c r="H31" i="110"/>
  <c r="X66" i="110"/>
  <c r="F25" i="105"/>
  <c r="Z33" i="105"/>
  <c r="AG74" i="108" a="1"/>
  <c r="AG74" i="108" s="1"/>
  <c r="C61" i="110"/>
  <c r="AJ66" i="110"/>
  <c r="AD59" i="107"/>
  <c r="W52" i="108"/>
  <c r="AD73" i="108" a="1"/>
  <c r="AD73" i="108" s="1"/>
  <c r="AB75" i="108" a="1"/>
  <c r="AB75" i="108" s="1"/>
  <c r="N104" i="108" a="1"/>
  <c r="AF40" i="107"/>
  <c r="AF62" i="107"/>
  <c r="J25" i="109"/>
  <c r="D95" i="109"/>
  <c r="D69" i="108"/>
  <c r="AF73" i="108" a="1"/>
  <c r="AF73" i="108" s="1"/>
  <c r="R10" i="102"/>
  <c r="O27" i="102"/>
  <c r="R40" i="102"/>
  <c r="AG66" i="102"/>
  <c r="AF68" i="102"/>
  <c r="V81" i="102"/>
  <c r="X83" i="102"/>
  <c r="X87" i="102"/>
  <c r="X89" i="102"/>
  <c r="X96" i="102"/>
  <c r="AG97" i="102"/>
  <c r="V18" i="105"/>
  <c r="K25" i="105"/>
  <c r="R26" i="105"/>
  <c r="AB34" i="105"/>
  <c r="F39" i="105"/>
  <c r="L59" i="105"/>
  <c r="D62" i="105"/>
  <c r="AF81" i="105"/>
  <c r="X87" i="105"/>
  <c r="F94" i="105"/>
  <c r="J96" i="105"/>
  <c r="P97" i="105"/>
  <c r="I39" i="81"/>
  <c r="C57" i="81"/>
  <c r="E115" i="81"/>
  <c r="U60" i="107"/>
  <c r="D87" i="107"/>
  <c r="L102" i="107"/>
  <c r="M104" i="107"/>
  <c r="C11" i="109"/>
  <c r="F26" i="109"/>
  <c r="U32" i="109"/>
  <c r="R38" i="109"/>
  <c r="AE47" i="109"/>
  <c r="P90" i="109"/>
  <c r="Y48" i="108"/>
  <c r="AD53" i="108"/>
  <c r="P71" i="108" a="1"/>
  <c r="P71" i="108" s="1"/>
  <c r="AF12" i="110"/>
  <c r="AD39" i="110"/>
  <c r="K62" i="110"/>
  <c r="Y96" i="102"/>
  <c r="Z61" i="107"/>
  <c r="D101" i="107"/>
  <c r="R102" i="107"/>
  <c r="D12" i="109"/>
  <c r="H27" i="109"/>
  <c r="AF34" i="109"/>
  <c r="U55" i="108"/>
  <c r="Y74" i="108" a="1"/>
  <c r="Y74" i="108" s="1"/>
  <c r="AI76" i="108" a="1"/>
  <c r="AI76" i="108" s="1"/>
  <c r="N101" i="108" a="1"/>
  <c r="Q10" i="110"/>
  <c r="G33" i="110"/>
  <c r="AI67" i="110"/>
  <c r="AF67" i="102"/>
  <c r="AB69" i="102"/>
  <c r="Z81" i="102"/>
  <c r="AB83" i="102"/>
  <c r="AH87" i="102"/>
  <c r="Y89" i="102"/>
  <c r="P94" i="105"/>
  <c r="P96" i="105"/>
  <c r="J24" i="102"/>
  <c r="K39" i="102"/>
  <c r="AH64" i="102"/>
  <c r="AG67" i="102"/>
  <c r="AD69" i="102"/>
  <c r="AJ81" i="102"/>
  <c r="U88" i="102"/>
  <c r="V90" i="102"/>
  <c r="AC94" i="102"/>
  <c r="AF96" i="102"/>
  <c r="P24" i="105"/>
  <c r="F26" i="105"/>
  <c r="P36" i="105"/>
  <c r="L40" i="105"/>
  <c r="D76" i="105"/>
  <c r="AH78" i="105"/>
  <c r="P92" i="105"/>
  <c r="D95" i="105"/>
  <c r="R96" i="105"/>
  <c r="K48" i="81"/>
  <c r="AB31" i="107"/>
  <c r="AC38" i="107"/>
  <c r="V59" i="107"/>
  <c r="AG61" i="107"/>
  <c r="H101" i="107"/>
  <c r="L103" i="107"/>
  <c r="C13" i="109"/>
  <c r="H89" i="109"/>
  <c r="F73" i="108"/>
  <c r="P59" i="110"/>
  <c r="R39" i="105"/>
  <c r="AB83" i="105"/>
  <c r="O26" i="102"/>
  <c r="X66" i="102"/>
  <c r="X68" i="102"/>
  <c r="U80" i="102"/>
  <c r="AC82" i="102"/>
  <c r="AD88" i="102"/>
  <c r="AC90" i="102"/>
  <c r="Y95" i="102"/>
  <c r="AD97" i="102"/>
  <c r="AG80" i="105"/>
  <c r="F95" i="105"/>
  <c r="G97" i="105"/>
  <c r="E102" i="107"/>
  <c r="I104" i="107"/>
  <c r="F61" i="81"/>
  <c r="I61" i="81"/>
  <c r="L34" i="105"/>
  <c r="G32" i="105"/>
  <c r="L48" i="105"/>
  <c r="O45" i="105"/>
  <c r="K47" i="105"/>
  <c r="J11" i="102"/>
  <c r="AB73" i="102"/>
  <c r="R32" i="105"/>
  <c r="O34" i="105"/>
  <c r="D48" i="105"/>
  <c r="H25" i="81"/>
  <c r="J90" i="102"/>
  <c r="O90" i="105"/>
  <c r="P85" i="105"/>
  <c r="L88" i="105"/>
  <c r="R102" i="105"/>
  <c r="P99" i="105"/>
  <c r="P103" i="105"/>
  <c r="M12" i="102"/>
  <c r="AB20" i="102"/>
  <c r="F52" i="102"/>
  <c r="AG74" i="102"/>
  <c r="AD20" i="105"/>
  <c r="F31" i="105"/>
  <c r="F45" i="105"/>
  <c r="L62" i="105"/>
  <c r="J62" i="105"/>
  <c r="J61" i="105"/>
  <c r="G60" i="105"/>
  <c r="F59" i="105"/>
  <c r="O59" i="105"/>
  <c r="F61" i="105"/>
  <c r="O62" i="105"/>
  <c r="R75" i="105"/>
  <c r="J73" i="105"/>
  <c r="K74" i="105"/>
  <c r="J89" i="105"/>
  <c r="K104" i="105"/>
  <c r="F10" i="102"/>
  <c r="N13" i="102"/>
  <c r="F26" i="102"/>
  <c r="R38" i="102"/>
  <c r="V67" i="102"/>
  <c r="AD68" i="102"/>
  <c r="AC80" i="102"/>
  <c r="U82" i="102"/>
  <c r="AH83" i="102"/>
  <c r="AF87" i="102"/>
  <c r="AB88" i="102"/>
  <c r="AF89" i="102"/>
  <c r="Z95" i="102"/>
  <c r="X97" i="102"/>
  <c r="X17" i="105"/>
  <c r="L27" i="105"/>
  <c r="G27" i="105"/>
  <c r="L24" i="105"/>
  <c r="O25" i="105"/>
  <c r="L26" i="105"/>
  <c r="P27" i="105"/>
  <c r="O31" i="105"/>
  <c r="K33" i="105"/>
  <c r="L41" i="105"/>
  <c r="R41" i="105"/>
  <c r="D40" i="105"/>
  <c r="J38" i="105"/>
  <c r="G39" i="105"/>
  <c r="P41" i="105"/>
  <c r="R46" i="105"/>
  <c r="AD55" i="105"/>
  <c r="X55" i="105"/>
  <c r="P57" i="105"/>
  <c r="D60" i="105"/>
  <c r="K61" i="105"/>
  <c r="R62" i="105"/>
  <c r="P71" i="105"/>
  <c r="F75" i="105"/>
  <c r="L87" i="105"/>
  <c r="K90" i="105"/>
  <c r="J101" i="105"/>
  <c r="H9" i="81"/>
  <c r="D9" i="81"/>
  <c r="F68" i="81"/>
  <c r="I85" i="81"/>
  <c r="AD19" i="107"/>
  <c r="AF32" i="107"/>
  <c r="Y74" i="107"/>
  <c r="L89" i="107"/>
  <c r="D94" i="107"/>
  <c r="P95" i="107"/>
  <c r="I97" i="107"/>
  <c r="N10" i="109"/>
  <c r="L11" i="109"/>
  <c r="L12" i="109"/>
  <c r="N13" i="109"/>
  <c r="P24" i="109"/>
  <c r="P25" i="109"/>
  <c r="R26" i="109"/>
  <c r="N61" i="109"/>
  <c r="I66" i="109"/>
  <c r="F76" i="109"/>
  <c r="AJ13" i="108"/>
  <c r="Z47" i="108"/>
  <c r="U53" i="108"/>
  <c r="Z54" i="108"/>
  <c r="AC55" i="108"/>
  <c r="AC62" i="108"/>
  <c r="E80" i="108" a="1"/>
  <c r="E80" i="108" s="1"/>
  <c r="K103" i="108" a="1"/>
  <c r="Z13" i="110"/>
  <c r="AD17" i="110"/>
  <c r="J25" i="110"/>
  <c r="L45" i="110"/>
  <c r="Z31" i="107"/>
  <c r="AD33" i="107"/>
  <c r="AC41" i="107"/>
  <c r="V76" i="107"/>
  <c r="I90" i="107"/>
  <c r="L94" i="107"/>
  <c r="E96" i="107"/>
  <c r="P97" i="107"/>
  <c r="Q10" i="109"/>
  <c r="P11" i="109"/>
  <c r="R12" i="109"/>
  <c r="R13" i="109"/>
  <c r="P22" i="109"/>
  <c r="Q24" i="109"/>
  <c r="E26" i="109"/>
  <c r="F27" i="109"/>
  <c r="Q40" i="109"/>
  <c r="AA45" i="109"/>
  <c r="P62" i="109"/>
  <c r="C67" i="109"/>
  <c r="AA94" i="109"/>
  <c r="Z45" i="108"/>
  <c r="AH47" i="108"/>
  <c r="U52" i="108"/>
  <c r="W53" i="108"/>
  <c r="AC54" i="108"/>
  <c r="G101" i="108" a="1"/>
  <c r="M103" i="108" a="1"/>
  <c r="X12" i="110"/>
  <c r="C19" i="110"/>
  <c r="X40" i="110"/>
  <c r="P43" i="110" a="1"/>
  <c r="P43" i="110" s="1"/>
  <c r="D47" i="110"/>
  <c r="AE53" i="110"/>
  <c r="AF73" i="110" a="1"/>
  <c r="E95" i="107"/>
  <c r="L96" i="107"/>
  <c r="R97" i="107"/>
  <c r="N68" i="109"/>
  <c r="P31" i="110"/>
  <c r="O33" i="110"/>
  <c r="AH36" i="110" a="1"/>
  <c r="AH36" i="110" s="1"/>
  <c r="V41" i="110"/>
  <c r="D46" i="110"/>
  <c r="U47" i="110"/>
  <c r="AH50" i="110" a="1"/>
  <c r="R59" i="110"/>
  <c r="Y33" i="105"/>
  <c r="AG34" i="105"/>
  <c r="O94" i="105"/>
  <c r="L95" i="105"/>
  <c r="D97" i="105"/>
  <c r="D68" i="81"/>
  <c r="F85" i="81"/>
  <c r="J86" i="81"/>
  <c r="K86" i="81" s="1"/>
  <c r="E117" i="81"/>
  <c r="X17" i="107"/>
  <c r="Z32" i="107"/>
  <c r="AJ60" i="107"/>
  <c r="L95" i="107"/>
  <c r="P96" i="107"/>
  <c r="R101" i="107"/>
  <c r="I103" i="107"/>
  <c r="P104" i="107"/>
  <c r="H10" i="109"/>
  <c r="K11" i="109"/>
  <c r="H12" i="109"/>
  <c r="J13" i="109"/>
  <c r="H24" i="109"/>
  <c r="K25" i="109"/>
  <c r="L26" i="109"/>
  <c r="O27" i="109"/>
  <c r="H38" i="109"/>
  <c r="Y48" i="109"/>
  <c r="J69" i="109"/>
  <c r="AC52" i="108"/>
  <c r="AI53" i="108"/>
  <c r="H67" i="108"/>
  <c r="O74" i="108"/>
  <c r="I97" i="108" a="1"/>
  <c r="X11" i="110"/>
  <c r="X13" i="110"/>
  <c r="N17" i="110"/>
  <c r="P29" i="110" a="1"/>
  <c r="P29" i="110" s="1"/>
  <c r="H32" i="110"/>
  <c r="H34" i="110"/>
  <c r="AF38" i="110"/>
  <c r="AI41" i="110"/>
  <c r="D45" i="110"/>
  <c r="U46" i="110"/>
  <c r="AE52" i="110"/>
  <c r="P57" i="110" a="1"/>
  <c r="P57" i="110" s="1"/>
  <c r="L60" i="110"/>
  <c r="P78" i="110" a="1"/>
  <c r="H88" i="110" a="1"/>
  <c r="L90" i="102"/>
  <c r="P90" i="102"/>
  <c r="P89" i="102"/>
  <c r="D89" i="102"/>
  <c r="R88" i="102"/>
  <c r="F88" i="102"/>
  <c r="F87" i="102"/>
  <c r="L87" i="102"/>
  <c r="K89" i="102"/>
  <c r="R90" i="102"/>
  <c r="AG95" i="105"/>
  <c r="AJ96" i="105"/>
  <c r="F56" i="81"/>
  <c r="I56" i="81"/>
  <c r="D56" i="81"/>
  <c r="AC48" i="102"/>
  <c r="U46" i="102"/>
  <c r="L55" i="102"/>
  <c r="G55" i="102"/>
  <c r="P53" i="102"/>
  <c r="F53" i="102"/>
  <c r="K67" i="102"/>
  <c r="J68" i="102"/>
  <c r="P69" i="102"/>
  <c r="AH76" i="102"/>
  <c r="AJ76" i="102"/>
  <c r="AF75" i="102"/>
  <c r="AF74" i="102"/>
  <c r="AF73" i="102"/>
  <c r="U74" i="102"/>
  <c r="AC75" i="102"/>
  <c r="L13" i="105"/>
  <c r="K13" i="105"/>
  <c r="J12" i="105"/>
  <c r="F11" i="105"/>
  <c r="J13" i="105"/>
  <c r="F12" i="105"/>
  <c r="D11" i="105"/>
  <c r="L10" i="105"/>
  <c r="R12" i="105"/>
  <c r="L17" i="105"/>
  <c r="U38" i="105"/>
  <c r="O53" i="105"/>
  <c r="AC97" i="105"/>
  <c r="AJ97" i="105"/>
  <c r="U96" i="105"/>
  <c r="AH94" i="105"/>
  <c r="AH97" i="105"/>
  <c r="AJ95" i="105"/>
  <c r="U94" i="105"/>
  <c r="AF17" i="102"/>
  <c r="V45" i="102"/>
  <c r="R53" i="102"/>
  <c r="U73" i="102"/>
  <c r="Z74" i="102"/>
  <c r="Y76" i="102"/>
  <c r="P85" i="102"/>
  <c r="O87" i="102"/>
  <c r="G88" i="102"/>
  <c r="L89" i="102"/>
  <c r="G90" i="102"/>
  <c r="AG104" i="102"/>
  <c r="AG102" i="102"/>
  <c r="P8" i="105"/>
  <c r="L11" i="105"/>
  <c r="R13" i="105"/>
  <c r="J52" i="105"/>
  <c r="D54" i="105"/>
  <c r="AH83" i="105"/>
  <c r="AG83" i="105"/>
  <c r="AH82" i="105"/>
  <c r="X82" i="105"/>
  <c r="Y81" i="105"/>
  <c r="Z80" i="105"/>
  <c r="AD83" i="105"/>
  <c r="AF82" i="105"/>
  <c r="AG81" i="105"/>
  <c r="V81" i="105"/>
  <c r="X80" i="105"/>
  <c r="Z81" i="105"/>
  <c r="X83" i="105"/>
  <c r="L104" i="105"/>
  <c r="J104" i="105"/>
  <c r="K103" i="105"/>
  <c r="O102" i="105"/>
  <c r="D102" i="105"/>
  <c r="F101" i="105"/>
  <c r="R104" i="105"/>
  <c r="D104" i="105"/>
  <c r="J103" i="105"/>
  <c r="L102" i="105"/>
  <c r="O101" i="105"/>
  <c r="L101" i="105"/>
  <c r="F103" i="105"/>
  <c r="O104" i="105"/>
  <c r="F40" i="81"/>
  <c r="H40" i="81" s="1"/>
  <c r="D40" i="81"/>
  <c r="C40" i="81"/>
  <c r="K46" i="81"/>
  <c r="I46" i="81"/>
  <c r="C46" i="81"/>
  <c r="F51" i="81"/>
  <c r="K51" i="81"/>
  <c r="D51" i="81"/>
  <c r="AE10" i="102"/>
  <c r="W12" i="102"/>
  <c r="W10" i="102"/>
  <c r="AE11" i="102"/>
  <c r="AE13" i="102"/>
  <c r="L69" i="102"/>
  <c r="G69" i="102"/>
  <c r="R68" i="102"/>
  <c r="L20" i="105"/>
  <c r="G20" i="105"/>
  <c r="D19" i="105"/>
  <c r="D18" i="105"/>
  <c r="L18" i="105"/>
  <c r="P20" i="105"/>
  <c r="AC41" i="105"/>
  <c r="AJ41" i="105"/>
  <c r="L55" i="105"/>
  <c r="K55" i="105"/>
  <c r="P54" i="105"/>
  <c r="F53" i="105"/>
  <c r="G52" i="105"/>
  <c r="D55" i="105"/>
  <c r="L54" i="105"/>
  <c r="R53" i="105"/>
  <c r="P52" i="105"/>
  <c r="F54" i="105"/>
  <c r="F52" i="81"/>
  <c r="G52" i="81"/>
  <c r="D52" i="81"/>
  <c r="AC34" i="102"/>
  <c r="AD33" i="102"/>
  <c r="K40" i="102"/>
  <c r="P41" i="102"/>
  <c r="P40" i="102"/>
  <c r="F39" i="102"/>
  <c r="O38" i="102"/>
  <c r="G40" i="102"/>
  <c r="AF48" i="102"/>
  <c r="O52" i="102"/>
  <c r="R54" i="102"/>
  <c r="AH73" i="102"/>
  <c r="Z75" i="102"/>
  <c r="AG76" i="102"/>
  <c r="J87" i="102"/>
  <c r="O88" i="102"/>
  <c r="F89" i="102"/>
  <c r="K90" i="102"/>
  <c r="AB104" i="102"/>
  <c r="J10" i="105"/>
  <c r="P12" i="105"/>
  <c r="U40" i="105"/>
  <c r="P50" i="105"/>
  <c r="G53" i="105"/>
  <c r="L76" i="105"/>
  <c r="J76" i="105"/>
  <c r="P75" i="105"/>
  <c r="R74" i="105"/>
  <c r="D74" i="105"/>
  <c r="F73" i="105"/>
  <c r="R76" i="105"/>
  <c r="G76" i="105"/>
  <c r="K75" i="105"/>
  <c r="L74" i="105"/>
  <c r="O73" i="105"/>
  <c r="L73" i="105"/>
  <c r="J75" i="105"/>
  <c r="P76" i="105"/>
  <c r="AC80" i="105"/>
  <c r="Y82" i="105"/>
  <c r="R90" i="105"/>
  <c r="F89" i="105"/>
  <c r="F88" i="105"/>
  <c r="J87" i="105"/>
  <c r="R89" i="105"/>
  <c r="D88" i="105"/>
  <c r="P89" i="105"/>
  <c r="U95" i="105"/>
  <c r="G102" i="105"/>
  <c r="R103" i="105"/>
  <c r="L40" i="81"/>
  <c r="D47" i="81"/>
  <c r="C52" i="81"/>
  <c r="Y27" i="107"/>
  <c r="AH27" i="107"/>
  <c r="AC25" i="107"/>
  <c r="AF20" i="109"/>
  <c r="X19" i="109"/>
  <c r="W17" i="109"/>
  <c r="AD18" i="109"/>
  <c r="L48" i="109"/>
  <c r="F48" i="109"/>
  <c r="R46" i="109"/>
  <c r="Q45" i="109"/>
  <c r="E47" i="109"/>
  <c r="G83" i="109"/>
  <c r="Q82" i="109"/>
  <c r="K81" i="109"/>
  <c r="R104" i="109"/>
  <c r="I104" i="109"/>
  <c r="C103" i="109"/>
  <c r="K101" i="109"/>
  <c r="F103" i="109"/>
  <c r="F101" i="109"/>
  <c r="I102" i="109"/>
  <c r="AH83" i="108" a="1"/>
  <c r="AH83" i="108" s="1"/>
  <c r="AG83" i="108" a="1"/>
  <c r="AG83" i="108" s="1"/>
  <c r="AJ82" i="108" a="1"/>
  <c r="AJ82" i="108" s="1"/>
  <c r="X82" i="108" a="1"/>
  <c r="X82" i="108" s="1"/>
  <c r="AB81" i="108" a="1"/>
  <c r="AB81" i="108" s="1"/>
  <c r="AH80" i="108" a="1"/>
  <c r="AH80" i="108" s="1"/>
  <c r="U80" i="108" a="1"/>
  <c r="U80" i="108" s="1"/>
  <c r="Y83" i="108" a="1"/>
  <c r="Y83" i="108" s="1"/>
  <c r="AJ81" i="108" a="1"/>
  <c r="AJ81" i="108" s="1"/>
  <c r="U81" i="108" a="1"/>
  <c r="U81" i="108" s="1"/>
  <c r="W80" i="108" a="1"/>
  <c r="W80" i="108" s="1"/>
  <c r="AE83" i="108" a="1"/>
  <c r="AE83" i="108" s="1"/>
  <c r="AC82" i="108" a="1"/>
  <c r="AC82" i="108" s="1"/>
  <c r="AC81" i="108" a="1"/>
  <c r="AC81" i="108" s="1"/>
  <c r="AC80" i="108" a="1"/>
  <c r="AC80" i="108" s="1"/>
  <c r="AJ80" i="108" a="1"/>
  <c r="AJ80" i="108" s="1"/>
  <c r="AE82" i="108" a="1"/>
  <c r="AE82" i="108" s="1"/>
  <c r="AB17" i="105"/>
  <c r="AB18" i="105"/>
  <c r="AD19" i="105"/>
  <c r="AJ20" i="105"/>
  <c r="D57" i="81"/>
  <c r="E57" i="81" s="1"/>
  <c r="D64" i="81"/>
  <c r="E103" i="81"/>
  <c r="AH17" i="107"/>
  <c r="X20" i="107"/>
  <c r="U24" i="107"/>
  <c r="Z26" i="107"/>
  <c r="AI34" i="107"/>
  <c r="AD34" i="107"/>
  <c r="AF33" i="107"/>
  <c r="AG32" i="107"/>
  <c r="AJ31" i="107"/>
  <c r="U31" i="107"/>
  <c r="AG31" i="107"/>
  <c r="V33" i="107"/>
  <c r="V34" i="107"/>
  <c r="X41" i="107"/>
  <c r="U41" i="107"/>
  <c r="AB39" i="107"/>
  <c r="U38" i="107"/>
  <c r="AG39" i="107"/>
  <c r="AH41" i="107"/>
  <c r="R90" i="107"/>
  <c r="I89" i="107"/>
  <c r="N87" i="107"/>
  <c r="L88" i="107"/>
  <c r="M90" i="107"/>
  <c r="AC13" i="109"/>
  <c r="AB13" i="109"/>
  <c r="AG11" i="109"/>
  <c r="AF15" i="109"/>
  <c r="AF19" i="109"/>
  <c r="J47" i="109"/>
  <c r="L55" i="109"/>
  <c r="O55" i="109"/>
  <c r="P54" i="109"/>
  <c r="P78" i="109"/>
  <c r="L82" i="109"/>
  <c r="C101" i="109"/>
  <c r="M103" i="109"/>
  <c r="AE13" i="108"/>
  <c r="AF10" i="108"/>
  <c r="AF12" i="108"/>
  <c r="AH32" i="108"/>
  <c r="E61" i="108"/>
  <c r="F60" i="108"/>
  <c r="C62" i="108"/>
  <c r="W81" i="108" a="1"/>
  <c r="W81" i="108" s="1"/>
  <c r="Z83" i="108" a="1"/>
  <c r="Z83" i="108" s="1"/>
  <c r="E94" i="108" a="1"/>
  <c r="R95" i="108" a="1"/>
  <c r="R95" i="108" s="1"/>
  <c r="R97" i="108" a="1"/>
  <c r="R97" i="108" s="1"/>
  <c r="Q13" i="110"/>
  <c r="E10" i="110"/>
  <c r="AC52" i="105"/>
  <c r="AG55" i="105"/>
  <c r="Z88" i="105"/>
  <c r="AB90" i="105"/>
  <c r="J25" i="102"/>
  <c r="Z66" i="102"/>
  <c r="Y67" i="102"/>
  <c r="AB80" i="102"/>
  <c r="AG81" i="102"/>
  <c r="AD82" i="102"/>
  <c r="AJ83" i="102"/>
  <c r="V87" i="102"/>
  <c r="AJ89" i="102"/>
  <c r="AD90" i="102"/>
  <c r="Z94" i="102"/>
  <c r="AG95" i="102"/>
  <c r="AH96" i="102"/>
  <c r="AH15" i="105"/>
  <c r="J24" i="105"/>
  <c r="G25" i="105"/>
  <c r="D26" i="105"/>
  <c r="P26" i="105"/>
  <c r="K27" i="105"/>
  <c r="AG31" i="105"/>
  <c r="AG32" i="105"/>
  <c r="D34" i="105"/>
  <c r="L38" i="105"/>
  <c r="O39" i="105"/>
  <c r="K40" i="105"/>
  <c r="J41" i="105"/>
  <c r="G46" i="105"/>
  <c r="O48" i="105"/>
  <c r="Z53" i="105"/>
  <c r="J59" i="105"/>
  <c r="F60" i="105"/>
  <c r="R60" i="105"/>
  <c r="P61" i="105"/>
  <c r="K62" i="105"/>
  <c r="AF89" i="105"/>
  <c r="J94" i="105"/>
  <c r="O95" i="105"/>
  <c r="F96" i="105"/>
  <c r="D39" i="81"/>
  <c r="G49" i="81"/>
  <c r="H49" i="81" s="1"/>
  <c r="I57" i="81"/>
  <c r="G63" i="81"/>
  <c r="H63" i="81" s="1"/>
  <c r="I64" i="81"/>
  <c r="I77" i="81"/>
  <c r="E101" i="81"/>
  <c r="E107" i="81"/>
  <c r="E123" i="81"/>
  <c r="AB18" i="107"/>
  <c r="AG20" i="107"/>
  <c r="Y24" i="107"/>
  <c r="AF26" i="107"/>
  <c r="AH29" i="107"/>
  <c r="Y32" i="107"/>
  <c r="Y33" i="107"/>
  <c r="AB34" i="107"/>
  <c r="Z38" i="107"/>
  <c r="Z40" i="107"/>
  <c r="AD76" i="107"/>
  <c r="X75" i="107"/>
  <c r="AJ76" i="107"/>
  <c r="P88" i="107"/>
  <c r="Z12" i="109"/>
  <c r="AE17" i="109"/>
  <c r="U20" i="109"/>
  <c r="AF24" i="109"/>
  <c r="Y34" i="109"/>
  <c r="X31" i="109"/>
  <c r="D45" i="109"/>
  <c r="F46" i="109"/>
  <c r="D61" i="109"/>
  <c r="G62" i="109"/>
  <c r="L59" i="109"/>
  <c r="K60" i="109"/>
  <c r="O97" i="109"/>
  <c r="F95" i="109"/>
  <c r="D94" i="109"/>
  <c r="L96" i="109"/>
  <c r="J94" i="109"/>
  <c r="E96" i="109"/>
  <c r="R101" i="109"/>
  <c r="F104" i="109"/>
  <c r="AJ10" i="108"/>
  <c r="AJ19" i="108"/>
  <c r="AF17" i="108"/>
  <c r="AD34" i="108"/>
  <c r="AC48" i="108"/>
  <c r="AE48" i="108"/>
  <c r="AD47" i="108"/>
  <c r="AC46" i="108"/>
  <c r="W45" i="108"/>
  <c r="W48" i="108"/>
  <c r="AE46" i="108"/>
  <c r="AH43" i="108" a="1"/>
  <c r="AH43" i="108" s="1"/>
  <c r="U47" i="108"/>
  <c r="AI48" i="108"/>
  <c r="AH81" i="108" a="1"/>
  <c r="AH81" i="108" s="1"/>
  <c r="L94" i="108" a="1"/>
  <c r="L94" i="108" s="1"/>
  <c r="P11" i="110"/>
  <c r="R27" i="110"/>
  <c r="N26" i="110"/>
  <c r="E25" i="110"/>
  <c r="P22" i="110" a="1"/>
  <c r="P22" i="110" s="1"/>
  <c r="N27" i="110"/>
  <c r="D26" i="110"/>
  <c r="R26" i="110"/>
  <c r="M24" i="110"/>
  <c r="E26" i="110"/>
  <c r="J24" i="110"/>
  <c r="L63" i="81"/>
  <c r="AJ18" i="107"/>
  <c r="X25" i="107"/>
  <c r="AD27" i="107"/>
  <c r="AB18" i="109"/>
  <c r="AC20" i="109"/>
  <c r="E45" i="109"/>
  <c r="K46" i="109"/>
  <c r="N48" i="109"/>
  <c r="P80" i="109"/>
  <c r="C102" i="109"/>
  <c r="Q104" i="109"/>
  <c r="AB80" i="108" a="1"/>
  <c r="AB80" i="108" s="1"/>
  <c r="Y82" i="108" a="1"/>
  <c r="Y82" i="108" s="1"/>
  <c r="O97" i="108" a="1"/>
  <c r="Q96" i="108" a="1"/>
  <c r="D96" i="108" a="1"/>
  <c r="D96" i="108" s="1"/>
  <c r="F95" i="108" a="1"/>
  <c r="F95" i="108" s="1"/>
  <c r="M94" i="108" a="1"/>
  <c r="Q97" i="108" a="1"/>
  <c r="M96" i="108" a="1"/>
  <c r="M95" i="108" a="1"/>
  <c r="O94" i="108" a="1"/>
  <c r="F97" i="108" a="1"/>
  <c r="F97" i="108" s="1"/>
  <c r="E96" i="108" a="1"/>
  <c r="D95" i="108" a="1"/>
  <c r="D95" i="108" s="1"/>
  <c r="F94" i="108" a="1"/>
  <c r="F94" i="108" s="1"/>
  <c r="D97" i="108" a="1"/>
  <c r="D97" i="108" s="1"/>
  <c r="C10" i="110"/>
  <c r="V81" i="110" a="1"/>
  <c r="AE83" i="110" a="1"/>
  <c r="AB60" i="107"/>
  <c r="Y62" i="107"/>
  <c r="N94" i="107"/>
  <c r="D96" i="107"/>
  <c r="E97" i="107"/>
  <c r="N101" i="107"/>
  <c r="P102" i="107"/>
  <c r="P103" i="107"/>
  <c r="L10" i="109"/>
  <c r="F11" i="109"/>
  <c r="M12" i="109"/>
  <c r="H13" i="109"/>
  <c r="J24" i="109"/>
  <c r="D25" i="109"/>
  <c r="R25" i="109"/>
  <c r="M26" i="109"/>
  <c r="N27" i="109"/>
  <c r="N39" i="109"/>
  <c r="X45" i="109"/>
  <c r="N76" i="109"/>
  <c r="P75" i="109"/>
  <c r="O74" i="109"/>
  <c r="G90" i="109"/>
  <c r="N90" i="109"/>
  <c r="D89" i="109"/>
  <c r="L87" i="109"/>
  <c r="H88" i="109"/>
  <c r="F90" i="109"/>
  <c r="R27" i="108"/>
  <c r="K25" i="108"/>
  <c r="AE55" i="108"/>
  <c r="AD55" i="108"/>
  <c r="AI54" i="108"/>
  <c r="W54" i="108"/>
  <c r="Z53" i="108"/>
  <c r="AD52" i="108"/>
  <c r="AH50" i="108" a="1"/>
  <c r="AH50" i="108" s="1"/>
  <c r="AH52" i="108"/>
  <c r="AH53" i="108"/>
  <c r="AH54" i="108"/>
  <c r="AI55" i="108"/>
  <c r="AG75" i="108" a="1"/>
  <c r="AG75" i="108" s="1"/>
  <c r="W74" i="108" a="1"/>
  <c r="W74" i="108" s="1"/>
  <c r="AA76" i="108" a="1"/>
  <c r="AA76" i="108" s="1"/>
  <c r="V88" i="108" a="1"/>
  <c r="V88" i="108" s="1"/>
  <c r="G104" i="108" a="1"/>
  <c r="C104" i="108" a="1"/>
  <c r="K102" i="108" a="1"/>
  <c r="F101" i="108" a="1"/>
  <c r="R102" i="108" a="1"/>
  <c r="Q104" i="108" a="1"/>
  <c r="AG19" i="110"/>
  <c r="X38" i="110"/>
  <c r="AF39" i="110"/>
  <c r="E52" i="110"/>
  <c r="P54" i="110"/>
  <c r="R53" i="110"/>
  <c r="H52" i="110"/>
  <c r="P50" i="110" a="1"/>
  <c r="P50" i="110" s="1"/>
  <c r="M55" i="110"/>
  <c r="Z60" i="110"/>
  <c r="U61" i="110"/>
  <c r="AF59" i="110"/>
  <c r="AH57" i="110" a="1"/>
  <c r="AJ83" i="110" a="1"/>
  <c r="AJ83" i="110" s="1"/>
  <c r="Z83" i="110" a="1"/>
  <c r="AD82" i="110" a="1"/>
  <c r="AD82" i="110" s="1"/>
  <c r="U82" i="110" a="1"/>
  <c r="AA81" i="110" a="1"/>
  <c r="AE80" i="110" a="1"/>
  <c r="V80" i="110" a="1"/>
  <c r="AH83" i="110" a="1"/>
  <c r="V83" i="110" a="1"/>
  <c r="AC82" i="110" a="1"/>
  <c r="AH81" i="110" a="1"/>
  <c r="W81" i="110" a="1"/>
  <c r="AD80" i="110" a="1"/>
  <c r="AD80" i="110" s="1"/>
  <c r="U80" i="110" a="1"/>
  <c r="AA83" i="110" a="1"/>
  <c r="AH82" i="110" a="1"/>
  <c r="X82" i="110" a="1"/>
  <c r="X82" i="110" s="1"/>
  <c r="AC81" i="110" a="1"/>
  <c r="AI80" i="110" a="1"/>
  <c r="Y80" i="110" a="1"/>
  <c r="Y82" i="110" a="1"/>
  <c r="AB89" i="108" a="1"/>
  <c r="AB89" i="108" s="1"/>
  <c r="V90" i="108" a="1"/>
  <c r="V90" i="108" s="1"/>
  <c r="Z87" i="108" a="1"/>
  <c r="Z87" i="108" s="1"/>
  <c r="X89" i="108" a="1"/>
  <c r="X89" i="108" s="1"/>
  <c r="AD41" i="110"/>
  <c r="AF41" i="110"/>
  <c r="AD40" i="110"/>
  <c r="V39" i="110"/>
  <c r="V38" i="110"/>
  <c r="AI38" i="110"/>
  <c r="AI40" i="110"/>
  <c r="F48" i="110"/>
  <c r="L48" i="110"/>
  <c r="L47" i="110"/>
  <c r="H48" i="110"/>
  <c r="H47" i="110"/>
  <c r="N46" i="110"/>
  <c r="R45" i="110"/>
  <c r="K45" i="110"/>
  <c r="H46" i="110"/>
  <c r="R55" i="110"/>
  <c r="AA80" i="110" a="1"/>
  <c r="AI82" i="110" a="1"/>
  <c r="M73" i="108"/>
  <c r="Q75" i="108"/>
  <c r="AB10" i="110"/>
  <c r="AI11" i="110"/>
  <c r="AI12" i="110"/>
  <c r="H18" i="110"/>
  <c r="J31" i="110"/>
  <c r="P32" i="110"/>
  <c r="K34" i="110"/>
  <c r="AJ55" i="110"/>
  <c r="R61" i="110"/>
  <c r="Z69" i="110"/>
  <c r="Y75" i="110" a="1"/>
  <c r="Y75" i="110" s="1"/>
  <c r="X88" i="110" a="1"/>
  <c r="AB52" i="110"/>
  <c r="Z53" i="110"/>
  <c r="Z54" i="110"/>
  <c r="J59" i="110"/>
  <c r="J89" i="110" a="1"/>
  <c r="AH39" i="102"/>
  <c r="G47" i="102"/>
  <c r="AG62" i="102"/>
  <c r="G74" i="102"/>
  <c r="R74" i="102"/>
  <c r="D95" i="102"/>
  <c r="L95" i="102"/>
  <c r="K96" i="102"/>
  <c r="J97" i="102"/>
  <c r="R97" i="102"/>
  <c r="J103" i="102"/>
  <c r="R103" i="102"/>
  <c r="D104" i="102"/>
  <c r="O104" i="102"/>
  <c r="AD25" i="105"/>
  <c r="Z26" i="105"/>
  <c r="Y27" i="105"/>
  <c r="AH27" i="105"/>
  <c r="AH61" i="105"/>
  <c r="AB74" i="105"/>
  <c r="D81" i="105"/>
  <c r="L81" i="105"/>
  <c r="K82" i="105"/>
  <c r="J83" i="105"/>
  <c r="R83" i="105"/>
  <c r="J18" i="102"/>
  <c r="AB19" i="102"/>
  <c r="AF20" i="102"/>
  <c r="Y38" i="102"/>
  <c r="D67" i="102"/>
  <c r="L67" i="102"/>
  <c r="J75" i="102"/>
  <c r="R75" i="102"/>
  <c r="F81" i="102"/>
  <c r="O81" i="102"/>
  <c r="F95" i="102"/>
  <c r="O95" i="102"/>
  <c r="K97" i="102"/>
  <c r="F19" i="105"/>
  <c r="P19" i="105"/>
  <c r="X24" i="105"/>
  <c r="AG24" i="105"/>
  <c r="AB27" i="105"/>
  <c r="AH40" i="105"/>
  <c r="G45" i="105"/>
  <c r="P45" i="105"/>
  <c r="K46" i="105"/>
  <c r="D47" i="105"/>
  <c r="L47" i="105"/>
  <c r="G48" i="105"/>
  <c r="P48" i="105"/>
  <c r="V52" i="105"/>
  <c r="AF52" i="105"/>
  <c r="AD53" i="105"/>
  <c r="Z54" i="105"/>
  <c r="AG60" i="105"/>
  <c r="AB62" i="105"/>
  <c r="P64" i="105"/>
  <c r="J66" i="105"/>
  <c r="D67" i="105"/>
  <c r="L67" i="105"/>
  <c r="F68" i="105"/>
  <c r="P68" i="105"/>
  <c r="J69" i="105"/>
  <c r="R69" i="105"/>
  <c r="AC75" i="105"/>
  <c r="D82" i="105"/>
  <c r="L82" i="105"/>
  <c r="K83" i="105"/>
  <c r="Z87" i="105"/>
  <c r="AF88" i="105"/>
  <c r="AH89" i="105"/>
  <c r="F44" i="81"/>
  <c r="D44" i="81"/>
  <c r="L44" i="81"/>
  <c r="M44" i="81" s="1"/>
  <c r="F55" i="81"/>
  <c r="D55" i="81"/>
  <c r="C55" i="81"/>
  <c r="I19" i="102"/>
  <c r="P33" i="102"/>
  <c r="F75" i="102"/>
  <c r="P75" i="102"/>
  <c r="G80" i="102"/>
  <c r="P80" i="102"/>
  <c r="J82" i="102"/>
  <c r="R82" i="102"/>
  <c r="J101" i="102"/>
  <c r="V24" i="105"/>
  <c r="AF24" i="105"/>
  <c r="AF60" i="105"/>
  <c r="Y62" i="105"/>
  <c r="F80" i="105"/>
  <c r="O80" i="105"/>
  <c r="J10" i="102"/>
  <c r="Y40" i="102"/>
  <c r="Y59" i="102"/>
  <c r="J69" i="102"/>
  <c r="R69" i="102"/>
  <c r="K74" i="102"/>
  <c r="J76" i="102"/>
  <c r="R76" i="102"/>
  <c r="P78" i="102"/>
  <c r="J80" i="102"/>
  <c r="G83" i="102"/>
  <c r="P83" i="102"/>
  <c r="D96" i="102"/>
  <c r="L96" i="102"/>
  <c r="L101" i="102"/>
  <c r="AB101" i="102"/>
  <c r="G102" i="102"/>
  <c r="R102" i="102"/>
  <c r="AJ102" i="102"/>
  <c r="K103" i="102"/>
  <c r="U103" i="102"/>
  <c r="G104" i="102"/>
  <c r="P104" i="102"/>
  <c r="AH104" i="102"/>
  <c r="F18" i="105"/>
  <c r="O18" i="105"/>
  <c r="AH22" i="105"/>
  <c r="K32" i="105"/>
  <c r="G34" i="105"/>
  <c r="P34" i="105"/>
  <c r="AG38" i="105"/>
  <c r="Y55" i="105"/>
  <c r="AH55" i="105"/>
  <c r="AD74" i="105"/>
  <c r="F81" i="105"/>
  <c r="O81" i="105"/>
  <c r="M10" i="102"/>
  <c r="F11" i="102"/>
  <c r="Q11" i="102"/>
  <c r="F12" i="102"/>
  <c r="R12" i="102"/>
  <c r="I13" i="102"/>
  <c r="R13" i="102"/>
  <c r="I17" i="102"/>
  <c r="AB18" i="102"/>
  <c r="AF19" i="102"/>
  <c r="E25" i="102"/>
  <c r="K27" i="102"/>
  <c r="D31" i="102"/>
  <c r="V31" i="102"/>
  <c r="D32" i="102"/>
  <c r="X32" i="102"/>
  <c r="D33" i="102"/>
  <c r="X33" i="102"/>
  <c r="F34" i="102"/>
  <c r="X34" i="102"/>
  <c r="K38" i="102"/>
  <c r="AG38" i="102"/>
  <c r="R39" i="102"/>
  <c r="AH40" i="102"/>
  <c r="Z41" i="102"/>
  <c r="F45" i="102"/>
  <c r="AF45" i="102"/>
  <c r="AD46" i="102"/>
  <c r="X47" i="102"/>
  <c r="V48" i="102"/>
  <c r="R52" i="102"/>
  <c r="G54" i="102"/>
  <c r="P55" i="102"/>
  <c r="Y60" i="102"/>
  <c r="P64" i="102"/>
  <c r="G66" i="102"/>
  <c r="P66" i="102"/>
  <c r="AC66" i="102"/>
  <c r="F67" i="102"/>
  <c r="O67" i="102"/>
  <c r="Z67" i="102"/>
  <c r="D68" i="102"/>
  <c r="L68" i="102"/>
  <c r="Y68" i="102"/>
  <c r="AH68" i="102"/>
  <c r="K69" i="102"/>
  <c r="X69" i="102"/>
  <c r="AG69" i="102"/>
  <c r="L73" i="102"/>
  <c r="Z73" i="102"/>
  <c r="D74" i="102"/>
  <c r="L74" i="102"/>
  <c r="Y74" i="102"/>
  <c r="AJ74" i="102"/>
  <c r="K75" i="102"/>
  <c r="U75" i="102"/>
  <c r="AJ75" i="102"/>
  <c r="K76" i="102"/>
  <c r="V76" i="102"/>
  <c r="L80" i="102"/>
  <c r="V80" i="102"/>
  <c r="AG80" i="102"/>
  <c r="G81" i="102"/>
  <c r="R81" i="102"/>
  <c r="AB81" i="102"/>
  <c r="D82" i="102"/>
  <c r="L82" i="102"/>
  <c r="X82" i="102"/>
  <c r="AH82" i="102"/>
  <c r="J83" i="102"/>
  <c r="R83" i="102"/>
  <c r="AC83" i="102"/>
  <c r="G87" i="102"/>
  <c r="P87" i="102"/>
  <c r="AB87" i="102"/>
  <c r="D88" i="102"/>
  <c r="L88" i="102"/>
  <c r="V88" i="102"/>
  <c r="AF88" i="102"/>
  <c r="J89" i="102"/>
  <c r="R89" i="102"/>
  <c r="AC89" i="102"/>
  <c r="D90" i="102"/>
  <c r="O90" i="102"/>
  <c r="X90" i="102"/>
  <c r="AG90" i="102"/>
  <c r="J94" i="102"/>
  <c r="V94" i="102"/>
  <c r="AF94" i="102"/>
  <c r="G95" i="102"/>
  <c r="R95" i="102"/>
  <c r="AD95" i="102"/>
  <c r="F96" i="102"/>
  <c r="P96" i="102"/>
  <c r="Z96" i="102"/>
  <c r="D97" i="102"/>
  <c r="O97" i="102"/>
  <c r="Y97" i="102"/>
  <c r="AH97" i="102"/>
  <c r="F101" i="102"/>
  <c r="O101" i="102"/>
  <c r="AF101" i="102"/>
  <c r="K102" i="102"/>
  <c r="Y102" i="102"/>
  <c r="D103" i="102"/>
  <c r="L103" i="102"/>
  <c r="AC103" i="102"/>
  <c r="J104" i="102"/>
  <c r="R104" i="102"/>
  <c r="AJ104" i="102"/>
  <c r="F10" i="105"/>
  <c r="O10" i="105"/>
  <c r="G11" i="105"/>
  <c r="R11" i="105"/>
  <c r="K12" i="105"/>
  <c r="D13" i="105"/>
  <c r="O13" i="105"/>
  <c r="P15" i="105"/>
  <c r="G17" i="105"/>
  <c r="P17" i="105"/>
  <c r="AF17" i="105"/>
  <c r="G18" i="105"/>
  <c r="R18" i="105"/>
  <c r="AD18" i="105"/>
  <c r="J19" i="105"/>
  <c r="R19" i="105"/>
  <c r="AJ19" i="105"/>
  <c r="K20" i="105"/>
  <c r="V20" i="105"/>
  <c r="F24" i="105"/>
  <c r="O24" i="105"/>
  <c r="Z24" i="105"/>
  <c r="D25" i="105"/>
  <c r="L25" i="105"/>
  <c r="Y25" i="105"/>
  <c r="AG25" i="105"/>
  <c r="K26" i="105"/>
  <c r="X26" i="105"/>
  <c r="AF26" i="105"/>
  <c r="J27" i="105"/>
  <c r="R27" i="105"/>
  <c r="AD27" i="105"/>
  <c r="P29" i="105"/>
  <c r="J31" i="105"/>
  <c r="X31" i="105"/>
  <c r="D32" i="105"/>
  <c r="L32" i="105"/>
  <c r="Z32" i="105"/>
  <c r="F33" i="105"/>
  <c r="P33" i="105"/>
  <c r="AF33" i="105"/>
  <c r="J34" i="105"/>
  <c r="R34" i="105"/>
  <c r="AH34" i="105"/>
  <c r="F38" i="105"/>
  <c r="O38" i="105"/>
  <c r="AH38" i="105"/>
  <c r="K39" i="105"/>
  <c r="U39" i="105"/>
  <c r="F40" i="105"/>
  <c r="P40" i="105"/>
  <c r="AJ40" i="105"/>
  <c r="K41" i="105"/>
  <c r="V41" i="105"/>
  <c r="P43" i="105"/>
  <c r="J45" i="105"/>
  <c r="D46" i="105"/>
  <c r="L46" i="105"/>
  <c r="F47" i="105"/>
  <c r="P47" i="105"/>
  <c r="J48" i="105"/>
  <c r="R48" i="105"/>
  <c r="AH50" i="105"/>
  <c r="L52" i="105"/>
  <c r="X52" i="105"/>
  <c r="AG52" i="105"/>
  <c r="K53" i="105"/>
  <c r="V53" i="105"/>
  <c r="AF53" i="105"/>
  <c r="J54" i="105"/>
  <c r="R54" i="105"/>
  <c r="AD54" i="105"/>
  <c r="G55" i="105"/>
  <c r="P55" i="105"/>
  <c r="AB55" i="105"/>
  <c r="G59" i="105"/>
  <c r="P59" i="105"/>
  <c r="AG59" i="105"/>
  <c r="K60" i="105"/>
  <c r="Y60" i="105"/>
  <c r="D61" i="105"/>
  <c r="L61" i="105"/>
  <c r="Z61" i="105"/>
  <c r="G62" i="105"/>
  <c r="P62" i="105"/>
  <c r="AG62" i="105"/>
  <c r="L66" i="105"/>
  <c r="F67" i="105"/>
  <c r="O67" i="105"/>
  <c r="J68" i="105"/>
  <c r="R68" i="105"/>
  <c r="K69" i="105"/>
  <c r="G73" i="105"/>
  <c r="P73" i="105"/>
  <c r="F74" i="105"/>
  <c r="O74" i="105"/>
  <c r="D75" i="105"/>
  <c r="L75" i="105"/>
  <c r="AD75" i="105"/>
  <c r="K76" i="105"/>
  <c r="AC76" i="105"/>
  <c r="J80" i="105"/>
  <c r="V80" i="105"/>
  <c r="AF80" i="105"/>
  <c r="G81" i="105"/>
  <c r="R81" i="105"/>
  <c r="AD81" i="105"/>
  <c r="F82" i="105"/>
  <c r="P82" i="105"/>
  <c r="Z82" i="105"/>
  <c r="D83" i="105"/>
  <c r="O83" i="105"/>
  <c r="Y83" i="105"/>
  <c r="F87" i="105"/>
  <c r="O87" i="105"/>
  <c r="AF87" i="105"/>
  <c r="G88" i="105"/>
  <c r="R88" i="105"/>
  <c r="AG88" i="105"/>
  <c r="K89" i="105"/>
  <c r="Y89" i="105"/>
  <c r="D90" i="105"/>
  <c r="L97" i="105"/>
  <c r="R97" i="105"/>
  <c r="J97" i="105"/>
  <c r="L96" i="105"/>
  <c r="D96" i="105"/>
  <c r="R95" i="105"/>
  <c r="G95" i="105"/>
  <c r="L94" i="105"/>
  <c r="G94" i="105"/>
  <c r="K95" i="105"/>
  <c r="K96" i="105"/>
  <c r="O97" i="105"/>
  <c r="D21" i="81"/>
  <c r="C42" i="81"/>
  <c r="C44" i="81"/>
  <c r="F47" i="81"/>
  <c r="K47" i="81"/>
  <c r="F48" i="81"/>
  <c r="D48" i="81"/>
  <c r="L48" i="81"/>
  <c r="M48" i="81" s="1"/>
  <c r="F53" i="81"/>
  <c r="G53" i="81"/>
  <c r="K55" i="81"/>
  <c r="O31" i="102"/>
  <c r="P34" i="102"/>
  <c r="N11" i="102"/>
  <c r="E12" i="102"/>
  <c r="N12" i="102"/>
  <c r="F13" i="102"/>
  <c r="Q13" i="102"/>
  <c r="U31" i="102"/>
  <c r="AF31" i="102"/>
  <c r="U32" i="102"/>
  <c r="AF32" i="102"/>
  <c r="V33" i="102"/>
  <c r="AG33" i="102"/>
  <c r="V34" i="102"/>
  <c r="AG34" i="102"/>
  <c r="AD45" i="102"/>
  <c r="X46" i="102"/>
  <c r="V47" i="102"/>
  <c r="G48" i="102"/>
  <c r="AG48" i="102"/>
  <c r="F66" i="102"/>
  <c r="O66" i="102"/>
  <c r="K68" i="102"/>
  <c r="P71" i="102"/>
  <c r="J73" i="102"/>
  <c r="K82" i="102"/>
  <c r="P92" i="102"/>
  <c r="G94" i="102"/>
  <c r="P94" i="102"/>
  <c r="F17" i="105"/>
  <c r="O17" i="105"/>
  <c r="J20" i="105"/>
  <c r="R20" i="105"/>
  <c r="V25" i="105"/>
  <c r="AF25" i="105"/>
  <c r="AD26" i="105"/>
  <c r="G31" i="105"/>
  <c r="P31" i="105"/>
  <c r="D33" i="105"/>
  <c r="L33" i="105"/>
  <c r="AF59" i="105"/>
  <c r="Y61" i="105"/>
  <c r="P78" i="105"/>
  <c r="G80" i="105"/>
  <c r="P80" i="105"/>
  <c r="AH90" i="105"/>
  <c r="E10" i="102"/>
  <c r="N10" i="102"/>
  <c r="I11" i="102"/>
  <c r="R11" i="102"/>
  <c r="J12" i="102"/>
  <c r="J13" i="102"/>
  <c r="X17" i="102"/>
  <c r="AE18" i="102"/>
  <c r="F31" i="102"/>
  <c r="AB31" i="102"/>
  <c r="F32" i="102"/>
  <c r="AC32" i="102"/>
  <c r="G33" i="102"/>
  <c r="AC33" i="102"/>
  <c r="G34" i="102"/>
  <c r="Y39" i="102"/>
  <c r="AH41" i="102"/>
  <c r="U45" i="102"/>
  <c r="AF46" i="102"/>
  <c r="AD47" i="102"/>
  <c r="X48" i="102"/>
  <c r="J66" i="102"/>
  <c r="V66" i="102"/>
  <c r="AF66" i="102"/>
  <c r="G67" i="102"/>
  <c r="R67" i="102"/>
  <c r="AD67" i="102"/>
  <c r="F68" i="102"/>
  <c r="P68" i="102"/>
  <c r="Z68" i="102"/>
  <c r="D69" i="102"/>
  <c r="O69" i="102"/>
  <c r="Y69" i="102"/>
  <c r="AH69" i="102"/>
  <c r="F73" i="102"/>
  <c r="O73" i="102"/>
  <c r="F74" i="102"/>
  <c r="O74" i="102"/>
  <c r="D75" i="102"/>
  <c r="L75" i="102"/>
  <c r="D76" i="102"/>
  <c r="O76" i="102"/>
  <c r="F80" i="102"/>
  <c r="O80" i="102"/>
  <c r="Z80" i="102"/>
  <c r="AH80" i="102"/>
  <c r="K81" i="102"/>
  <c r="U81" i="102"/>
  <c r="AD81" i="102"/>
  <c r="F82" i="102"/>
  <c r="P82" i="102"/>
  <c r="Z82" i="102"/>
  <c r="AJ82" i="102"/>
  <c r="K83" i="102"/>
  <c r="V83" i="102"/>
  <c r="AD83" i="102"/>
  <c r="U87" i="102"/>
  <c r="AC87" i="102"/>
  <c r="Y88" i="102"/>
  <c r="AJ88" i="102"/>
  <c r="U89" i="102"/>
  <c r="AD89" i="102"/>
  <c r="Y90" i="102"/>
  <c r="AJ90" i="102"/>
  <c r="L94" i="102"/>
  <c r="X94" i="102"/>
  <c r="AG94" i="102"/>
  <c r="K95" i="102"/>
  <c r="V95" i="102"/>
  <c r="AF95" i="102"/>
  <c r="J96" i="102"/>
  <c r="R96" i="102"/>
  <c r="AD96" i="102"/>
  <c r="G97" i="102"/>
  <c r="P97" i="102"/>
  <c r="G101" i="102"/>
  <c r="P101" i="102"/>
  <c r="D102" i="102"/>
  <c r="L102" i="102"/>
  <c r="Z102" i="102"/>
  <c r="F103" i="102"/>
  <c r="P103" i="102"/>
  <c r="AF103" i="102"/>
  <c r="K104" i="102"/>
  <c r="Y104" i="102"/>
  <c r="G10" i="105"/>
  <c r="P10" i="105"/>
  <c r="K11" i="105"/>
  <c r="D12" i="105"/>
  <c r="L12" i="105"/>
  <c r="G13" i="105"/>
  <c r="P13" i="105"/>
  <c r="J17" i="105"/>
  <c r="V17" i="105"/>
  <c r="AH17" i="105"/>
  <c r="K18" i="105"/>
  <c r="U18" i="105"/>
  <c r="AJ18" i="105"/>
  <c r="K19" i="105"/>
  <c r="U19" i="105"/>
  <c r="D20" i="105"/>
  <c r="O20" i="105"/>
  <c r="AC24" i="105"/>
  <c r="Z25" i="105"/>
  <c r="Y26" i="105"/>
  <c r="AH26" i="105"/>
  <c r="X27" i="105"/>
  <c r="L31" i="105"/>
  <c r="Z31" i="105"/>
  <c r="F32" i="105"/>
  <c r="O32" i="105"/>
  <c r="AF32" i="105"/>
  <c r="J33" i="105"/>
  <c r="R33" i="105"/>
  <c r="AH33" i="105"/>
  <c r="K34" i="105"/>
  <c r="Y34" i="105"/>
  <c r="G38" i="105"/>
  <c r="P38" i="105"/>
  <c r="D39" i="105"/>
  <c r="L39" i="105"/>
  <c r="AG39" i="105"/>
  <c r="J40" i="105"/>
  <c r="R40" i="105"/>
  <c r="D41" i="105"/>
  <c r="O41" i="105"/>
  <c r="AH41" i="105"/>
  <c r="AD48" i="105"/>
  <c r="L45" i="105"/>
  <c r="F46" i="105"/>
  <c r="O46" i="105"/>
  <c r="J47" i="105"/>
  <c r="R47" i="105"/>
  <c r="K48" i="105"/>
  <c r="F52" i="105"/>
  <c r="O52" i="105"/>
  <c r="Z52" i="105"/>
  <c r="D53" i="105"/>
  <c r="L53" i="105"/>
  <c r="Y53" i="105"/>
  <c r="AG53" i="105"/>
  <c r="K54" i="105"/>
  <c r="X54" i="105"/>
  <c r="AF54" i="105"/>
  <c r="J55" i="105"/>
  <c r="R55" i="105"/>
  <c r="X59" i="105"/>
  <c r="Z60" i="105"/>
  <c r="AF61" i="105"/>
  <c r="AH62" i="105"/>
  <c r="F66" i="105"/>
  <c r="O66" i="105"/>
  <c r="G67" i="105"/>
  <c r="R67" i="105"/>
  <c r="K68" i="105"/>
  <c r="D69" i="105"/>
  <c r="O69" i="105"/>
  <c r="AB73" i="105"/>
  <c r="AD76" i="105"/>
  <c r="L80" i="105"/>
  <c r="K81" i="105"/>
  <c r="J82" i="105"/>
  <c r="R82" i="105"/>
  <c r="G83" i="105"/>
  <c r="P83" i="105"/>
  <c r="L90" i="105"/>
  <c r="P90" i="105"/>
  <c r="G90" i="105"/>
  <c r="G87" i="105"/>
  <c r="P87" i="105"/>
  <c r="AG87" i="105"/>
  <c r="K88" i="105"/>
  <c r="Y88" i="105"/>
  <c r="D89" i="105"/>
  <c r="L89" i="105"/>
  <c r="Z89" i="105"/>
  <c r="J90" i="105"/>
  <c r="Y90" i="105"/>
  <c r="D41" i="81"/>
  <c r="I41" i="81"/>
  <c r="G42" i="81"/>
  <c r="G44" i="81"/>
  <c r="C47" i="81"/>
  <c r="C48" i="81"/>
  <c r="E52" i="81"/>
  <c r="L55" i="81"/>
  <c r="M55" i="81" s="1"/>
  <c r="P32" i="102"/>
  <c r="G73" i="102"/>
  <c r="P73" i="102"/>
  <c r="G76" i="102"/>
  <c r="P76" i="102"/>
  <c r="D81" i="102"/>
  <c r="L81" i="102"/>
  <c r="D83" i="102"/>
  <c r="O83" i="102"/>
  <c r="F94" i="102"/>
  <c r="O94" i="102"/>
  <c r="F102" i="102"/>
  <c r="O102" i="102"/>
  <c r="G66" i="105"/>
  <c r="P66" i="105"/>
  <c r="K67" i="105"/>
  <c r="D68" i="105"/>
  <c r="L68" i="105"/>
  <c r="G69" i="105"/>
  <c r="P69" i="105"/>
  <c r="AC73" i="105"/>
  <c r="H48" i="81"/>
  <c r="C60" i="81"/>
  <c r="K61" i="81"/>
  <c r="I73" i="81"/>
  <c r="C76" i="81"/>
  <c r="D81" i="81"/>
  <c r="D93" i="81"/>
  <c r="E124" i="81"/>
  <c r="AB17" i="107"/>
  <c r="AJ17" i="107"/>
  <c r="AC18" i="107"/>
  <c r="X19" i="107"/>
  <c r="AG19" i="107"/>
  <c r="Y20" i="107"/>
  <c r="AJ20" i="107"/>
  <c r="AH50" i="107"/>
  <c r="U53" i="107"/>
  <c r="X54" i="107"/>
  <c r="AC55" i="107"/>
  <c r="Y59" i="107"/>
  <c r="AF59" i="107"/>
  <c r="V60" i="107"/>
  <c r="AD60" i="107"/>
  <c r="U61" i="107"/>
  <c r="AB61" i="107"/>
  <c r="AJ61" i="107"/>
  <c r="Z62" i="107"/>
  <c r="AG62" i="107"/>
  <c r="U66" i="107"/>
  <c r="AC66" i="107"/>
  <c r="V67" i="107"/>
  <c r="AG67" i="107"/>
  <c r="Z68" i="107"/>
  <c r="AH68" i="107"/>
  <c r="AC69" i="107"/>
  <c r="AD73" i="107"/>
  <c r="AC74" i="107"/>
  <c r="AB75" i="107"/>
  <c r="Y76" i="107"/>
  <c r="AA26" i="109"/>
  <c r="M31" i="109"/>
  <c r="AD31" i="109"/>
  <c r="K32" i="109"/>
  <c r="AB32" i="109"/>
  <c r="J33" i="109"/>
  <c r="AE33" i="109"/>
  <c r="P34" i="109"/>
  <c r="I38" i="109"/>
  <c r="D39" i="109"/>
  <c r="H40" i="109"/>
  <c r="C41" i="109"/>
  <c r="P41" i="109"/>
  <c r="M52" i="109"/>
  <c r="P53" i="109"/>
  <c r="Q54" i="109"/>
  <c r="Q62" i="109"/>
  <c r="R62" i="109"/>
  <c r="K62" i="109"/>
  <c r="C62" i="109"/>
  <c r="M61" i="109"/>
  <c r="F61" i="109"/>
  <c r="N60" i="109"/>
  <c r="G60" i="109"/>
  <c r="F59" i="109"/>
  <c r="M59" i="109"/>
  <c r="C60" i="109"/>
  <c r="L60" i="109"/>
  <c r="H61" i="109"/>
  <c r="Q61" i="109"/>
  <c r="H62" i="109"/>
  <c r="N69" i="109"/>
  <c r="D69" i="109"/>
  <c r="M68" i="109"/>
  <c r="R67" i="109"/>
  <c r="H67" i="109"/>
  <c r="P66" i="109"/>
  <c r="E66" i="109"/>
  <c r="J66" i="109"/>
  <c r="G67" i="109"/>
  <c r="E68" i="109"/>
  <c r="P68" i="109"/>
  <c r="L69" i="109"/>
  <c r="AE18" i="108"/>
  <c r="AH22" i="108" a="1"/>
  <c r="AH22" i="108" s="1"/>
  <c r="AF24" i="108"/>
  <c r="AE25" i="108"/>
  <c r="U27" i="108"/>
  <c r="AH33" i="108"/>
  <c r="W32" i="108"/>
  <c r="AH29" i="108" a="1"/>
  <c r="AH29" i="108" s="1"/>
  <c r="AD33" i="108"/>
  <c r="Y31" i="108"/>
  <c r="AI32" i="108"/>
  <c r="E39" i="108"/>
  <c r="J40" i="108"/>
  <c r="P43" i="108" a="1"/>
  <c r="M45" i="108"/>
  <c r="E46" i="108"/>
  <c r="L51" i="81"/>
  <c r="K56" i="81"/>
  <c r="G59" i="81"/>
  <c r="H59" i="81" s="1"/>
  <c r="D60" i="81"/>
  <c r="C61" i="81"/>
  <c r="K64" i="81"/>
  <c r="C72" i="81"/>
  <c r="D76" i="81"/>
  <c r="D78" i="81"/>
  <c r="C80" i="81"/>
  <c r="F81" i="81"/>
  <c r="D89" i="81"/>
  <c r="F93" i="81"/>
  <c r="E119" i="81"/>
  <c r="AH15" i="107"/>
  <c r="AC17" i="107"/>
  <c r="V18" i="107"/>
  <c r="AG18" i="107"/>
  <c r="Y19" i="107"/>
  <c r="AH19" i="107"/>
  <c r="AC20" i="107"/>
  <c r="AD24" i="107"/>
  <c r="AH25" i="107"/>
  <c r="AJ26" i="107"/>
  <c r="V31" i="107"/>
  <c r="AD31" i="107"/>
  <c r="U32" i="107"/>
  <c r="AB32" i="107"/>
  <c r="AJ32" i="107"/>
  <c r="Z33" i="107"/>
  <c r="AG33" i="107"/>
  <c r="Y34" i="107"/>
  <c r="AF34" i="107"/>
  <c r="AH38" i="107"/>
  <c r="V40" i="107"/>
  <c r="X52" i="107"/>
  <c r="Y53" i="107"/>
  <c r="AD54" i="107"/>
  <c r="AF55" i="107"/>
  <c r="AH57" i="107"/>
  <c r="Z59" i="107"/>
  <c r="AG59" i="107"/>
  <c r="Y60" i="107"/>
  <c r="AF60" i="107"/>
  <c r="V61" i="107"/>
  <c r="AD61" i="107"/>
  <c r="U62" i="107"/>
  <c r="AB62" i="107"/>
  <c r="AJ62" i="107"/>
  <c r="V66" i="107"/>
  <c r="AF66" i="107"/>
  <c r="Z67" i="107"/>
  <c r="AH67" i="107"/>
  <c r="AB68" i="107"/>
  <c r="V69" i="107"/>
  <c r="AF69" i="107"/>
  <c r="AH71" i="107"/>
  <c r="AH73" i="107"/>
  <c r="AG74" i="107"/>
  <c r="AD75" i="107"/>
  <c r="AC76" i="107"/>
  <c r="H87" i="107"/>
  <c r="E88" i="107"/>
  <c r="R88" i="107"/>
  <c r="P89" i="107"/>
  <c r="P90" i="107"/>
  <c r="H94" i="107"/>
  <c r="Q94" i="107"/>
  <c r="H95" i="107"/>
  <c r="Q95" i="107"/>
  <c r="I96" i="107"/>
  <c r="Q96" i="107"/>
  <c r="J97" i="107"/>
  <c r="L101" i="107"/>
  <c r="H102" i="107"/>
  <c r="E103" i="107"/>
  <c r="E104" i="107"/>
  <c r="I10" i="109"/>
  <c r="R10" i="109"/>
  <c r="H11" i="109"/>
  <c r="R11" i="109"/>
  <c r="F12" i="109"/>
  <c r="N12" i="109"/>
  <c r="G13" i="109"/>
  <c r="AH17" i="109"/>
  <c r="AA19" i="109"/>
  <c r="E24" i="109"/>
  <c r="L24" i="109"/>
  <c r="R24" i="109"/>
  <c r="F25" i="109"/>
  <c r="L25" i="109"/>
  <c r="X25" i="109"/>
  <c r="H26" i="109"/>
  <c r="P26" i="109"/>
  <c r="C27" i="109"/>
  <c r="J27" i="109"/>
  <c r="P27" i="109"/>
  <c r="AF29" i="109"/>
  <c r="N31" i="109"/>
  <c r="AE31" i="109"/>
  <c r="P32" i="109"/>
  <c r="AF32" i="109"/>
  <c r="L33" i="109"/>
  <c r="F34" i="109"/>
  <c r="U34" i="109"/>
  <c r="M38" i="109"/>
  <c r="F39" i="109"/>
  <c r="I40" i="109"/>
  <c r="D41" i="109"/>
  <c r="L45" i="109"/>
  <c r="D46" i="109"/>
  <c r="X46" i="109"/>
  <c r="L47" i="109"/>
  <c r="R52" i="109"/>
  <c r="R53" i="109"/>
  <c r="G55" i="109"/>
  <c r="P57" i="109"/>
  <c r="H59" i="109"/>
  <c r="N59" i="109"/>
  <c r="F60" i="109"/>
  <c r="P60" i="109"/>
  <c r="I61" i="109"/>
  <c r="R61" i="109"/>
  <c r="L62" i="109"/>
  <c r="M66" i="109"/>
  <c r="J67" i="109"/>
  <c r="H68" i="109"/>
  <c r="C69" i="109"/>
  <c r="R69" i="109"/>
  <c r="L73" i="109"/>
  <c r="P74" i="109"/>
  <c r="F80" i="109"/>
  <c r="L81" i="109"/>
  <c r="F87" i="109"/>
  <c r="R87" i="109"/>
  <c r="L88" i="109"/>
  <c r="L89" i="109"/>
  <c r="H97" i="109"/>
  <c r="J96" i="109"/>
  <c r="K95" i="109"/>
  <c r="E94" i="109"/>
  <c r="P97" i="109"/>
  <c r="Q96" i="109"/>
  <c r="N95" i="109"/>
  <c r="R94" i="109"/>
  <c r="M94" i="109"/>
  <c r="D96" i="109"/>
  <c r="J97" i="109"/>
  <c r="AI13" i="108"/>
  <c r="AJ12" i="108"/>
  <c r="AG11" i="108"/>
  <c r="U10" i="108"/>
  <c r="AF13" i="108"/>
  <c r="AI11" i="108"/>
  <c r="AH8" i="108"/>
  <c r="AE12" i="108"/>
  <c r="X27" i="108"/>
  <c r="W31" i="108"/>
  <c r="AC34" i="108"/>
  <c r="E38" i="108"/>
  <c r="G39" i="108"/>
  <c r="R40" i="108"/>
  <c r="P46" i="108"/>
  <c r="E47" i="108"/>
  <c r="AI62" i="108"/>
  <c r="AE61" i="108"/>
  <c r="AA59" i="108"/>
  <c r="U62" i="108"/>
  <c r="AJ76" i="108" a="1"/>
  <c r="AJ76" i="108" s="1"/>
  <c r="W76" i="108" a="1"/>
  <c r="W76" i="108" s="1"/>
  <c r="AI75" i="108" a="1"/>
  <c r="AI75" i="108" s="1"/>
  <c r="AF75" i="108" a="1"/>
  <c r="AF75" i="108" s="1"/>
  <c r="AC75" i="108" a="1"/>
  <c r="AC75" i="108" s="1"/>
  <c r="W75" i="108" a="1"/>
  <c r="W75" i="108" s="1"/>
  <c r="AH74" i="108" a="1"/>
  <c r="AH74" i="108" s="1"/>
  <c r="AE74" i="108" a="1"/>
  <c r="AE74" i="108" s="1"/>
  <c r="AA74" i="108" a="1"/>
  <c r="AA74" i="108" s="1"/>
  <c r="X74" i="108" a="1"/>
  <c r="X74" i="108" s="1"/>
  <c r="AH73" i="108" a="1"/>
  <c r="AH73" i="108" s="1"/>
  <c r="X73" i="108" a="1"/>
  <c r="X73" i="108" s="1"/>
  <c r="AH71" i="108" a="1"/>
  <c r="AH71" i="108" s="1"/>
  <c r="AE76" i="108" a="1"/>
  <c r="AE76" i="108" s="1"/>
  <c r="Y76" i="108" a="1"/>
  <c r="Y76" i="108" s="1"/>
  <c r="AH75" i="108" a="1"/>
  <c r="AH75" i="108" s="1"/>
  <c r="AE75" i="108" a="1"/>
  <c r="AE75" i="108" s="1"/>
  <c r="Z75" i="108" a="1"/>
  <c r="Z75" i="108" s="1"/>
  <c r="V75" i="108" a="1"/>
  <c r="V75" i="108" s="1"/>
  <c r="AF74" i="108" a="1"/>
  <c r="AF74" i="108" s="1"/>
  <c r="Z74" i="108" a="1"/>
  <c r="Z74" i="108" s="1"/>
  <c r="V74" i="108" a="1"/>
  <c r="V74" i="108" s="1"/>
  <c r="AB73" i="108" a="1"/>
  <c r="AB73" i="108" s="1"/>
  <c r="AC76" i="108" a="1"/>
  <c r="AC76" i="108" s="1"/>
  <c r="U76" i="108" a="1"/>
  <c r="U76" i="108" s="1"/>
  <c r="AD75" i="108" a="1"/>
  <c r="AD75" i="108" s="1"/>
  <c r="Y75" i="108" a="1"/>
  <c r="Y75" i="108" s="1"/>
  <c r="U75" i="108" a="1"/>
  <c r="U75" i="108" s="1"/>
  <c r="AI74" i="108" a="1"/>
  <c r="AI74" i="108" s="1"/>
  <c r="AD74" i="108" a="1"/>
  <c r="AD74" i="108" s="1"/>
  <c r="U74" i="108" a="1"/>
  <c r="U74" i="108" s="1"/>
  <c r="Z73" i="108" a="1"/>
  <c r="Z73" i="108" s="1"/>
  <c r="V73" i="108" a="1"/>
  <c r="V73" i="108" s="1"/>
  <c r="AJ73" i="108" a="1"/>
  <c r="AJ73" i="108" s="1"/>
  <c r="AB74" i="108" a="1"/>
  <c r="AB74" i="108" s="1"/>
  <c r="AJ74" i="108" a="1"/>
  <c r="AJ74" i="108" s="1"/>
  <c r="AA75" i="108" a="1"/>
  <c r="AA75" i="108" s="1"/>
  <c r="AJ75" i="108" a="1"/>
  <c r="AJ75" i="108" s="1"/>
  <c r="AG76" i="108" a="1"/>
  <c r="AG76" i="108" s="1"/>
  <c r="AD87" i="108" a="1"/>
  <c r="AD87" i="108" s="1"/>
  <c r="AD88" i="108" a="1"/>
  <c r="AD88" i="108" s="1"/>
  <c r="AG94" i="105"/>
  <c r="AH96" i="105"/>
  <c r="G101" i="105"/>
  <c r="P101" i="105"/>
  <c r="K102" i="105"/>
  <c r="D103" i="105"/>
  <c r="L103" i="105"/>
  <c r="G104" i="105"/>
  <c r="P104" i="105"/>
  <c r="K40" i="81"/>
  <c r="M40" i="81" s="1"/>
  <c r="C51" i="81"/>
  <c r="K52" i="81"/>
  <c r="M52" i="81" s="1"/>
  <c r="C56" i="81"/>
  <c r="E56" i="81" s="1"/>
  <c r="K57" i="81"/>
  <c r="L59" i="81"/>
  <c r="I60" i="81"/>
  <c r="D61" i="81"/>
  <c r="C64" i="81"/>
  <c r="E64" i="81" s="1"/>
  <c r="C68" i="81"/>
  <c r="F72" i="81"/>
  <c r="J78" i="81"/>
  <c r="K78" i="81" s="1"/>
  <c r="F80" i="81"/>
  <c r="J87" i="81"/>
  <c r="F89" i="81"/>
  <c r="F92" i="81"/>
  <c r="E111" i="81"/>
  <c r="V17" i="107"/>
  <c r="AD17" i="107"/>
  <c r="Y18" i="107"/>
  <c r="AH18" i="107"/>
  <c r="AB19" i="107"/>
  <c r="V20" i="107"/>
  <c r="AJ24" i="107"/>
  <c r="U26" i="107"/>
  <c r="Y31" i="107"/>
  <c r="AF31" i="107"/>
  <c r="V32" i="107"/>
  <c r="AD32" i="107"/>
  <c r="U33" i="107"/>
  <c r="AB33" i="107"/>
  <c r="AJ33" i="107"/>
  <c r="Z34" i="107"/>
  <c r="AG34" i="107"/>
  <c r="Z52" i="107"/>
  <c r="AF53" i="107"/>
  <c r="AH54" i="107"/>
  <c r="AJ55" i="107"/>
  <c r="U59" i="107"/>
  <c r="AB59" i="107"/>
  <c r="AJ59" i="107"/>
  <c r="Z60" i="107"/>
  <c r="AG60" i="107"/>
  <c r="Y61" i="107"/>
  <c r="AF61" i="107"/>
  <c r="V62" i="107"/>
  <c r="AD62" i="107"/>
  <c r="X66" i="107"/>
  <c r="AH66" i="107"/>
  <c r="AB67" i="107"/>
  <c r="U68" i="107"/>
  <c r="AF68" i="107"/>
  <c r="X69" i="107"/>
  <c r="AG69" i="107"/>
  <c r="X73" i="107"/>
  <c r="V74" i="107"/>
  <c r="AJ74" i="107"/>
  <c r="AH75" i="107"/>
  <c r="AG76" i="107"/>
  <c r="L87" i="107"/>
  <c r="H88" i="107"/>
  <c r="E89" i="107"/>
  <c r="E90" i="107"/>
  <c r="I94" i="107"/>
  <c r="R94" i="107"/>
  <c r="J95" i="107"/>
  <c r="R95" i="107"/>
  <c r="J96" i="107"/>
  <c r="D97" i="107"/>
  <c r="AB10" i="109"/>
  <c r="V11" i="109"/>
  <c r="F24" i="109"/>
  <c r="M24" i="109"/>
  <c r="Z24" i="109"/>
  <c r="G25" i="109"/>
  <c r="O25" i="109"/>
  <c r="AD25" i="109"/>
  <c r="J26" i="109"/>
  <c r="Q26" i="109"/>
  <c r="D27" i="109"/>
  <c r="K27" i="109"/>
  <c r="AH27" i="109"/>
  <c r="D31" i="109"/>
  <c r="V31" i="109"/>
  <c r="F32" i="109"/>
  <c r="R32" i="109"/>
  <c r="AH32" i="109"/>
  <c r="P33" i="109"/>
  <c r="K34" i="109"/>
  <c r="AB34" i="109"/>
  <c r="D38" i="109"/>
  <c r="N38" i="109"/>
  <c r="K39" i="109"/>
  <c r="N40" i="109"/>
  <c r="AB46" i="109"/>
  <c r="E52" i="109"/>
  <c r="D53" i="109"/>
  <c r="J54" i="109"/>
  <c r="I59" i="109"/>
  <c r="Q59" i="109"/>
  <c r="H60" i="109"/>
  <c r="R60" i="109"/>
  <c r="L61" i="109"/>
  <c r="F62" i="109"/>
  <c r="N62" i="109"/>
  <c r="D66" i="109"/>
  <c r="R66" i="109"/>
  <c r="N67" i="109"/>
  <c r="I68" i="109"/>
  <c r="G69" i="109"/>
  <c r="K76" i="109"/>
  <c r="I75" i="109"/>
  <c r="C74" i="109"/>
  <c r="D73" i="109"/>
  <c r="Q73" i="109"/>
  <c r="N75" i="109"/>
  <c r="J83" i="109"/>
  <c r="J82" i="109"/>
  <c r="D81" i="109"/>
  <c r="O83" i="109"/>
  <c r="M80" i="109"/>
  <c r="R81" i="109"/>
  <c r="Q90" i="109"/>
  <c r="R90" i="109"/>
  <c r="K90" i="109"/>
  <c r="C90" i="109"/>
  <c r="M89" i="109"/>
  <c r="F89" i="109"/>
  <c r="N88" i="109"/>
  <c r="G88" i="109"/>
  <c r="Q87" i="109"/>
  <c r="I87" i="109"/>
  <c r="L90" i="109"/>
  <c r="R89" i="109"/>
  <c r="I89" i="109"/>
  <c r="P88" i="109"/>
  <c r="F88" i="109"/>
  <c r="M87" i="109"/>
  <c r="D87" i="109"/>
  <c r="H87" i="109"/>
  <c r="C88" i="109"/>
  <c r="R88" i="109"/>
  <c r="N89" i="109"/>
  <c r="H90" i="109"/>
  <c r="AE20" i="108"/>
  <c r="AJ17" i="108"/>
  <c r="AH20" i="108"/>
  <c r="AH15" i="108" a="1"/>
  <c r="AH15" i="108" s="1"/>
  <c r="Y24" i="108"/>
  <c r="U25" i="108"/>
  <c r="Y26" i="108"/>
  <c r="G38" i="108"/>
  <c r="N39" i="108"/>
  <c r="AI90" i="108" a="1"/>
  <c r="AI90" i="108" s="1"/>
  <c r="AF90" i="108" a="1"/>
  <c r="AF90" i="108" s="1"/>
  <c r="Z90" i="108" a="1"/>
  <c r="Z90" i="108" s="1"/>
  <c r="AJ89" i="108" a="1"/>
  <c r="AJ89" i="108" s="1"/>
  <c r="AD89" i="108" a="1"/>
  <c r="AD89" i="108" s="1"/>
  <c r="AH88" i="108" a="1"/>
  <c r="AH88" i="108" s="1"/>
  <c r="AB88" i="108" a="1"/>
  <c r="AB88" i="108" s="1"/>
  <c r="X88" i="108" a="1"/>
  <c r="X88" i="108" s="1"/>
  <c r="AH87" i="108" a="1"/>
  <c r="AH87" i="108" s="1"/>
  <c r="AB87" i="108" a="1"/>
  <c r="AB87" i="108" s="1"/>
  <c r="V87" i="108" a="1"/>
  <c r="V87" i="108" s="1"/>
  <c r="AH90" i="108" a="1"/>
  <c r="AH90" i="108" s="1"/>
  <c r="AB90" i="108" a="1"/>
  <c r="AB90" i="108" s="1"/>
  <c r="AH89" i="108" a="1"/>
  <c r="AH89" i="108" s="1"/>
  <c r="AJ88" i="108" a="1"/>
  <c r="AJ88" i="108" s="1"/>
  <c r="Z89" i="108" a="1"/>
  <c r="Z89" i="108" s="1"/>
  <c r="Z88" i="108" a="1"/>
  <c r="Z88" i="108" s="1"/>
  <c r="AJ87" i="108" a="1"/>
  <c r="AJ87" i="108" s="1"/>
  <c r="AH85" i="108" a="1"/>
  <c r="AH85" i="108" s="1"/>
  <c r="AF87" i="108" a="1"/>
  <c r="AF87" i="108" s="1"/>
  <c r="AF88" i="108" a="1"/>
  <c r="AF88" i="108" s="1"/>
  <c r="AF89" i="108" a="1"/>
  <c r="AF89" i="108" s="1"/>
  <c r="AD90" i="108" a="1"/>
  <c r="AD90" i="108" s="1"/>
  <c r="K60" i="81"/>
  <c r="AH52" i="107"/>
  <c r="AJ53" i="107"/>
  <c r="AB66" i="107"/>
  <c r="U67" i="107"/>
  <c r="AC67" i="107"/>
  <c r="X68" i="107"/>
  <c r="AG68" i="107"/>
  <c r="AH94" i="107"/>
  <c r="I31" i="109"/>
  <c r="G32" i="109"/>
  <c r="E33" i="109"/>
  <c r="AE27" i="108"/>
  <c r="AI26" i="108"/>
  <c r="AB25" i="108"/>
  <c r="AI24" i="108"/>
  <c r="AJ27" i="108"/>
  <c r="AG26" i="108"/>
  <c r="AJ25" i="108"/>
  <c r="AA24" i="108"/>
  <c r="W25" i="108"/>
  <c r="AB26" i="108"/>
  <c r="I41" i="108"/>
  <c r="I40" i="108"/>
  <c r="J39" i="108"/>
  <c r="N38" i="108"/>
  <c r="E41" i="108"/>
  <c r="R39" i="108"/>
  <c r="O38" i="108"/>
  <c r="I38" i="108"/>
  <c r="E40" i="108"/>
  <c r="K48" i="108"/>
  <c r="P45" i="108"/>
  <c r="H46" i="108"/>
  <c r="E45" i="108"/>
  <c r="H48" i="108"/>
  <c r="X34" i="110"/>
  <c r="Y32" i="110"/>
  <c r="X31" i="110"/>
  <c r="Z31" i="110"/>
  <c r="U32" i="110"/>
  <c r="M83" i="108" a="1"/>
  <c r="M83" i="108" s="1"/>
  <c r="R81" i="108" a="1"/>
  <c r="R81" i="108" s="1"/>
  <c r="R80" i="108" a="1"/>
  <c r="R80" i="108" s="1"/>
  <c r="P80" i="108" a="1"/>
  <c r="P80" i="108" s="1"/>
  <c r="Y80" i="108" a="1"/>
  <c r="Y80" i="108" s="1"/>
  <c r="AE80" i="108" a="1"/>
  <c r="AE80" i="108" s="1"/>
  <c r="G81" i="108" a="1"/>
  <c r="G81" i="108" s="1"/>
  <c r="Y81" i="108" a="1"/>
  <c r="Y81" i="108" s="1"/>
  <c r="AE81" i="108" a="1"/>
  <c r="AE81" i="108" s="1"/>
  <c r="AB82" i="108" a="1"/>
  <c r="AB82" i="108" s="1"/>
  <c r="AF82" i="108" a="1"/>
  <c r="AF82" i="108" s="1"/>
  <c r="U83" i="108" a="1"/>
  <c r="U83" i="108" s="1"/>
  <c r="M97" i="108" a="1"/>
  <c r="E97" i="108" a="1"/>
  <c r="O96" i="108" a="1"/>
  <c r="F96" i="108" a="1"/>
  <c r="F96" i="108" s="1"/>
  <c r="Q95" i="108" a="1"/>
  <c r="I95" i="108" a="1"/>
  <c r="Q94" i="108" a="1"/>
  <c r="D94" i="108" a="1"/>
  <c r="D94" i="108" s="1"/>
  <c r="I94" i="108" a="1"/>
  <c r="R94" i="108" a="1"/>
  <c r="R94" i="108" s="1"/>
  <c r="E95" i="108" a="1"/>
  <c r="O95" i="108" a="1"/>
  <c r="I96" i="108" a="1"/>
  <c r="R96" i="108" a="1"/>
  <c r="R96" i="108" s="1"/>
  <c r="L97" i="108" a="1"/>
  <c r="L97" i="108" s="1"/>
  <c r="I13" i="110"/>
  <c r="P10" i="110"/>
  <c r="L10" i="110"/>
  <c r="I11" i="110"/>
  <c r="I12" i="110"/>
  <c r="D24" i="110"/>
  <c r="R24" i="110"/>
  <c r="M25" i="110"/>
  <c r="H26" i="110"/>
  <c r="E27" i="110"/>
  <c r="C31" i="110"/>
  <c r="N31" i="110"/>
  <c r="C32" i="110"/>
  <c r="K32" i="110"/>
  <c r="C33" i="110"/>
  <c r="P33" i="110"/>
  <c r="AI83" i="108" a="1"/>
  <c r="AI83" i="108" s="1"/>
  <c r="AF83" i="108" a="1"/>
  <c r="AF83" i="108" s="1"/>
  <c r="AB83" i="108" a="1"/>
  <c r="AB83" i="108" s="1"/>
  <c r="W83" i="108" a="1"/>
  <c r="W83" i="108" s="1"/>
  <c r="AH82" i="108" a="1"/>
  <c r="AH82" i="108" s="1"/>
  <c r="Z82" i="108" a="1"/>
  <c r="Z82" i="108" s="1"/>
  <c r="U82" i="108" a="1"/>
  <c r="U82" i="108" s="1"/>
  <c r="AG81" i="108" a="1"/>
  <c r="AG81" i="108" s="1"/>
  <c r="X81" i="108" a="1"/>
  <c r="X81" i="108" s="1"/>
  <c r="AG80" i="108" a="1"/>
  <c r="AG80" i="108" s="1"/>
  <c r="X80" i="108" a="1"/>
  <c r="X80" i="108" s="1"/>
  <c r="AH78" i="108" a="1"/>
  <c r="AH78" i="108" s="1"/>
  <c r="Z80" i="108" a="1"/>
  <c r="Z80" i="108" s="1"/>
  <c r="AF80" i="108" a="1"/>
  <c r="AF80" i="108" s="1"/>
  <c r="Z81" i="108" a="1"/>
  <c r="Z81" i="108" s="1"/>
  <c r="AF81" i="108" a="1"/>
  <c r="AF81" i="108" s="1"/>
  <c r="W82" i="108" a="1"/>
  <c r="W82" i="108" s="1"/>
  <c r="AG82" i="108" a="1"/>
  <c r="AG82" i="108" s="1"/>
  <c r="X83" i="108" a="1"/>
  <c r="X83" i="108" s="1"/>
  <c r="AC83" i="108" a="1"/>
  <c r="AC83" i="108" s="1"/>
  <c r="AJ83" i="108" a="1"/>
  <c r="AJ83" i="108" s="1"/>
  <c r="AC97" i="108" a="1"/>
  <c r="AJ94" i="108" a="1"/>
  <c r="AJ94" i="108" s="1"/>
  <c r="V94" i="108" a="1"/>
  <c r="V94" i="108" s="1"/>
  <c r="AG20" i="110"/>
  <c r="Y19" i="110"/>
  <c r="AJ17" i="110"/>
  <c r="Y18" i="110"/>
  <c r="P27" i="110"/>
  <c r="M27" i="110"/>
  <c r="D27" i="110"/>
  <c r="J26" i="110"/>
  <c r="R25" i="110"/>
  <c r="H25" i="110"/>
  <c r="N24" i="110"/>
  <c r="E24" i="110"/>
  <c r="H24" i="110"/>
  <c r="D25" i="110"/>
  <c r="N25" i="110"/>
  <c r="M26" i="110"/>
  <c r="H27" i="110"/>
  <c r="L34" i="110"/>
  <c r="C34" i="110"/>
  <c r="K33" i="110"/>
  <c r="R34" i="110"/>
  <c r="F34" i="110"/>
  <c r="J33" i="110"/>
  <c r="N32" i="110"/>
  <c r="F32" i="110"/>
  <c r="K31" i="110"/>
  <c r="D31" i="110"/>
  <c r="F31" i="110"/>
  <c r="O31" i="110"/>
  <c r="D32" i="110"/>
  <c r="O32" i="110"/>
  <c r="D33" i="110"/>
  <c r="R33" i="110"/>
  <c r="R76" i="110"/>
  <c r="F76" i="110"/>
  <c r="P75" i="110"/>
  <c r="H74" i="110"/>
  <c r="N73" i="110"/>
  <c r="F73" i="110"/>
  <c r="P76" i="110"/>
  <c r="C76" i="110"/>
  <c r="K75" i="110"/>
  <c r="R74" i="110"/>
  <c r="C74" i="110"/>
  <c r="L73" i="110"/>
  <c r="P73" i="110"/>
  <c r="F75" i="110"/>
  <c r="H76" i="110"/>
  <c r="L101" i="109"/>
  <c r="M102" i="109"/>
  <c r="N103" i="109"/>
  <c r="R24" i="108"/>
  <c r="Q26" i="108"/>
  <c r="AE45" i="108"/>
  <c r="U46" i="108"/>
  <c r="AH46" i="108"/>
  <c r="W47" i="108"/>
  <c r="AI47" i="108"/>
  <c r="Z52" i="108"/>
  <c r="AI52" i="108"/>
  <c r="AC53" i="108"/>
  <c r="U54" i="108"/>
  <c r="AD54" i="108"/>
  <c r="W55" i="108"/>
  <c r="AH55" i="108"/>
  <c r="R74" i="108"/>
  <c r="M75" i="108"/>
  <c r="Q101" i="108" a="1"/>
  <c r="C103" i="108" a="1"/>
  <c r="AH10" i="110"/>
  <c r="AD11" i="110"/>
  <c r="V48" i="110"/>
  <c r="AF46" i="110"/>
  <c r="Y45" i="110"/>
  <c r="AG47" i="110"/>
  <c r="H54" i="110"/>
  <c r="J53" i="110"/>
  <c r="P52" i="110"/>
  <c r="E55" i="110"/>
  <c r="H62" i="110"/>
  <c r="L61" i="110"/>
  <c r="G60" i="110"/>
  <c r="K59" i="110"/>
  <c r="D62" i="110"/>
  <c r="K61" i="110"/>
  <c r="O60" i="110"/>
  <c r="F59" i="110"/>
  <c r="H61" i="110"/>
  <c r="N62" i="110"/>
  <c r="H75" i="110"/>
  <c r="L76" i="110"/>
  <c r="C80" i="110" a="1"/>
  <c r="P82" i="110" a="1"/>
  <c r="E87" i="110" a="1"/>
  <c r="E87" i="110" s="1"/>
  <c r="Q89" i="110" a="1"/>
  <c r="Q89" i="110" s="1"/>
  <c r="G73" i="110"/>
  <c r="K74" i="110"/>
  <c r="R75" i="110"/>
  <c r="K83" i="110" a="1"/>
  <c r="F82" i="110" a="1"/>
  <c r="F82" i="110" s="1"/>
  <c r="Q81" i="110" a="1"/>
  <c r="Q80" i="110" a="1"/>
  <c r="F83" i="110" a="1"/>
  <c r="F83" i="110" s="1"/>
  <c r="G81" i="110" a="1"/>
  <c r="L80" i="110" a="1"/>
  <c r="L80" i="110" s="1"/>
  <c r="H80" i="110" a="1"/>
  <c r="C81" i="110" a="1"/>
  <c r="L87" i="110" a="1"/>
  <c r="H73" i="110"/>
  <c r="L74" i="110"/>
  <c r="R90" i="110" a="1"/>
  <c r="F90" i="110" a="1"/>
  <c r="R89" i="110" a="1"/>
  <c r="O88" i="110" a="1"/>
  <c r="O88" i="110" s="1"/>
  <c r="J88" i="110" a="1"/>
  <c r="G87" i="110" a="1"/>
  <c r="G87" i="110" s="1"/>
  <c r="K90" i="110" a="1"/>
  <c r="K90" i="110" s="1"/>
  <c r="P89" i="110" a="1"/>
  <c r="I89" i="110" a="1"/>
  <c r="I89" i="110" s="1"/>
  <c r="D89" i="110" a="1"/>
  <c r="R88" i="110" a="1"/>
  <c r="M88" i="110" a="1"/>
  <c r="M88" i="110" s="1"/>
  <c r="G88" i="110" a="1"/>
  <c r="G88" i="110" s="1"/>
  <c r="P87" i="110" a="1"/>
  <c r="I87" i="110" a="1"/>
  <c r="I87" i="110" s="1"/>
  <c r="I90" i="110" a="1"/>
  <c r="I90" i="110" s="1"/>
  <c r="M89" i="110" a="1"/>
  <c r="M89" i="110" s="1"/>
  <c r="G89" i="110" a="1"/>
  <c r="G89" i="110" s="1"/>
  <c r="Q88" i="110" a="1"/>
  <c r="Q88" i="110" s="1"/>
  <c r="L88" i="110" a="1"/>
  <c r="D88" i="110" a="1"/>
  <c r="O87" i="110" a="1"/>
  <c r="O87" i="110" s="1"/>
  <c r="H87" i="110" a="1"/>
  <c r="D87" i="110" a="1"/>
  <c r="R87" i="110" a="1"/>
  <c r="E89" i="110" a="1"/>
  <c r="E89" i="110" s="1"/>
  <c r="O90" i="110" a="1"/>
  <c r="O90" i="110" s="1"/>
  <c r="AB80" i="110" a="1"/>
  <c r="AF80" i="110" a="1"/>
  <c r="Y81" i="110" a="1"/>
  <c r="AD81" i="110" a="1"/>
  <c r="AD81" i="110" s="1"/>
  <c r="AJ81" i="110" a="1"/>
  <c r="AJ81" i="110" s="1"/>
  <c r="V82" i="110" a="1"/>
  <c r="AA82" i="110" a="1"/>
  <c r="AE82" i="110" a="1"/>
  <c r="W83" i="110" a="1"/>
  <c r="AI83" i="110" a="1"/>
  <c r="AJ88" i="110" a="1"/>
  <c r="W89" i="110" a="1"/>
  <c r="W89" i="110" s="1"/>
  <c r="C94" i="110" a="1"/>
  <c r="C94" i="110" s="1"/>
  <c r="H94" i="110" a="1"/>
  <c r="L94" i="110" a="1"/>
  <c r="Q94" i="110" a="1"/>
  <c r="Q94" i="110" s="1"/>
  <c r="AD94" i="110" a="1"/>
  <c r="H95" i="110" a="1"/>
  <c r="M95" i="110" a="1"/>
  <c r="M95" i="110" s="1"/>
  <c r="R95" i="110" a="1"/>
  <c r="AB95" i="110" a="1"/>
  <c r="D96" i="110" a="1"/>
  <c r="J96" i="110" a="1"/>
  <c r="O96" i="110" a="1"/>
  <c r="V96" i="110" a="1"/>
  <c r="AG96" i="110" a="1"/>
  <c r="G97" i="110" a="1"/>
  <c r="L97" i="110" a="1"/>
  <c r="R97" i="110" a="1"/>
  <c r="O101" i="110" a="1"/>
  <c r="AB101" i="110" a="1"/>
  <c r="J102" i="110" a="1"/>
  <c r="AA102" i="110" a="1"/>
  <c r="U103" i="110" a="1"/>
  <c r="AF103" i="110" a="1"/>
  <c r="AA104" i="110" a="1"/>
  <c r="AD38" i="110"/>
  <c r="AA39" i="110"/>
  <c r="AA40" i="110"/>
  <c r="X41" i="110"/>
  <c r="G45" i="110"/>
  <c r="K46" i="110"/>
  <c r="N47" i="110"/>
  <c r="AJ54" i="110"/>
  <c r="AE55" i="110"/>
  <c r="AE68" i="110"/>
  <c r="AE74" i="110" a="1"/>
  <c r="AH78" i="110" a="1"/>
  <c r="AH78" i="110" s="1"/>
  <c r="X80" i="110" a="1"/>
  <c r="X80" i="110" s="1"/>
  <c r="AC80" i="110" a="1"/>
  <c r="AH80" i="110" a="1"/>
  <c r="Z81" i="110" a="1"/>
  <c r="AF81" i="110" a="1"/>
  <c r="AB82" i="110" a="1"/>
  <c r="AF82" i="110" a="1"/>
  <c r="Y83" i="110" a="1"/>
  <c r="AD83" i="110" a="1"/>
  <c r="AD83" i="110" s="1"/>
  <c r="AD89" i="110" a="1"/>
  <c r="P92" i="110" a="1"/>
  <c r="P92" i="110" s="1"/>
  <c r="D94" i="110" a="1"/>
  <c r="I94" i="110" a="1"/>
  <c r="I94" i="110" s="1"/>
  <c r="M94" i="110" a="1"/>
  <c r="M94" i="110" s="1"/>
  <c r="X94" i="110" a="1"/>
  <c r="AH94" i="110" a="1"/>
  <c r="E95" i="110" a="1"/>
  <c r="E95" i="110" s="1"/>
  <c r="J95" i="110" a="1"/>
  <c r="N95" i="110" a="1"/>
  <c r="U95" i="110" a="1"/>
  <c r="AF95" i="110" a="1"/>
  <c r="F96" i="110" a="1"/>
  <c r="K96" i="110" a="1"/>
  <c r="P96" i="110" a="1"/>
  <c r="Z96" i="110" a="1"/>
  <c r="C97" i="110" a="1"/>
  <c r="H97" i="110" a="1"/>
  <c r="N97" i="110" a="1"/>
  <c r="V97" i="110" a="1"/>
  <c r="U101" i="110" a="1"/>
  <c r="AF101" i="110" a="1"/>
  <c r="O102" i="110" a="1"/>
  <c r="AB102" i="110" a="1"/>
  <c r="W103" i="110" a="1"/>
  <c r="AG103" i="110" a="1"/>
  <c r="AB104" i="110" a="1"/>
  <c r="E94" i="110" a="1"/>
  <c r="E94" i="110" s="1"/>
  <c r="N94" i="110" a="1"/>
  <c r="Y94" i="110" a="1"/>
  <c r="AJ94" i="110" a="1"/>
  <c r="F95" i="110" a="1"/>
  <c r="K95" i="110" a="1"/>
  <c r="K95" i="110" s="1"/>
  <c r="O95" i="110" a="1"/>
  <c r="O95" i="110" s="1"/>
  <c r="V95" i="110" a="1"/>
  <c r="AG95" i="110" a="1"/>
  <c r="G96" i="110" a="1"/>
  <c r="L96" i="110" a="1"/>
  <c r="R96" i="110" a="1"/>
  <c r="AB96" i="110" a="1"/>
  <c r="D97" i="110" a="1"/>
  <c r="J97" i="110" a="1"/>
  <c r="O97" i="110" a="1"/>
  <c r="AB97" i="110" a="1"/>
  <c r="E101" i="110" a="1"/>
  <c r="W101" i="110" a="1"/>
  <c r="AG101" i="110" a="1"/>
  <c r="U102" i="110" a="1"/>
  <c r="AF102" i="110" a="1"/>
  <c r="AA103" i="110" a="1"/>
  <c r="U104" i="110" a="1"/>
  <c r="AF104" i="110" a="1"/>
  <c r="Z87" i="110" a="1"/>
  <c r="AD88" i="110" a="1"/>
  <c r="F94" i="110" a="1"/>
  <c r="K94" i="110" a="1"/>
  <c r="K94" i="110" s="1"/>
  <c r="P94" i="110" a="1"/>
  <c r="AC94" i="110" a="1"/>
  <c r="C95" i="110" a="1"/>
  <c r="C95" i="110" s="1"/>
  <c r="G95" i="110" a="1"/>
  <c r="G95" i="110" s="1"/>
  <c r="P95" i="110" a="1"/>
  <c r="Z95" i="110" a="1"/>
  <c r="C96" i="110" a="1"/>
  <c r="H96" i="110" a="1"/>
  <c r="N96" i="110" a="1"/>
  <c r="U96" i="110" a="1"/>
  <c r="AF96" i="110" a="1"/>
  <c r="F97" i="110" a="1"/>
  <c r="K97" i="110" a="1"/>
  <c r="AG97" i="110" a="1"/>
  <c r="J101" i="110" a="1"/>
  <c r="AA101" i="110" a="1"/>
  <c r="W102" i="110" a="1"/>
  <c r="AG102" i="110" a="1"/>
  <c r="AB103" i="110" a="1"/>
  <c r="W104" i="110" a="1"/>
  <c r="T44" i="117"/>
  <c r="T45" i="117"/>
  <c r="T63" i="117"/>
  <c r="T66" i="117"/>
  <c r="T51" i="117"/>
  <c r="T52" i="117"/>
  <c r="T57" i="117"/>
  <c r="T58" i="117"/>
  <c r="D13" i="117"/>
  <c r="T42" i="117"/>
  <c r="T43" i="117"/>
  <c r="T64" i="117"/>
  <c r="T65" i="117"/>
  <c r="T49" i="117"/>
  <c r="T50" i="117"/>
  <c r="T56" i="117"/>
  <c r="T59" i="117"/>
  <c r="T37" i="115"/>
  <c r="T38" i="115"/>
  <c r="T59" i="115"/>
  <c r="T60" i="115"/>
  <c r="F11" i="115"/>
  <c r="T44" i="115"/>
  <c r="T45" i="115"/>
  <c r="T50" i="115"/>
  <c r="T51" i="115"/>
  <c r="T36" i="115"/>
  <c r="T39" i="115"/>
  <c r="T57" i="115"/>
  <c r="T58" i="115"/>
  <c r="T43" i="115"/>
  <c r="T46" i="115"/>
  <c r="T52" i="115"/>
  <c r="T53" i="115"/>
  <c r="H94" i="101"/>
  <c r="S95" i="101"/>
  <c r="E93" i="101"/>
  <c r="L94" i="101"/>
  <c r="F96" i="101"/>
  <c r="I93" i="101"/>
  <c r="C95" i="101"/>
  <c r="R96" i="101"/>
  <c r="M93" i="101"/>
  <c r="K95" i="101"/>
  <c r="D132" i="101"/>
  <c r="D94" i="101"/>
  <c r="G95" i="101"/>
  <c r="J96" i="101"/>
  <c r="D133" i="101"/>
  <c r="M15" i="101"/>
  <c r="D134" i="101"/>
  <c r="C28" i="101"/>
  <c r="E28" i="101" s="1"/>
  <c r="E30" i="101" s="1"/>
  <c r="F111" i="101"/>
  <c r="K111" i="101"/>
  <c r="P111" i="101"/>
  <c r="F112" i="101"/>
  <c r="K112" i="101"/>
  <c r="P112" i="101"/>
  <c r="F113" i="101"/>
  <c r="K113" i="101"/>
  <c r="P113" i="101"/>
  <c r="F114" i="101"/>
  <c r="K114" i="101"/>
  <c r="P114" i="101"/>
  <c r="D118" i="101"/>
  <c r="I118" i="101"/>
  <c r="N118" i="101"/>
  <c r="D119" i="101"/>
  <c r="I119" i="101"/>
  <c r="N119" i="101"/>
  <c r="D120" i="101"/>
  <c r="I120" i="101"/>
  <c r="N120" i="101"/>
  <c r="D121" i="101"/>
  <c r="I121" i="101"/>
  <c r="N121" i="101"/>
  <c r="F125" i="101"/>
  <c r="K125" i="101"/>
  <c r="P125" i="101"/>
  <c r="F126" i="101"/>
  <c r="K126" i="101"/>
  <c r="P126" i="101"/>
  <c r="F127" i="101"/>
  <c r="K127" i="101"/>
  <c r="P127" i="101"/>
  <c r="F128" i="101"/>
  <c r="K128" i="101"/>
  <c r="P128" i="101"/>
  <c r="D135" i="101"/>
  <c r="I135" i="101"/>
  <c r="N135" i="101"/>
  <c r="Q93" i="101"/>
  <c r="P94" i="101"/>
  <c r="O95" i="101"/>
  <c r="N96" i="101"/>
  <c r="G111" i="101"/>
  <c r="L111" i="101"/>
  <c r="R111" i="101"/>
  <c r="G112" i="101"/>
  <c r="L112" i="101"/>
  <c r="R112" i="101"/>
  <c r="G113" i="101"/>
  <c r="L113" i="101"/>
  <c r="R113" i="101"/>
  <c r="G114" i="101"/>
  <c r="L114" i="101"/>
  <c r="R114" i="101"/>
  <c r="E118" i="101"/>
  <c r="J118" i="101"/>
  <c r="P118" i="101"/>
  <c r="E119" i="101"/>
  <c r="J119" i="101"/>
  <c r="P119" i="101"/>
  <c r="E120" i="101"/>
  <c r="J120" i="101"/>
  <c r="P120" i="101"/>
  <c r="E121" i="101"/>
  <c r="J121" i="101"/>
  <c r="P121" i="101"/>
  <c r="G125" i="101"/>
  <c r="L125" i="101"/>
  <c r="R125" i="101"/>
  <c r="G126" i="101"/>
  <c r="L126" i="101"/>
  <c r="R126" i="101"/>
  <c r="G127" i="101"/>
  <c r="L127" i="101"/>
  <c r="R127" i="101"/>
  <c r="G128" i="101"/>
  <c r="L128" i="101"/>
  <c r="R128" i="101"/>
  <c r="H132" i="101"/>
  <c r="H133" i="101"/>
  <c r="H134" i="101"/>
  <c r="E135" i="101"/>
  <c r="J135" i="101"/>
  <c r="P135" i="101"/>
  <c r="J15" i="101"/>
  <c r="J17" i="101" s="1"/>
  <c r="G28" i="101"/>
  <c r="C111" i="101"/>
  <c r="H111" i="101"/>
  <c r="N111" i="101"/>
  <c r="C112" i="101"/>
  <c r="H112" i="101"/>
  <c r="N112" i="101"/>
  <c r="C113" i="101"/>
  <c r="H113" i="101"/>
  <c r="N113" i="101"/>
  <c r="C114" i="101"/>
  <c r="H114" i="101"/>
  <c r="N114" i="101"/>
  <c r="F118" i="101"/>
  <c r="L118" i="101"/>
  <c r="Q118" i="101"/>
  <c r="F119" i="101"/>
  <c r="L119" i="101"/>
  <c r="Q119" i="101"/>
  <c r="F120" i="101"/>
  <c r="L120" i="101"/>
  <c r="Q120" i="101"/>
  <c r="F121" i="101"/>
  <c r="L121" i="101"/>
  <c r="Q121" i="101"/>
  <c r="C125" i="101"/>
  <c r="H125" i="101"/>
  <c r="N125" i="101"/>
  <c r="C126" i="101"/>
  <c r="H126" i="101"/>
  <c r="N126" i="101"/>
  <c r="C127" i="101"/>
  <c r="H127" i="101"/>
  <c r="N127" i="101"/>
  <c r="C128" i="101"/>
  <c r="H128" i="101"/>
  <c r="N128" i="101"/>
  <c r="L132" i="101"/>
  <c r="L133" i="101"/>
  <c r="L134" i="101"/>
  <c r="F135" i="101"/>
  <c r="L135" i="101"/>
  <c r="Q135" i="101"/>
  <c r="I28" i="101"/>
  <c r="K28" i="101" s="1"/>
  <c r="K30" i="101" s="1"/>
  <c r="D111" i="101"/>
  <c r="J111" i="101"/>
  <c r="O111" i="101"/>
  <c r="D112" i="101"/>
  <c r="J112" i="101"/>
  <c r="O112" i="101"/>
  <c r="D113" i="101"/>
  <c r="J113" i="101"/>
  <c r="O113" i="101"/>
  <c r="D114" i="101"/>
  <c r="J114" i="101"/>
  <c r="O114" i="101"/>
  <c r="H118" i="101"/>
  <c r="M118" i="101"/>
  <c r="R118" i="101"/>
  <c r="H119" i="101"/>
  <c r="M119" i="101"/>
  <c r="R119" i="101"/>
  <c r="H120" i="101"/>
  <c r="M120" i="101"/>
  <c r="R120" i="101"/>
  <c r="H121" i="101"/>
  <c r="M121" i="101"/>
  <c r="R121" i="101"/>
  <c r="D125" i="101"/>
  <c r="J125" i="101"/>
  <c r="O125" i="101"/>
  <c r="D126" i="101"/>
  <c r="J126" i="101"/>
  <c r="O126" i="101"/>
  <c r="D127" i="101"/>
  <c r="J127" i="101"/>
  <c r="O127" i="101"/>
  <c r="D128" i="101"/>
  <c r="J128" i="101"/>
  <c r="O128" i="101"/>
  <c r="P132" i="101"/>
  <c r="P133" i="101"/>
  <c r="P134" i="101"/>
  <c r="H135" i="101"/>
  <c r="M135" i="101"/>
  <c r="R135" i="101"/>
  <c r="Z53" i="102"/>
  <c r="AJ53" i="102"/>
  <c r="D61" i="102"/>
  <c r="R61" i="102"/>
  <c r="U10" i="105"/>
  <c r="AC10" i="105"/>
  <c r="Z11" i="105"/>
  <c r="AJ11" i="105"/>
  <c r="U101" i="105"/>
  <c r="AH101" i="105"/>
  <c r="P20" i="102"/>
  <c r="N20" i="102"/>
  <c r="F20" i="102"/>
  <c r="R19" i="102"/>
  <c r="J19" i="102"/>
  <c r="N18" i="102"/>
  <c r="F18" i="102"/>
  <c r="R17" i="102"/>
  <c r="J17" i="102"/>
  <c r="Q20" i="102"/>
  <c r="E20" i="102"/>
  <c r="M19" i="102"/>
  <c r="R18" i="102"/>
  <c r="I18" i="102"/>
  <c r="N17" i="102"/>
  <c r="E17" i="102"/>
  <c r="M17" i="102"/>
  <c r="M20" i="102"/>
  <c r="Z38" i="102"/>
  <c r="AJ38" i="102"/>
  <c r="AB41" i="102"/>
  <c r="R48" i="102"/>
  <c r="K48" i="102"/>
  <c r="D48" i="102"/>
  <c r="L47" i="102"/>
  <c r="F47" i="102"/>
  <c r="O46" i="102"/>
  <c r="G46" i="102"/>
  <c r="P45" i="102"/>
  <c r="J45" i="102"/>
  <c r="J48" i="102"/>
  <c r="R47" i="102"/>
  <c r="J47" i="102"/>
  <c r="R46" i="102"/>
  <c r="J46" i="102"/>
  <c r="R45" i="102"/>
  <c r="G45" i="102"/>
  <c r="P43" i="102"/>
  <c r="K45" i="102"/>
  <c r="AC53" i="102"/>
  <c r="U55" i="102"/>
  <c r="AC55" i="102"/>
  <c r="AD62" i="102"/>
  <c r="X62" i="102"/>
  <c r="AJ61" i="102"/>
  <c r="AC61" i="102"/>
  <c r="V61" i="102"/>
  <c r="AJ60" i="102"/>
  <c r="AC60" i="102"/>
  <c r="V60" i="102"/>
  <c r="AH59" i="102"/>
  <c r="AB59" i="102"/>
  <c r="AH57" i="102"/>
  <c r="AH62" i="102"/>
  <c r="Y62" i="102"/>
  <c r="AG61" i="102"/>
  <c r="X61" i="102"/>
  <c r="AG60" i="102"/>
  <c r="X60" i="102"/>
  <c r="AD59" i="102"/>
  <c r="V59" i="102"/>
  <c r="L59" i="102"/>
  <c r="AC59" i="102"/>
  <c r="L60" i="102"/>
  <c r="AB60" i="102"/>
  <c r="F61" i="102"/>
  <c r="Y61" i="102"/>
  <c r="F62" i="102"/>
  <c r="V62" i="102"/>
  <c r="AJ62" i="102"/>
  <c r="X12" i="105"/>
  <c r="AH12" i="105"/>
  <c r="AH43" i="105"/>
  <c r="AB66" i="105"/>
  <c r="AB67" i="105"/>
  <c r="AC68" i="105"/>
  <c r="AC69" i="105"/>
  <c r="AH99" i="105"/>
  <c r="AB38" i="102"/>
  <c r="AC39" i="102"/>
  <c r="AC40" i="102"/>
  <c r="F17" i="102"/>
  <c r="W17" i="102"/>
  <c r="E18" i="102"/>
  <c r="W18" i="102"/>
  <c r="F19" i="102"/>
  <c r="W19" i="102"/>
  <c r="I20" i="102"/>
  <c r="R24" i="102"/>
  <c r="D26" i="102"/>
  <c r="AI34" i="102"/>
  <c r="AJ34" i="102"/>
  <c r="AD34" i="102"/>
  <c r="Y34" i="102"/>
  <c r="AF33" i="102"/>
  <c r="Z33" i="102"/>
  <c r="U33" i="102"/>
  <c r="AG32" i="102"/>
  <c r="AB32" i="102"/>
  <c r="V32" i="102"/>
  <c r="AH31" i="102"/>
  <c r="AC31" i="102"/>
  <c r="X31" i="102"/>
  <c r="AH29" i="102"/>
  <c r="AH34" i="102"/>
  <c r="AB34" i="102"/>
  <c r="U34" i="102"/>
  <c r="AH33" i="102"/>
  <c r="AB33" i="102"/>
  <c r="AH32" i="102"/>
  <c r="Z32" i="102"/>
  <c r="AG31" i="102"/>
  <c r="Z31" i="102"/>
  <c r="L31" i="102"/>
  <c r="Y31" i="102"/>
  <c r="AJ31" i="102"/>
  <c r="L32" i="102"/>
  <c r="Y32" i="102"/>
  <c r="AJ32" i="102"/>
  <c r="O33" i="102"/>
  <c r="Y33" i="102"/>
  <c r="AJ33" i="102"/>
  <c r="Z34" i="102"/>
  <c r="R41" i="102"/>
  <c r="K41" i="102"/>
  <c r="D41" i="102"/>
  <c r="L40" i="102"/>
  <c r="F40" i="102"/>
  <c r="O39" i="102"/>
  <c r="G39" i="102"/>
  <c r="P38" i="102"/>
  <c r="J38" i="102"/>
  <c r="O41" i="102"/>
  <c r="F41" i="102"/>
  <c r="O40" i="102"/>
  <c r="D40" i="102"/>
  <c r="L39" i="102"/>
  <c r="D39" i="102"/>
  <c r="L38" i="102"/>
  <c r="D38" i="102"/>
  <c r="G38" i="102"/>
  <c r="U38" i="102"/>
  <c r="AF38" i="102"/>
  <c r="J39" i="102"/>
  <c r="U39" i="102"/>
  <c r="AF39" i="102"/>
  <c r="J40" i="102"/>
  <c r="V40" i="102"/>
  <c r="AG40" i="102"/>
  <c r="J41" i="102"/>
  <c r="V41" i="102"/>
  <c r="AG41" i="102"/>
  <c r="D45" i="102"/>
  <c r="O45" i="102"/>
  <c r="AB45" i="102"/>
  <c r="D46" i="102"/>
  <c r="P46" i="102"/>
  <c r="AC46" i="102"/>
  <c r="D47" i="102"/>
  <c r="P47" i="102"/>
  <c r="AC47" i="102"/>
  <c r="F48" i="102"/>
  <c r="P48" i="102"/>
  <c r="P50" i="102"/>
  <c r="K52" i="102"/>
  <c r="Y52" i="102"/>
  <c r="AG52" i="102"/>
  <c r="K53" i="102"/>
  <c r="Y53" i="102"/>
  <c r="AH53" i="102"/>
  <c r="K54" i="102"/>
  <c r="Y54" i="102"/>
  <c r="AH54" i="102"/>
  <c r="Z55" i="102"/>
  <c r="F59" i="102"/>
  <c r="X59" i="102"/>
  <c r="AJ59" i="102"/>
  <c r="P60" i="102"/>
  <c r="AH60" i="102"/>
  <c r="P61" i="102"/>
  <c r="AD61" i="102"/>
  <c r="AC62" i="102"/>
  <c r="AI76" i="102"/>
  <c r="AF76" i="102"/>
  <c r="Z76" i="102"/>
  <c r="U76" i="102"/>
  <c r="AG75" i="102"/>
  <c r="AB75" i="102"/>
  <c r="V75" i="102"/>
  <c r="AH74" i="102"/>
  <c r="AC74" i="102"/>
  <c r="X74" i="102"/>
  <c r="AJ73" i="102"/>
  <c r="AD73" i="102"/>
  <c r="Y73" i="102"/>
  <c r="AD76" i="102"/>
  <c r="X76" i="102"/>
  <c r="AD75" i="102"/>
  <c r="X75" i="102"/>
  <c r="AD74" i="102"/>
  <c r="V74" i="102"/>
  <c r="AC73" i="102"/>
  <c r="V73" i="102"/>
  <c r="AH71" i="102"/>
  <c r="X73" i="102"/>
  <c r="AG73" i="102"/>
  <c r="AB74" i="102"/>
  <c r="Y75" i="102"/>
  <c r="AH75" i="102"/>
  <c r="AC76" i="102"/>
  <c r="Z101" i="102"/>
  <c r="AH101" i="102"/>
  <c r="U102" i="102"/>
  <c r="AF102" i="102"/>
  <c r="Z103" i="102"/>
  <c r="AJ103" i="102"/>
  <c r="V104" i="102"/>
  <c r="AB10" i="105"/>
  <c r="V11" i="105"/>
  <c r="AG11" i="105"/>
  <c r="AC12" i="105"/>
  <c r="X13" i="105"/>
  <c r="AI20" i="105"/>
  <c r="AF20" i="105"/>
  <c r="Z20" i="105"/>
  <c r="U20" i="105"/>
  <c r="AG19" i="105"/>
  <c r="AB19" i="105"/>
  <c r="V19" i="105"/>
  <c r="AH18" i="105"/>
  <c r="AC18" i="105"/>
  <c r="X18" i="105"/>
  <c r="AJ17" i="105"/>
  <c r="AD17" i="105"/>
  <c r="Y17" i="105"/>
  <c r="AH20" i="105"/>
  <c r="AB20" i="105"/>
  <c r="AH19" i="105"/>
  <c r="Z19" i="105"/>
  <c r="AG18" i="105"/>
  <c r="Z18" i="105"/>
  <c r="AG17" i="105"/>
  <c r="Z17" i="105"/>
  <c r="AG20" i="105"/>
  <c r="Y20" i="105"/>
  <c r="AF19" i="105"/>
  <c r="Y19" i="105"/>
  <c r="AF18" i="105"/>
  <c r="U17" i="105"/>
  <c r="AC17" i="105"/>
  <c r="Y18" i="105"/>
  <c r="X19" i="105"/>
  <c r="X20" i="105"/>
  <c r="AB38" i="105"/>
  <c r="AB39" i="105"/>
  <c r="AC40" i="105"/>
  <c r="AC45" i="105"/>
  <c r="AD46" i="105"/>
  <c r="AD47" i="105"/>
  <c r="U66" i="105"/>
  <c r="AH66" i="105"/>
  <c r="U67" i="105"/>
  <c r="AJ67" i="105"/>
  <c r="U68" i="105"/>
  <c r="AJ68" i="105"/>
  <c r="V69" i="105"/>
  <c r="AH71" i="105"/>
  <c r="V73" i="105"/>
  <c r="V74" i="105"/>
  <c r="X75" i="105"/>
  <c r="AB94" i="105"/>
  <c r="AB95" i="105"/>
  <c r="AC96" i="105"/>
  <c r="AC101" i="105"/>
  <c r="AD102" i="105"/>
  <c r="AD103" i="105"/>
  <c r="AD104" i="105"/>
  <c r="H29" i="81"/>
  <c r="AI55" i="102"/>
  <c r="AJ55" i="102"/>
  <c r="AD55" i="102"/>
  <c r="Y55" i="102"/>
  <c r="AF54" i="102"/>
  <c r="Z54" i="102"/>
  <c r="U54" i="102"/>
  <c r="AG53" i="102"/>
  <c r="AB53" i="102"/>
  <c r="V53" i="102"/>
  <c r="AH52" i="102"/>
  <c r="AC52" i="102"/>
  <c r="X52" i="102"/>
  <c r="AH50" i="102"/>
  <c r="AF55" i="102"/>
  <c r="X55" i="102"/>
  <c r="AD54" i="102"/>
  <c r="X54" i="102"/>
  <c r="AD53" i="102"/>
  <c r="X53" i="102"/>
  <c r="AD52" i="102"/>
  <c r="V52" i="102"/>
  <c r="AB55" i="102"/>
  <c r="L62" i="102"/>
  <c r="K61" i="102"/>
  <c r="J60" i="102"/>
  <c r="R59" i="102"/>
  <c r="J59" i="102"/>
  <c r="J62" i="102"/>
  <c r="J61" i="102"/>
  <c r="G60" i="102"/>
  <c r="G59" i="102"/>
  <c r="P57" i="102"/>
  <c r="K59" i="102"/>
  <c r="AI13" i="105"/>
  <c r="AF13" i="105"/>
  <c r="Z13" i="105"/>
  <c r="U13" i="105"/>
  <c r="AG12" i="105"/>
  <c r="AB12" i="105"/>
  <c r="V12" i="105"/>
  <c r="AH11" i="105"/>
  <c r="AC11" i="105"/>
  <c r="X11" i="105"/>
  <c r="AJ10" i="105"/>
  <c r="AD10" i="105"/>
  <c r="Y10" i="105"/>
  <c r="AG13" i="105"/>
  <c r="Y13" i="105"/>
  <c r="AF12" i="105"/>
  <c r="Y12" i="105"/>
  <c r="AF11" i="105"/>
  <c r="Y11" i="105"/>
  <c r="AF10" i="105"/>
  <c r="X10" i="105"/>
  <c r="AI48" i="105"/>
  <c r="AF48" i="105"/>
  <c r="Z48" i="105"/>
  <c r="U48" i="105"/>
  <c r="AG47" i="105"/>
  <c r="AB47" i="105"/>
  <c r="V47" i="105"/>
  <c r="AH46" i="105"/>
  <c r="AC46" i="105"/>
  <c r="X46" i="105"/>
  <c r="AJ45" i="105"/>
  <c r="AD45" i="105"/>
  <c r="Y45" i="105"/>
  <c r="AG48" i="105"/>
  <c r="Y48" i="105"/>
  <c r="AF47" i="105"/>
  <c r="Y47" i="105"/>
  <c r="AF46" i="105"/>
  <c r="Y46" i="105"/>
  <c r="AF45" i="105"/>
  <c r="X45" i="105"/>
  <c r="AH48" i="105"/>
  <c r="AB48" i="105"/>
  <c r="AH47" i="105"/>
  <c r="Z47" i="105"/>
  <c r="AG46" i="105"/>
  <c r="Z46" i="105"/>
  <c r="AG45" i="105"/>
  <c r="Z45" i="105"/>
  <c r="U47" i="105"/>
  <c r="AJ47" i="105"/>
  <c r="AI69" i="105"/>
  <c r="AF69" i="105"/>
  <c r="Z69" i="105"/>
  <c r="U69" i="105"/>
  <c r="AG68" i="105"/>
  <c r="AB68" i="105"/>
  <c r="V68" i="105"/>
  <c r="AH67" i="105"/>
  <c r="AC67" i="105"/>
  <c r="X67" i="105"/>
  <c r="AJ66" i="105"/>
  <c r="AD66" i="105"/>
  <c r="Y66" i="105"/>
  <c r="AD69" i="105"/>
  <c r="X69" i="105"/>
  <c r="AD68" i="105"/>
  <c r="X68" i="105"/>
  <c r="AD67" i="105"/>
  <c r="V67" i="105"/>
  <c r="AC66" i="105"/>
  <c r="V66" i="105"/>
  <c r="AG69" i="105"/>
  <c r="Y69" i="105"/>
  <c r="AF68" i="105"/>
  <c r="Y68" i="105"/>
  <c r="AF67" i="105"/>
  <c r="Y67" i="105"/>
  <c r="AF66" i="105"/>
  <c r="X66" i="105"/>
  <c r="AH64" i="105"/>
  <c r="Z66" i="105"/>
  <c r="Z67" i="105"/>
  <c r="Z68" i="105"/>
  <c r="AB69" i="105"/>
  <c r="V104" i="105"/>
  <c r="Z52" i="102"/>
  <c r="AJ52" i="102"/>
  <c r="F60" i="102"/>
  <c r="U45" i="105"/>
  <c r="AH45" i="105"/>
  <c r="V48" i="105"/>
  <c r="AJ48" i="105"/>
  <c r="AI104" i="105"/>
  <c r="AF104" i="105"/>
  <c r="Z104" i="105"/>
  <c r="U104" i="105"/>
  <c r="AG103" i="105"/>
  <c r="AB103" i="105"/>
  <c r="V103" i="105"/>
  <c r="AH102" i="105"/>
  <c r="AC102" i="105"/>
  <c r="X102" i="105"/>
  <c r="AJ101" i="105"/>
  <c r="AD101" i="105"/>
  <c r="Y101" i="105"/>
  <c r="AG104" i="105"/>
  <c r="Y104" i="105"/>
  <c r="AF103" i="105"/>
  <c r="Y103" i="105"/>
  <c r="AF102" i="105"/>
  <c r="Y102" i="105"/>
  <c r="AF101" i="105"/>
  <c r="X101" i="105"/>
  <c r="AH104" i="105"/>
  <c r="AB104" i="105"/>
  <c r="AH103" i="105"/>
  <c r="Z103" i="105"/>
  <c r="AG102" i="105"/>
  <c r="Z102" i="105"/>
  <c r="AG101" i="105"/>
  <c r="Z101" i="105"/>
  <c r="U102" i="105"/>
  <c r="AJ102" i="105"/>
  <c r="U103" i="105"/>
  <c r="H17" i="81"/>
  <c r="D17" i="81"/>
  <c r="M18" i="102"/>
  <c r="Z39" i="102"/>
  <c r="K47" i="102"/>
  <c r="AB52" i="102"/>
  <c r="V10" i="105"/>
  <c r="AG10" i="105"/>
  <c r="AC13" i="105"/>
  <c r="V46" i="105"/>
  <c r="X47" i="105"/>
  <c r="X103" i="105"/>
  <c r="X104" i="105"/>
  <c r="F38" i="81"/>
  <c r="L38" i="81"/>
  <c r="M38" i="81" s="1"/>
  <c r="D38" i="81"/>
  <c r="C38" i="81"/>
  <c r="G38" i="81"/>
  <c r="AB54" i="102"/>
  <c r="AJ54" i="102"/>
  <c r="P62" i="102"/>
  <c r="U12" i="105"/>
  <c r="AD12" i="105"/>
  <c r="AB13" i="105"/>
  <c r="AJ13" i="105"/>
  <c r="U46" i="105"/>
  <c r="AJ46" i="105"/>
  <c r="AJ103" i="105"/>
  <c r="N19" i="102"/>
  <c r="AI41" i="102"/>
  <c r="AJ41" i="102"/>
  <c r="AD41" i="102"/>
  <c r="Y41" i="102"/>
  <c r="AF40" i="102"/>
  <c r="Z40" i="102"/>
  <c r="U40" i="102"/>
  <c r="AG39" i="102"/>
  <c r="AB39" i="102"/>
  <c r="V39" i="102"/>
  <c r="AH38" i="102"/>
  <c r="AC38" i="102"/>
  <c r="X38" i="102"/>
  <c r="AH36" i="102"/>
  <c r="AF41" i="102"/>
  <c r="X41" i="102"/>
  <c r="AD40" i="102"/>
  <c r="X40" i="102"/>
  <c r="AD39" i="102"/>
  <c r="X39" i="102"/>
  <c r="AD38" i="102"/>
  <c r="V38" i="102"/>
  <c r="AB40" i="102"/>
  <c r="AJ40" i="102"/>
  <c r="K46" i="102"/>
  <c r="L48" i="102"/>
  <c r="AC54" i="102"/>
  <c r="AH8" i="105"/>
  <c r="AB11" i="105"/>
  <c r="V45" i="105"/>
  <c r="X48" i="105"/>
  <c r="V101" i="105"/>
  <c r="V102" i="105"/>
  <c r="AF13" i="102"/>
  <c r="W13" i="102"/>
  <c r="W11" i="102"/>
  <c r="AJ20" i="102"/>
  <c r="X20" i="102"/>
  <c r="AE19" i="102"/>
  <c r="AJ18" i="102"/>
  <c r="X18" i="102"/>
  <c r="AE17" i="102"/>
  <c r="AH15" i="102"/>
  <c r="AE20" i="102"/>
  <c r="X19" i="102"/>
  <c r="AF18" i="102"/>
  <c r="AB17" i="102"/>
  <c r="Q17" i="102"/>
  <c r="AJ17" i="102"/>
  <c r="Q18" i="102"/>
  <c r="E19" i="102"/>
  <c r="Q19" i="102"/>
  <c r="AJ19" i="102"/>
  <c r="R20" i="102"/>
  <c r="P27" i="102"/>
  <c r="F27" i="102"/>
  <c r="K26" i="102"/>
  <c r="P25" i="102"/>
  <c r="F25" i="102"/>
  <c r="N24" i="102"/>
  <c r="F24" i="102"/>
  <c r="J27" i="102"/>
  <c r="J26" i="102"/>
  <c r="K25" i="102"/>
  <c r="Q24" i="102"/>
  <c r="E24" i="102"/>
  <c r="M24" i="102"/>
  <c r="O25" i="102"/>
  <c r="P26" i="102"/>
  <c r="R34" i="102"/>
  <c r="K34" i="102"/>
  <c r="D34" i="102"/>
  <c r="L33" i="102"/>
  <c r="F33" i="102"/>
  <c r="O32" i="102"/>
  <c r="G32" i="102"/>
  <c r="P31" i="102"/>
  <c r="J31" i="102"/>
  <c r="J34" i="102"/>
  <c r="R33" i="102"/>
  <c r="J33" i="102"/>
  <c r="R32" i="102"/>
  <c r="J32" i="102"/>
  <c r="R31" i="102"/>
  <c r="G31" i="102"/>
  <c r="P29" i="102"/>
  <c r="K31" i="102"/>
  <c r="K32" i="102"/>
  <c r="K33" i="102"/>
  <c r="L34" i="102"/>
  <c r="U41" i="102"/>
  <c r="AC41" i="102"/>
  <c r="AI48" i="102"/>
  <c r="AJ48" i="102"/>
  <c r="AD48" i="102"/>
  <c r="Y48" i="102"/>
  <c r="AF47" i="102"/>
  <c r="Z47" i="102"/>
  <c r="U47" i="102"/>
  <c r="AG46" i="102"/>
  <c r="AB46" i="102"/>
  <c r="V46" i="102"/>
  <c r="AH45" i="102"/>
  <c r="AC45" i="102"/>
  <c r="X45" i="102"/>
  <c r="AH43" i="102"/>
  <c r="AH48" i="102"/>
  <c r="AB48" i="102"/>
  <c r="U48" i="102"/>
  <c r="AH47" i="102"/>
  <c r="AB47" i="102"/>
  <c r="AH46" i="102"/>
  <c r="Z46" i="102"/>
  <c r="AG45" i="102"/>
  <c r="Z45" i="102"/>
  <c r="L45" i="102"/>
  <c r="Y45" i="102"/>
  <c r="AJ45" i="102"/>
  <c r="L46" i="102"/>
  <c r="Y46" i="102"/>
  <c r="AJ46" i="102"/>
  <c r="O47" i="102"/>
  <c r="Y47" i="102"/>
  <c r="AJ47" i="102"/>
  <c r="O48" i="102"/>
  <c r="Z48" i="102"/>
  <c r="R55" i="102"/>
  <c r="K55" i="102"/>
  <c r="D55" i="102"/>
  <c r="L54" i="102"/>
  <c r="F54" i="102"/>
  <c r="O53" i="102"/>
  <c r="G53" i="102"/>
  <c r="P52" i="102"/>
  <c r="J52" i="102"/>
  <c r="O55" i="102"/>
  <c r="F55" i="102"/>
  <c r="O54" i="102"/>
  <c r="D54" i="102"/>
  <c r="L53" i="102"/>
  <c r="D53" i="102"/>
  <c r="L52" i="102"/>
  <c r="D52" i="102"/>
  <c r="G52" i="102"/>
  <c r="U52" i="102"/>
  <c r="AF52" i="102"/>
  <c r="J53" i="102"/>
  <c r="U53" i="102"/>
  <c r="AF53" i="102"/>
  <c r="J54" i="102"/>
  <c r="V54" i="102"/>
  <c r="AG54" i="102"/>
  <c r="J55" i="102"/>
  <c r="V55" i="102"/>
  <c r="AG55" i="102"/>
  <c r="D59" i="102"/>
  <c r="P59" i="102"/>
  <c r="AG59" i="102"/>
  <c r="O60" i="102"/>
  <c r="AD60" i="102"/>
  <c r="L61" i="102"/>
  <c r="AB61" i="102"/>
  <c r="G62" i="102"/>
  <c r="AB62" i="102"/>
  <c r="AI104" i="102"/>
  <c r="AF104" i="102"/>
  <c r="Z104" i="102"/>
  <c r="U104" i="102"/>
  <c r="AG103" i="102"/>
  <c r="AB103" i="102"/>
  <c r="V103" i="102"/>
  <c r="AH102" i="102"/>
  <c r="AC102" i="102"/>
  <c r="X102" i="102"/>
  <c r="AJ101" i="102"/>
  <c r="AD101" i="102"/>
  <c r="Y101" i="102"/>
  <c r="AD104" i="102"/>
  <c r="X104" i="102"/>
  <c r="AD103" i="102"/>
  <c r="X103" i="102"/>
  <c r="AD102" i="102"/>
  <c r="V102" i="102"/>
  <c r="AC101" i="102"/>
  <c r="V101" i="102"/>
  <c r="AH99" i="102"/>
  <c r="X101" i="102"/>
  <c r="AG101" i="102"/>
  <c r="AB102" i="102"/>
  <c r="Y103" i="102"/>
  <c r="AH103" i="102"/>
  <c r="AC104" i="102"/>
  <c r="Z10" i="105"/>
  <c r="AH10" i="105"/>
  <c r="U11" i="105"/>
  <c r="AD11" i="105"/>
  <c r="Z12" i="105"/>
  <c r="AJ12" i="105"/>
  <c r="V13" i="105"/>
  <c r="AD13" i="105"/>
  <c r="AI41" i="105"/>
  <c r="AF41" i="105"/>
  <c r="Z41" i="105"/>
  <c r="U41" i="105"/>
  <c r="AG40" i="105"/>
  <c r="AB40" i="105"/>
  <c r="V40" i="105"/>
  <c r="AH39" i="105"/>
  <c r="AC39" i="105"/>
  <c r="X39" i="105"/>
  <c r="AJ38" i="105"/>
  <c r="AD38" i="105"/>
  <c r="Y38" i="105"/>
  <c r="AH36" i="105"/>
  <c r="AG41" i="105"/>
  <c r="Y41" i="105"/>
  <c r="AF40" i="105"/>
  <c r="Y40" i="105"/>
  <c r="AF39" i="105"/>
  <c r="Y39" i="105"/>
  <c r="AF38" i="105"/>
  <c r="X38" i="105"/>
  <c r="AD41" i="105"/>
  <c r="X41" i="105"/>
  <c r="AD40" i="105"/>
  <c r="X40" i="105"/>
  <c r="AD39" i="105"/>
  <c r="V39" i="105"/>
  <c r="AC38" i="105"/>
  <c r="V38" i="105"/>
  <c r="Z38" i="105"/>
  <c r="Z39" i="105"/>
  <c r="Z40" i="105"/>
  <c r="AB41" i="105"/>
  <c r="AB45" i="105"/>
  <c r="AB46" i="105"/>
  <c r="AC47" i="105"/>
  <c r="AC48" i="105"/>
  <c r="AG66" i="105"/>
  <c r="AG67" i="105"/>
  <c r="AH68" i="105"/>
  <c r="AH69" i="105"/>
  <c r="AI76" i="105"/>
  <c r="AF76" i="105"/>
  <c r="Z76" i="105"/>
  <c r="U76" i="105"/>
  <c r="AG75" i="105"/>
  <c r="AB75" i="105"/>
  <c r="V75" i="105"/>
  <c r="AH74" i="105"/>
  <c r="AC74" i="105"/>
  <c r="X74" i="105"/>
  <c r="AJ73" i="105"/>
  <c r="AD73" i="105"/>
  <c r="Y73" i="105"/>
  <c r="AH76" i="105"/>
  <c r="AB76" i="105"/>
  <c r="AH75" i="105"/>
  <c r="Z75" i="105"/>
  <c r="AG74" i="105"/>
  <c r="Z74" i="105"/>
  <c r="AG73" i="105"/>
  <c r="Z73" i="105"/>
  <c r="AG76" i="105"/>
  <c r="Y76" i="105"/>
  <c r="AF75" i="105"/>
  <c r="Y75" i="105"/>
  <c r="AF74" i="105"/>
  <c r="Y74" i="105"/>
  <c r="AF73" i="105"/>
  <c r="X73" i="105"/>
  <c r="U73" i="105"/>
  <c r="AH73" i="105"/>
  <c r="U74" i="105"/>
  <c r="AJ74" i="105"/>
  <c r="U75" i="105"/>
  <c r="AJ75" i="105"/>
  <c r="V76" i="105"/>
  <c r="AJ76" i="105"/>
  <c r="AI97" i="105"/>
  <c r="AF97" i="105"/>
  <c r="Z97" i="105"/>
  <c r="U97" i="105"/>
  <c r="AG96" i="105"/>
  <c r="AB96" i="105"/>
  <c r="V96" i="105"/>
  <c r="AH95" i="105"/>
  <c r="AC95" i="105"/>
  <c r="X95" i="105"/>
  <c r="AJ94" i="105"/>
  <c r="AD94" i="105"/>
  <c r="Y94" i="105"/>
  <c r="AD97" i="105"/>
  <c r="X97" i="105"/>
  <c r="AD96" i="105"/>
  <c r="X96" i="105"/>
  <c r="AD95" i="105"/>
  <c r="V95" i="105"/>
  <c r="AC94" i="105"/>
  <c r="V94" i="105"/>
  <c r="AG97" i="105"/>
  <c r="Y97" i="105"/>
  <c r="AF96" i="105"/>
  <c r="Y96" i="105"/>
  <c r="AF95" i="105"/>
  <c r="Y95" i="105"/>
  <c r="AF94" i="105"/>
  <c r="X94" i="105"/>
  <c r="AH92" i="105"/>
  <c r="Z94" i="105"/>
  <c r="Z95" i="105"/>
  <c r="Z96" i="105"/>
  <c r="AB97" i="105"/>
  <c r="AB101" i="105"/>
  <c r="AB102" i="105"/>
  <c r="AC103" i="105"/>
  <c r="AC104" i="105"/>
  <c r="I38" i="81"/>
  <c r="U31" i="105"/>
  <c r="AB31" i="105"/>
  <c r="AH31" i="105"/>
  <c r="U33" i="105"/>
  <c r="AC33" i="105"/>
  <c r="AJ33" i="105"/>
  <c r="AI62" i="105"/>
  <c r="AF62" i="105"/>
  <c r="Z62" i="105"/>
  <c r="U62" i="105"/>
  <c r="AG61" i="105"/>
  <c r="AB61" i="105"/>
  <c r="V61" i="105"/>
  <c r="AH60" i="105"/>
  <c r="AC60" i="105"/>
  <c r="X60" i="105"/>
  <c r="AJ59" i="105"/>
  <c r="AD59" i="105"/>
  <c r="Y59" i="105"/>
  <c r="U60" i="105"/>
  <c r="AB60" i="105"/>
  <c r="AJ60" i="105"/>
  <c r="V62" i="105"/>
  <c r="AC62" i="105"/>
  <c r="AJ62" i="105"/>
  <c r="AI90" i="105"/>
  <c r="AF90" i="105"/>
  <c r="Z90" i="105"/>
  <c r="U90" i="105"/>
  <c r="AG89" i="105"/>
  <c r="AB89" i="105"/>
  <c r="V89" i="105"/>
  <c r="AH88" i="105"/>
  <c r="AC88" i="105"/>
  <c r="X88" i="105"/>
  <c r="AJ87" i="105"/>
  <c r="AD87" i="105"/>
  <c r="Y87" i="105"/>
  <c r="U87" i="105"/>
  <c r="AB87" i="105"/>
  <c r="AH87" i="105"/>
  <c r="U88" i="105"/>
  <c r="AB88" i="105"/>
  <c r="AJ88" i="105"/>
  <c r="U89" i="105"/>
  <c r="AC89" i="105"/>
  <c r="AJ89" i="105"/>
  <c r="V90" i="105"/>
  <c r="AC90" i="105"/>
  <c r="AJ90" i="105"/>
  <c r="AI97" i="102"/>
  <c r="AF97" i="102"/>
  <c r="Z97" i="102"/>
  <c r="U97" i="102"/>
  <c r="AG96" i="102"/>
  <c r="AB96" i="102"/>
  <c r="V96" i="102"/>
  <c r="AH95" i="102"/>
  <c r="AC95" i="102"/>
  <c r="X95" i="102"/>
  <c r="AJ94" i="102"/>
  <c r="AD94" i="102"/>
  <c r="Y94" i="102"/>
  <c r="AF90" i="102"/>
  <c r="Z90" i="102"/>
  <c r="U90" i="102"/>
  <c r="AG89" i="102"/>
  <c r="AB89" i="102"/>
  <c r="V89" i="102"/>
  <c r="AH88" i="102"/>
  <c r="AC88" i="102"/>
  <c r="X88" i="102"/>
  <c r="AJ87" i="102"/>
  <c r="AD87" i="102"/>
  <c r="Y87" i="102"/>
  <c r="AF83" i="102"/>
  <c r="Z83" i="102"/>
  <c r="U83" i="102"/>
  <c r="AG82" i="102"/>
  <c r="AB82" i="102"/>
  <c r="V82" i="102"/>
  <c r="AH81" i="102"/>
  <c r="AC81" i="102"/>
  <c r="X81" i="102"/>
  <c r="AJ80" i="102"/>
  <c r="AD80" i="102"/>
  <c r="Y80" i="102"/>
  <c r="AF69" i="102"/>
  <c r="Z69" i="102"/>
  <c r="U69" i="102"/>
  <c r="AG68" i="102"/>
  <c r="AB68" i="102"/>
  <c r="V68" i="102"/>
  <c r="AH67" i="102"/>
  <c r="AC67" i="102"/>
  <c r="X67" i="102"/>
  <c r="AJ66" i="102"/>
  <c r="AD66" i="102"/>
  <c r="Y66" i="102"/>
  <c r="U66" i="102"/>
  <c r="AB66" i="102"/>
  <c r="AH66" i="102"/>
  <c r="U67" i="102"/>
  <c r="AB67" i="102"/>
  <c r="AJ67" i="102"/>
  <c r="U68" i="102"/>
  <c r="AC68" i="102"/>
  <c r="AJ68" i="102"/>
  <c r="V69" i="102"/>
  <c r="AC69" i="102"/>
  <c r="AJ69" i="102"/>
  <c r="X80" i="102"/>
  <c r="AF80" i="102"/>
  <c r="Y81" i="102"/>
  <c r="AF81" i="102"/>
  <c r="Y82" i="102"/>
  <c r="AF82" i="102"/>
  <c r="Y83" i="102"/>
  <c r="AG83" i="102"/>
  <c r="Z87" i="102"/>
  <c r="AG87" i="102"/>
  <c r="Z88" i="102"/>
  <c r="AG88" i="102"/>
  <c r="Z89" i="102"/>
  <c r="AH89" i="102"/>
  <c r="AB90" i="102"/>
  <c r="AH90" i="102"/>
  <c r="U94" i="102"/>
  <c r="AB94" i="102"/>
  <c r="AH94" i="102"/>
  <c r="U95" i="102"/>
  <c r="AB95" i="102"/>
  <c r="AJ95" i="102"/>
  <c r="U96" i="102"/>
  <c r="AC96" i="102"/>
  <c r="AJ96" i="102"/>
  <c r="V97" i="102"/>
  <c r="AC97" i="102"/>
  <c r="AJ97" i="102"/>
  <c r="AI27" i="105"/>
  <c r="AF27" i="105"/>
  <c r="Z27" i="105"/>
  <c r="U27" i="105"/>
  <c r="AG26" i="105"/>
  <c r="AB26" i="105"/>
  <c r="V26" i="105"/>
  <c r="AH25" i="105"/>
  <c r="AC25" i="105"/>
  <c r="X25" i="105"/>
  <c r="AJ24" i="105"/>
  <c r="AD24" i="105"/>
  <c r="Y24" i="105"/>
  <c r="U24" i="105"/>
  <c r="AB24" i="105"/>
  <c r="AH24" i="105"/>
  <c r="U25" i="105"/>
  <c r="AB25" i="105"/>
  <c r="AJ25" i="105"/>
  <c r="U26" i="105"/>
  <c r="AC26" i="105"/>
  <c r="AJ26" i="105"/>
  <c r="V27" i="105"/>
  <c r="AC27" i="105"/>
  <c r="AJ27" i="105"/>
  <c r="AH29" i="105"/>
  <c r="V31" i="105"/>
  <c r="AC31" i="105"/>
  <c r="V32" i="105"/>
  <c r="AD32" i="105"/>
  <c r="X33" i="105"/>
  <c r="AD33" i="105"/>
  <c r="X34" i="105"/>
  <c r="AI55" i="105"/>
  <c r="AF55" i="105"/>
  <c r="Z55" i="105"/>
  <c r="U55" i="105"/>
  <c r="AG54" i="105"/>
  <c r="AB54" i="105"/>
  <c r="V54" i="105"/>
  <c r="AH53" i="105"/>
  <c r="AC53" i="105"/>
  <c r="X53" i="105"/>
  <c r="AJ52" i="105"/>
  <c r="AD52" i="105"/>
  <c r="Y52" i="105"/>
  <c r="U52" i="105"/>
  <c r="AB52" i="105"/>
  <c r="AH52" i="105"/>
  <c r="U53" i="105"/>
  <c r="AB53" i="105"/>
  <c r="AJ53" i="105"/>
  <c r="U54" i="105"/>
  <c r="AC54" i="105"/>
  <c r="AJ54" i="105"/>
  <c r="V55" i="105"/>
  <c r="AC55" i="105"/>
  <c r="AJ55" i="105"/>
  <c r="AH57" i="105"/>
  <c r="V59" i="105"/>
  <c r="AC59" i="105"/>
  <c r="V60" i="105"/>
  <c r="AD60" i="105"/>
  <c r="X61" i="105"/>
  <c r="AD61" i="105"/>
  <c r="X62" i="105"/>
  <c r="AD62" i="105"/>
  <c r="AI83" i="105"/>
  <c r="AF83" i="105"/>
  <c r="Z83" i="105"/>
  <c r="U83" i="105"/>
  <c r="AG82" i="105"/>
  <c r="AB82" i="105"/>
  <c r="V82" i="105"/>
  <c r="AH81" i="105"/>
  <c r="AC81" i="105"/>
  <c r="X81" i="105"/>
  <c r="AJ80" i="105"/>
  <c r="AD80" i="105"/>
  <c r="Y80" i="105"/>
  <c r="U80" i="105"/>
  <c r="AB80" i="105"/>
  <c r="AH80" i="105"/>
  <c r="U81" i="105"/>
  <c r="AB81" i="105"/>
  <c r="AJ81" i="105"/>
  <c r="U82" i="105"/>
  <c r="AC82" i="105"/>
  <c r="AJ82" i="105"/>
  <c r="V83" i="105"/>
  <c r="AC83" i="105"/>
  <c r="AJ83" i="105"/>
  <c r="AH85" i="105"/>
  <c r="V87" i="105"/>
  <c r="AC87" i="105"/>
  <c r="V88" i="105"/>
  <c r="AD88" i="105"/>
  <c r="X89" i="105"/>
  <c r="AD89" i="105"/>
  <c r="X90" i="105"/>
  <c r="AD90" i="105"/>
  <c r="D33" i="81"/>
  <c r="C39" i="81"/>
  <c r="E39" i="81" s="1"/>
  <c r="F42" i="81"/>
  <c r="L42" i="81"/>
  <c r="D42" i="81"/>
  <c r="E42" i="81" s="1"/>
  <c r="K42" i="81"/>
  <c r="F46" i="81"/>
  <c r="G46" i="81"/>
  <c r="L46" i="81"/>
  <c r="M46" i="81" s="1"/>
  <c r="D46" i="81"/>
  <c r="E46" i="81" s="1"/>
  <c r="F54" i="81"/>
  <c r="G54" i="81"/>
  <c r="L54" i="81"/>
  <c r="D54" i="81"/>
  <c r="K54" i="81"/>
  <c r="C54" i="81"/>
  <c r="F43" i="81"/>
  <c r="G43" i="81"/>
  <c r="K43" i="81"/>
  <c r="F45" i="81"/>
  <c r="L45" i="81"/>
  <c r="D45" i="81"/>
  <c r="K45" i="81"/>
  <c r="C45" i="81"/>
  <c r="F50" i="81"/>
  <c r="G50" i="81"/>
  <c r="L50" i="81"/>
  <c r="D50" i="81"/>
  <c r="K50" i="81"/>
  <c r="C50" i="81"/>
  <c r="H42" i="81"/>
  <c r="C43" i="81"/>
  <c r="L43" i="81"/>
  <c r="G45" i="81"/>
  <c r="E47" i="81"/>
  <c r="I50" i="81"/>
  <c r="AI34" i="105"/>
  <c r="AF34" i="105"/>
  <c r="Z34" i="105"/>
  <c r="U34" i="105"/>
  <c r="AG33" i="105"/>
  <c r="AB33" i="105"/>
  <c r="V33" i="105"/>
  <c r="AH32" i="105"/>
  <c r="AC32" i="105"/>
  <c r="X32" i="105"/>
  <c r="AJ31" i="105"/>
  <c r="AD31" i="105"/>
  <c r="Y31" i="105"/>
  <c r="U32" i="105"/>
  <c r="AB32" i="105"/>
  <c r="AJ32" i="105"/>
  <c r="V34" i="105"/>
  <c r="AC34" i="105"/>
  <c r="AJ34" i="105"/>
  <c r="U59" i="105"/>
  <c r="AB59" i="105"/>
  <c r="AH59" i="105"/>
  <c r="U61" i="105"/>
  <c r="AC61" i="105"/>
  <c r="AJ61" i="105"/>
  <c r="F39" i="81"/>
  <c r="G39" i="81"/>
  <c r="K39" i="81"/>
  <c r="M39" i="81" s="1"/>
  <c r="E40" i="81"/>
  <c r="F41" i="81"/>
  <c r="K41" i="81"/>
  <c r="C41" i="81"/>
  <c r="E41" i="81" s="1"/>
  <c r="L41" i="81"/>
  <c r="D43" i="81"/>
  <c r="I45" i="81"/>
  <c r="J45" i="81" s="1"/>
  <c r="G58" i="81"/>
  <c r="H58" i="81" s="1"/>
  <c r="L58" i="81"/>
  <c r="G62" i="81"/>
  <c r="H62" i="81" s="1"/>
  <c r="L62" i="81"/>
  <c r="J69" i="81"/>
  <c r="J84" i="81"/>
  <c r="K84" i="81" s="1"/>
  <c r="Z10" i="107"/>
  <c r="AH10" i="107"/>
  <c r="AC11" i="107"/>
  <c r="V12" i="107"/>
  <c r="AF12" i="107"/>
  <c r="Z13" i="107"/>
  <c r="AI27" i="107"/>
  <c r="AG27" i="107"/>
  <c r="AB27" i="107"/>
  <c r="V27" i="107"/>
  <c r="AG26" i="107"/>
  <c r="AB26" i="107"/>
  <c r="V26" i="107"/>
  <c r="AG25" i="107"/>
  <c r="AB25" i="107"/>
  <c r="V25" i="107"/>
  <c r="AG24" i="107"/>
  <c r="AB24" i="107"/>
  <c r="V24" i="107"/>
  <c r="AJ27" i="107"/>
  <c r="AC27" i="107"/>
  <c r="U27" i="107"/>
  <c r="AD26" i="107"/>
  <c r="X26" i="107"/>
  <c r="AF25" i="107"/>
  <c r="Y25" i="107"/>
  <c r="AH24" i="107"/>
  <c r="Z24" i="107"/>
  <c r="AH22" i="107"/>
  <c r="AC24" i="107"/>
  <c r="U25" i="107"/>
  <c r="AD25" i="107"/>
  <c r="Y26" i="107"/>
  <c r="AH26" i="107"/>
  <c r="Z27" i="107"/>
  <c r="AI41" i="107"/>
  <c r="AJ41" i="107"/>
  <c r="AD41" i="107"/>
  <c r="Y41" i="107"/>
  <c r="AJ40" i="107"/>
  <c r="AD40" i="107"/>
  <c r="Y40" i="107"/>
  <c r="AJ39" i="107"/>
  <c r="AD39" i="107"/>
  <c r="Y39" i="107"/>
  <c r="AJ38" i="107"/>
  <c r="AD38" i="107"/>
  <c r="Y38" i="107"/>
  <c r="AH36" i="107"/>
  <c r="AG41" i="107"/>
  <c r="Z41" i="107"/>
  <c r="AH40" i="107"/>
  <c r="AB40" i="107"/>
  <c r="U40" i="107"/>
  <c r="AC39" i="107"/>
  <c r="V39" i="107"/>
  <c r="AF38" i="107"/>
  <c r="X38" i="107"/>
  <c r="AB38" i="107"/>
  <c r="U39" i="107"/>
  <c r="AF39" i="107"/>
  <c r="X40" i="107"/>
  <c r="AG40" i="107"/>
  <c r="AB41" i="107"/>
  <c r="Y45" i="107"/>
  <c r="AJ45" i="107"/>
  <c r="AC46" i="107"/>
  <c r="V47" i="107"/>
  <c r="AG47" i="107"/>
  <c r="Y48" i="107"/>
  <c r="AF83" i="107"/>
  <c r="Z83" i="107"/>
  <c r="AH82" i="107"/>
  <c r="AA82" i="107"/>
  <c r="AJ81" i="107"/>
  <c r="AB81" i="107"/>
  <c r="V81" i="107"/>
  <c r="AE80" i="107"/>
  <c r="W80" i="107"/>
  <c r="AB83" i="107"/>
  <c r="AJ82" i="107"/>
  <c r="Z82" i="107"/>
  <c r="AF81" i="107"/>
  <c r="W81" i="107"/>
  <c r="AB80" i="107"/>
  <c r="AH78" i="107"/>
  <c r="AH83" i="107"/>
  <c r="W83" i="107"/>
  <c r="AE82" i="107"/>
  <c r="V82" i="107"/>
  <c r="AA81" i="107"/>
  <c r="AH80" i="107"/>
  <c r="Z80" i="107"/>
  <c r="AJ80" i="107"/>
  <c r="W82" i="107"/>
  <c r="AA83" i="107"/>
  <c r="AF90" i="107"/>
  <c r="Z90" i="107"/>
  <c r="AH89" i="107"/>
  <c r="AA89" i="107"/>
  <c r="AJ88" i="107"/>
  <c r="AB88" i="107"/>
  <c r="V88" i="107"/>
  <c r="AE87" i="107"/>
  <c r="W87" i="107"/>
  <c r="AH90" i="107"/>
  <c r="W90" i="107"/>
  <c r="AF89" i="107"/>
  <c r="W89" i="107"/>
  <c r="AF88" i="107"/>
  <c r="W88" i="107"/>
  <c r="AF87" i="107"/>
  <c r="V87" i="107"/>
  <c r="AB90" i="107"/>
  <c r="AB89" i="107"/>
  <c r="AA88" i="107"/>
  <c r="AJ87" i="107"/>
  <c r="AA87" i="107"/>
  <c r="AH85" i="107"/>
  <c r="AH87" i="107"/>
  <c r="AH88" i="107"/>
  <c r="AJ89" i="107"/>
  <c r="AJ90" i="107"/>
  <c r="Z95" i="107"/>
  <c r="AE97" i="107"/>
  <c r="Z101" i="107"/>
  <c r="AH102" i="107"/>
  <c r="E51" i="81"/>
  <c r="C62" i="81"/>
  <c r="D69" i="81"/>
  <c r="J71" i="81"/>
  <c r="J77" i="81"/>
  <c r="C84" i="81"/>
  <c r="C88" i="81"/>
  <c r="J92" i="81"/>
  <c r="K92" i="81" s="1"/>
  <c r="D94" i="81"/>
  <c r="AI13" i="107"/>
  <c r="AJ13" i="107"/>
  <c r="AD13" i="107"/>
  <c r="Y13" i="107"/>
  <c r="AJ12" i="107"/>
  <c r="AD12" i="107"/>
  <c r="Y12" i="107"/>
  <c r="AJ11" i="107"/>
  <c r="AD11" i="107"/>
  <c r="Y11" i="107"/>
  <c r="AJ10" i="107"/>
  <c r="AD10" i="107"/>
  <c r="Y10" i="107"/>
  <c r="AH8" i="107"/>
  <c r="AF13" i="107"/>
  <c r="X13" i="107"/>
  <c r="AG12" i="107"/>
  <c r="Z12" i="107"/>
  <c r="AH11" i="107"/>
  <c r="AB11" i="107"/>
  <c r="U11" i="107"/>
  <c r="AC10" i="107"/>
  <c r="V10" i="107"/>
  <c r="AB10" i="107"/>
  <c r="V11" i="107"/>
  <c r="AF11" i="107"/>
  <c r="X12" i="107"/>
  <c r="AH12" i="107"/>
  <c r="AB13" i="107"/>
  <c r="AI48" i="107"/>
  <c r="AF48" i="107"/>
  <c r="Z48" i="107"/>
  <c r="U48" i="107"/>
  <c r="AF47" i="107"/>
  <c r="Z47" i="107"/>
  <c r="U47" i="107"/>
  <c r="AF46" i="107"/>
  <c r="Z46" i="107"/>
  <c r="U46" i="107"/>
  <c r="AF45" i="107"/>
  <c r="Z45" i="107"/>
  <c r="U45" i="107"/>
  <c r="AJ48" i="107"/>
  <c r="AC48" i="107"/>
  <c r="V48" i="107"/>
  <c r="AD47" i="107"/>
  <c r="X47" i="107"/>
  <c r="AG46" i="107"/>
  <c r="Y46" i="107"/>
  <c r="AH45" i="107"/>
  <c r="AB45" i="107"/>
  <c r="AH43" i="107"/>
  <c r="AC45" i="107"/>
  <c r="V46" i="107"/>
  <c r="AD46" i="107"/>
  <c r="Y47" i="107"/>
  <c r="AH47" i="107"/>
  <c r="AB48" i="107"/>
  <c r="V80" i="107"/>
  <c r="Z81" i="107"/>
  <c r="AB82" i="107"/>
  <c r="AE83" i="107"/>
  <c r="V89" i="107"/>
  <c r="V90" i="107"/>
  <c r="AH101" i="107"/>
  <c r="M47" i="81"/>
  <c r="I49" i="81"/>
  <c r="M51" i="81"/>
  <c r="I53" i="81"/>
  <c r="C58" i="81"/>
  <c r="I10" i="102"/>
  <c r="Q10" i="102"/>
  <c r="E11" i="102"/>
  <c r="M11" i="102"/>
  <c r="I12" i="102"/>
  <c r="Q12" i="102"/>
  <c r="E13" i="102"/>
  <c r="M13" i="102"/>
  <c r="D66" i="102"/>
  <c r="K66" i="102"/>
  <c r="R66" i="102"/>
  <c r="J67" i="102"/>
  <c r="P67" i="102"/>
  <c r="G68" i="102"/>
  <c r="O68" i="102"/>
  <c r="F69" i="102"/>
  <c r="D73" i="102"/>
  <c r="K73" i="102"/>
  <c r="R73" i="102"/>
  <c r="J74" i="102"/>
  <c r="P74" i="102"/>
  <c r="G75" i="102"/>
  <c r="O75" i="102"/>
  <c r="F76" i="102"/>
  <c r="L76" i="102"/>
  <c r="D80" i="102"/>
  <c r="K80" i="102"/>
  <c r="R80" i="102"/>
  <c r="J81" i="102"/>
  <c r="P81" i="102"/>
  <c r="G82" i="102"/>
  <c r="O82" i="102"/>
  <c r="F83" i="102"/>
  <c r="D87" i="102"/>
  <c r="K87" i="102"/>
  <c r="R87" i="102"/>
  <c r="J88" i="102"/>
  <c r="P88" i="102"/>
  <c r="G89" i="102"/>
  <c r="O89" i="102"/>
  <c r="F90" i="102"/>
  <c r="D94" i="102"/>
  <c r="K94" i="102"/>
  <c r="R94" i="102"/>
  <c r="J95" i="102"/>
  <c r="P95" i="102"/>
  <c r="G96" i="102"/>
  <c r="O96" i="102"/>
  <c r="F97" i="102"/>
  <c r="D101" i="102"/>
  <c r="K101" i="102"/>
  <c r="R101" i="102"/>
  <c r="J102" i="102"/>
  <c r="P102" i="102"/>
  <c r="G103" i="102"/>
  <c r="O103" i="102"/>
  <c r="F104" i="102"/>
  <c r="D10" i="105"/>
  <c r="K10" i="105"/>
  <c r="R10" i="105"/>
  <c r="J11" i="105"/>
  <c r="P11" i="105"/>
  <c r="G12" i="105"/>
  <c r="O12" i="105"/>
  <c r="F13" i="105"/>
  <c r="D17" i="105"/>
  <c r="K17" i="105"/>
  <c r="R17" i="105"/>
  <c r="J18" i="105"/>
  <c r="P18" i="105"/>
  <c r="G19" i="105"/>
  <c r="O19" i="105"/>
  <c r="F20" i="105"/>
  <c r="D24" i="105"/>
  <c r="K24" i="105"/>
  <c r="R24" i="105"/>
  <c r="J25" i="105"/>
  <c r="P25" i="105"/>
  <c r="G26" i="105"/>
  <c r="O26" i="105"/>
  <c r="F27" i="105"/>
  <c r="D31" i="105"/>
  <c r="K31" i="105"/>
  <c r="R31" i="105"/>
  <c r="J32" i="105"/>
  <c r="P32" i="105"/>
  <c r="G33" i="105"/>
  <c r="O33" i="105"/>
  <c r="F34" i="105"/>
  <c r="D38" i="105"/>
  <c r="K38" i="105"/>
  <c r="R38" i="105"/>
  <c r="J39" i="105"/>
  <c r="P39" i="105"/>
  <c r="G40" i="105"/>
  <c r="O40" i="105"/>
  <c r="F41" i="105"/>
  <c r="D45" i="105"/>
  <c r="K45" i="105"/>
  <c r="R45" i="105"/>
  <c r="J46" i="105"/>
  <c r="P46" i="105"/>
  <c r="G47" i="105"/>
  <c r="O47" i="105"/>
  <c r="F48" i="105"/>
  <c r="D52" i="105"/>
  <c r="K52" i="105"/>
  <c r="R52" i="105"/>
  <c r="J53" i="105"/>
  <c r="P53" i="105"/>
  <c r="G54" i="105"/>
  <c r="O54" i="105"/>
  <c r="F55" i="105"/>
  <c r="D59" i="105"/>
  <c r="K59" i="105"/>
  <c r="R59" i="105"/>
  <c r="J60" i="105"/>
  <c r="P60" i="105"/>
  <c r="G61" i="105"/>
  <c r="O61" i="105"/>
  <c r="F62" i="105"/>
  <c r="D66" i="105"/>
  <c r="K66" i="105"/>
  <c r="R66" i="105"/>
  <c r="J67" i="105"/>
  <c r="P67" i="105"/>
  <c r="G68" i="105"/>
  <c r="O68" i="105"/>
  <c r="F69" i="105"/>
  <c r="D73" i="105"/>
  <c r="K73" i="105"/>
  <c r="R73" i="105"/>
  <c r="J74" i="105"/>
  <c r="P74" i="105"/>
  <c r="G75" i="105"/>
  <c r="O75" i="105"/>
  <c r="F76" i="105"/>
  <c r="D80" i="105"/>
  <c r="K80" i="105"/>
  <c r="R80" i="105"/>
  <c r="J81" i="105"/>
  <c r="P81" i="105"/>
  <c r="G82" i="105"/>
  <c r="O82" i="105"/>
  <c r="F83" i="105"/>
  <c r="D87" i="105"/>
  <c r="K87" i="105"/>
  <c r="R87" i="105"/>
  <c r="J88" i="105"/>
  <c r="P88" i="105"/>
  <c r="G89" i="105"/>
  <c r="O89" i="105"/>
  <c r="F90" i="105"/>
  <c r="D94" i="105"/>
  <c r="K94" i="105"/>
  <c r="R94" i="105"/>
  <c r="J95" i="105"/>
  <c r="P95" i="105"/>
  <c r="G96" i="105"/>
  <c r="O96" i="105"/>
  <c r="F97" i="105"/>
  <c r="D101" i="105"/>
  <c r="K101" i="105"/>
  <c r="R101" i="105"/>
  <c r="J102" i="105"/>
  <c r="P102" i="105"/>
  <c r="G103" i="105"/>
  <c r="O103" i="105"/>
  <c r="F104" i="105"/>
  <c r="I40" i="81"/>
  <c r="I44" i="81"/>
  <c r="G47" i="81"/>
  <c r="I48" i="81"/>
  <c r="C49" i="81"/>
  <c r="K49" i="81"/>
  <c r="G51" i="81"/>
  <c r="H51" i="81" s="1"/>
  <c r="I52" i="81"/>
  <c r="C53" i="81"/>
  <c r="K53" i="81"/>
  <c r="G55" i="81"/>
  <c r="H55" i="81" s="1"/>
  <c r="L56" i="81"/>
  <c r="M56" i="81" s="1"/>
  <c r="G57" i="81"/>
  <c r="H57" i="81" s="1"/>
  <c r="L57" i="81"/>
  <c r="D58" i="81"/>
  <c r="E58" i="81" s="1"/>
  <c r="I58" i="81"/>
  <c r="C59" i="81"/>
  <c r="I59" i="81"/>
  <c r="J59" i="81" s="1"/>
  <c r="G60" i="81"/>
  <c r="H60" i="81" s="1"/>
  <c r="L60" i="81"/>
  <c r="M60" i="81" s="1"/>
  <c r="G61" i="81"/>
  <c r="H61" i="81" s="1"/>
  <c r="L61" i="81"/>
  <c r="M61" i="81" s="1"/>
  <c r="D62" i="81"/>
  <c r="I62" i="81"/>
  <c r="C63" i="81"/>
  <c r="I63" i="81"/>
  <c r="J63" i="81" s="1"/>
  <c r="G64" i="81"/>
  <c r="H64" i="81" s="1"/>
  <c r="L64" i="81"/>
  <c r="M64" i="81" s="1"/>
  <c r="J68" i="81"/>
  <c r="K68" i="81" s="1"/>
  <c r="F69" i="81"/>
  <c r="D70" i="81"/>
  <c r="D73" i="81"/>
  <c r="F76" i="81"/>
  <c r="D77" i="81"/>
  <c r="J79" i="81"/>
  <c r="D84" i="81"/>
  <c r="E84" i="81" s="1"/>
  <c r="F88" i="81"/>
  <c r="C92" i="81"/>
  <c r="I93" i="81"/>
  <c r="J94" i="81"/>
  <c r="K94" i="81" s="1"/>
  <c r="E105" i="81"/>
  <c r="E113" i="81"/>
  <c r="E121" i="81"/>
  <c r="U10" i="107"/>
  <c r="AF10" i="107"/>
  <c r="X11" i="107"/>
  <c r="AG11" i="107"/>
  <c r="AB12" i="107"/>
  <c r="U13" i="107"/>
  <c r="AC13" i="107"/>
  <c r="X24" i="107"/>
  <c r="AF24" i="107"/>
  <c r="Z25" i="107"/>
  <c r="AJ25" i="107"/>
  <c r="AC26" i="107"/>
  <c r="X27" i="107"/>
  <c r="AF27" i="107"/>
  <c r="V38" i="107"/>
  <c r="AG38" i="107"/>
  <c r="Z39" i="107"/>
  <c r="AH39" i="107"/>
  <c r="AC40" i="107"/>
  <c r="V41" i="107"/>
  <c r="AF41" i="107"/>
  <c r="V45" i="107"/>
  <c r="AD45" i="107"/>
  <c r="X46" i="107"/>
  <c r="AH46" i="107"/>
  <c r="AB47" i="107"/>
  <c r="AJ47" i="107"/>
  <c r="AD48" i="107"/>
  <c r="AI55" i="107"/>
  <c r="AG55" i="107"/>
  <c r="AB55" i="107"/>
  <c r="V55" i="107"/>
  <c r="AG54" i="107"/>
  <c r="AB54" i="107"/>
  <c r="V54" i="107"/>
  <c r="AG53" i="107"/>
  <c r="AB53" i="107"/>
  <c r="V53" i="107"/>
  <c r="AG52" i="107"/>
  <c r="AB52" i="107"/>
  <c r="V52" i="107"/>
  <c r="AH55" i="107"/>
  <c r="Z55" i="107"/>
  <c r="AJ54" i="107"/>
  <c r="AC54" i="107"/>
  <c r="U54" i="107"/>
  <c r="AD53" i="107"/>
  <c r="X53" i="107"/>
  <c r="AF52" i="107"/>
  <c r="Y52" i="107"/>
  <c r="AD55" i="107"/>
  <c r="X55" i="107"/>
  <c r="AF54" i="107"/>
  <c r="Y54" i="107"/>
  <c r="AH53" i="107"/>
  <c r="Z53" i="107"/>
  <c r="AJ52" i="107"/>
  <c r="AC52" i="107"/>
  <c r="U52" i="107"/>
  <c r="AD52" i="107"/>
  <c r="AC53" i="107"/>
  <c r="Z54" i="107"/>
  <c r="Y55" i="107"/>
  <c r="AA80" i="107"/>
  <c r="AE81" i="107"/>
  <c r="AF82" i="107"/>
  <c r="AJ83" i="107"/>
  <c r="Z87" i="107"/>
  <c r="Z88" i="107"/>
  <c r="Z89" i="107"/>
  <c r="AA90" i="107"/>
  <c r="AF97" i="107"/>
  <c r="Z97" i="107"/>
  <c r="AH96" i="107"/>
  <c r="AA96" i="107"/>
  <c r="AJ95" i="107"/>
  <c r="AB95" i="107"/>
  <c r="V95" i="107"/>
  <c r="AE94" i="107"/>
  <c r="W94" i="107"/>
  <c r="AB97" i="107"/>
  <c r="AB96" i="107"/>
  <c r="AA95" i="107"/>
  <c r="AJ94" i="107"/>
  <c r="AA94" i="107"/>
  <c r="AH92" i="107"/>
  <c r="AJ97" i="107"/>
  <c r="AA97" i="107"/>
  <c r="AJ96" i="107"/>
  <c r="Z96" i="107"/>
  <c r="AH97" i="107"/>
  <c r="W97" i="107"/>
  <c r="AF96" i="107"/>
  <c r="W96" i="107"/>
  <c r="AF95" i="107"/>
  <c r="W95" i="107"/>
  <c r="AF94" i="107"/>
  <c r="V94" i="107"/>
  <c r="Z94" i="107"/>
  <c r="AH95" i="107"/>
  <c r="V96" i="107"/>
  <c r="AF104" i="107"/>
  <c r="Z104" i="107"/>
  <c r="AH103" i="107"/>
  <c r="AA103" i="107"/>
  <c r="AJ102" i="107"/>
  <c r="AB102" i="107"/>
  <c r="V102" i="107"/>
  <c r="AE101" i="107"/>
  <c r="W101" i="107"/>
  <c r="AH104" i="107"/>
  <c r="W104" i="107"/>
  <c r="AF103" i="107"/>
  <c r="W103" i="107"/>
  <c r="AF102" i="107"/>
  <c r="W102" i="107"/>
  <c r="AF101" i="107"/>
  <c r="V101" i="107"/>
  <c r="AE104" i="107"/>
  <c r="V104" i="107"/>
  <c r="AE103" i="107"/>
  <c r="V103" i="107"/>
  <c r="AE102" i="107"/>
  <c r="AB101" i="107"/>
  <c r="AB104" i="107"/>
  <c r="AB103" i="107"/>
  <c r="AA102" i="107"/>
  <c r="AJ101" i="107"/>
  <c r="AA101" i="107"/>
  <c r="AH99" i="107"/>
  <c r="AJ104" i="107"/>
  <c r="AA104" i="107"/>
  <c r="AJ103" i="107"/>
  <c r="I47" i="81"/>
  <c r="D49" i="81"/>
  <c r="E49" i="81" s="1"/>
  <c r="L49" i="81"/>
  <c r="M49" i="81" s="1"/>
  <c r="I51" i="81"/>
  <c r="J51" i="81" s="1"/>
  <c r="D53" i="81"/>
  <c r="L53" i="81"/>
  <c r="I55" i="81"/>
  <c r="G56" i="81"/>
  <c r="H56" i="81" s="1"/>
  <c r="K58" i="81"/>
  <c r="M58" i="81" s="1"/>
  <c r="D59" i="81"/>
  <c r="K59" i="81"/>
  <c r="M59" i="81" s="1"/>
  <c r="K62" i="81"/>
  <c r="M62" i="81" s="1"/>
  <c r="D63" i="81"/>
  <c r="K63" i="81"/>
  <c r="M63" i="81" s="1"/>
  <c r="J70" i="81"/>
  <c r="K70" i="81" s="1"/>
  <c r="J76" i="81"/>
  <c r="K76" i="81" s="1"/>
  <c r="F84" i="81"/>
  <c r="D92" i="81"/>
  <c r="E92" i="81" s="1"/>
  <c r="X10" i="107"/>
  <c r="AG10" i="107"/>
  <c r="Z11" i="107"/>
  <c r="U12" i="107"/>
  <c r="AC12" i="107"/>
  <c r="V13" i="107"/>
  <c r="AG13" i="107"/>
  <c r="X45" i="107"/>
  <c r="AG45" i="107"/>
  <c r="AB46" i="107"/>
  <c r="AJ46" i="107"/>
  <c r="AC47" i="107"/>
  <c r="X48" i="107"/>
  <c r="AG48" i="107"/>
  <c r="AF80" i="107"/>
  <c r="AH81" i="107"/>
  <c r="V83" i="107"/>
  <c r="AB87" i="107"/>
  <c r="AE88" i="107"/>
  <c r="AE89" i="107"/>
  <c r="AE90" i="107"/>
  <c r="AB94" i="107"/>
  <c r="AE96" i="107"/>
  <c r="V97" i="107"/>
  <c r="Z102" i="107"/>
  <c r="Q20" i="109"/>
  <c r="P20" i="109"/>
  <c r="K20" i="109"/>
  <c r="F20" i="109"/>
  <c r="R19" i="109"/>
  <c r="M19" i="109"/>
  <c r="H19" i="109"/>
  <c r="N18" i="109"/>
  <c r="H18" i="109"/>
  <c r="C18" i="109"/>
  <c r="P17" i="109"/>
  <c r="J17" i="109"/>
  <c r="E17" i="109"/>
  <c r="P15" i="109"/>
  <c r="F17" i="109"/>
  <c r="M17" i="109"/>
  <c r="D18" i="109"/>
  <c r="K18" i="109"/>
  <c r="R18" i="109"/>
  <c r="D19" i="109"/>
  <c r="J19" i="109"/>
  <c r="Q19" i="109"/>
  <c r="H20" i="109"/>
  <c r="O20" i="109"/>
  <c r="AI20" i="107"/>
  <c r="AF20" i="107"/>
  <c r="Z20" i="107"/>
  <c r="U20" i="107"/>
  <c r="AF19" i="107"/>
  <c r="Z19" i="107"/>
  <c r="U19" i="107"/>
  <c r="AF18" i="107"/>
  <c r="Z18" i="107"/>
  <c r="U18" i="107"/>
  <c r="AF17" i="107"/>
  <c r="Z17" i="107"/>
  <c r="U17" i="107"/>
  <c r="Y17" i="107"/>
  <c r="AG17" i="107"/>
  <c r="X18" i="107"/>
  <c r="AD18" i="107"/>
  <c r="V19" i="107"/>
  <c r="AC19" i="107"/>
  <c r="AJ19" i="107"/>
  <c r="AB20" i="107"/>
  <c r="AH20" i="107"/>
  <c r="AI69" i="107"/>
  <c r="AJ69" i="107"/>
  <c r="AD69" i="107"/>
  <c r="Y69" i="107"/>
  <c r="AJ68" i="107"/>
  <c r="AD68" i="107"/>
  <c r="Y68" i="107"/>
  <c r="AJ67" i="107"/>
  <c r="AD67" i="107"/>
  <c r="Y67" i="107"/>
  <c r="AJ66" i="107"/>
  <c r="AD66" i="107"/>
  <c r="Y66" i="107"/>
  <c r="AH64" i="107"/>
  <c r="Z66" i="107"/>
  <c r="AG66" i="107"/>
  <c r="X67" i="107"/>
  <c r="AF67" i="107"/>
  <c r="V68" i="107"/>
  <c r="AC68" i="107"/>
  <c r="U69" i="107"/>
  <c r="AB69" i="107"/>
  <c r="AH69" i="107"/>
  <c r="V73" i="107"/>
  <c r="AC73" i="107"/>
  <c r="AJ73" i="107"/>
  <c r="AB74" i="107"/>
  <c r="AH74" i="107"/>
  <c r="Y75" i="107"/>
  <c r="AG75" i="107"/>
  <c r="X76" i="107"/>
  <c r="I87" i="107"/>
  <c r="Q87" i="107"/>
  <c r="J88" i="107"/>
  <c r="Q88" i="107"/>
  <c r="D89" i="107"/>
  <c r="J89" i="107"/>
  <c r="Q89" i="107"/>
  <c r="D90" i="107"/>
  <c r="J90" i="107"/>
  <c r="O97" i="107"/>
  <c r="Q97" i="107"/>
  <c r="L97" i="107"/>
  <c r="F97" i="107"/>
  <c r="R96" i="107"/>
  <c r="M96" i="107"/>
  <c r="H96" i="107"/>
  <c r="N95" i="107"/>
  <c r="I95" i="107"/>
  <c r="D95" i="107"/>
  <c r="P94" i="107"/>
  <c r="J94" i="107"/>
  <c r="E94" i="107"/>
  <c r="P92" i="107"/>
  <c r="F94" i="107"/>
  <c r="M94" i="107"/>
  <c r="F95" i="107"/>
  <c r="M95" i="107"/>
  <c r="F96" i="107"/>
  <c r="N96" i="107"/>
  <c r="H97" i="107"/>
  <c r="N97" i="107"/>
  <c r="I101" i="107"/>
  <c r="Q101" i="107"/>
  <c r="J102" i="107"/>
  <c r="Q102" i="107"/>
  <c r="D103" i="107"/>
  <c r="J103" i="107"/>
  <c r="Q103" i="107"/>
  <c r="D104" i="107"/>
  <c r="J104" i="107"/>
  <c r="Q13" i="109"/>
  <c r="P13" i="109"/>
  <c r="K13" i="109"/>
  <c r="F13" i="109"/>
  <c r="P12" i="109"/>
  <c r="J12" i="109"/>
  <c r="E12" i="109"/>
  <c r="O11" i="109"/>
  <c r="J11" i="109"/>
  <c r="D11" i="109"/>
  <c r="P10" i="109"/>
  <c r="J10" i="109"/>
  <c r="E10" i="109"/>
  <c r="P8" i="109"/>
  <c r="F10" i="109"/>
  <c r="M10" i="109"/>
  <c r="V10" i="109"/>
  <c r="AF10" i="109"/>
  <c r="G11" i="109"/>
  <c r="N11" i="109"/>
  <c r="Y11" i="109"/>
  <c r="AH11" i="109"/>
  <c r="I12" i="109"/>
  <c r="Q12" i="109"/>
  <c r="AA12" i="109"/>
  <c r="D13" i="109"/>
  <c r="L13" i="109"/>
  <c r="U13" i="109"/>
  <c r="AG20" i="109"/>
  <c r="Z20" i="109"/>
  <c r="AD19" i="109"/>
  <c r="AG18" i="109"/>
  <c r="V18" i="109"/>
  <c r="Z17" i="109"/>
  <c r="AH20" i="109"/>
  <c r="X20" i="109"/>
  <c r="H17" i="109"/>
  <c r="N17" i="109"/>
  <c r="AB17" i="109"/>
  <c r="F18" i="109"/>
  <c r="L18" i="109"/>
  <c r="Y18" i="109"/>
  <c r="E19" i="109"/>
  <c r="L19" i="109"/>
  <c r="V19" i="109"/>
  <c r="C20" i="109"/>
  <c r="J20" i="109"/>
  <c r="R20" i="109"/>
  <c r="W24" i="109"/>
  <c r="AG25" i="109"/>
  <c r="Q34" i="109"/>
  <c r="O34" i="109"/>
  <c r="J34" i="109"/>
  <c r="D34" i="109"/>
  <c r="N33" i="109"/>
  <c r="I33" i="109"/>
  <c r="D33" i="109"/>
  <c r="O32" i="109"/>
  <c r="J32" i="109"/>
  <c r="D32" i="109"/>
  <c r="Q31" i="109"/>
  <c r="L31" i="109"/>
  <c r="F31" i="109"/>
  <c r="N34" i="109"/>
  <c r="H34" i="109"/>
  <c r="C34" i="109"/>
  <c r="R33" i="109"/>
  <c r="M33" i="109"/>
  <c r="H33" i="109"/>
  <c r="N32" i="109"/>
  <c r="H32" i="109"/>
  <c r="C32" i="109"/>
  <c r="P31" i="109"/>
  <c r="J31" i="109"/>
  <c r="E31" i="109"/>
  <c r="P29" i="109"/>
  <c r="H31" i="109"/>
  <c r="R31" i="109"/>
  <c r="L32" i="109"/>
  <c r="F33" i="109"/>
  <c r="Q33" i="109"/>
  <c r="G34" i="109"/>
  <c r="R34" i="109"/>
  <c r="Q48" i="109"/>
  <c r="O48" i="109"/>
  <c r="J48" i="109"/>
  <c r="D48" i="109"/>
  <c r="R47" i="109"/>
  <c r="M47" i="109"/>
  <c r="H47" i="109"/>
  <c r="N46" i="109"/>
  <c r="H46" i="109"/>
  <c r="C46" i="109"/>
  <c r="R45" i="109"/>
  <c r="M45" i="109"/>
  <c r="H45" i="109"/>
  <c r="R48" i="109"/>
  <c r="K48" i="109"/>
  <c r="C48" i="109"/>
  <c r="P47" i="109"/>
  <c r="I47" i="109"/>
  <c r="P46" i="109"/>
  <c r="J46" i="109"/>
  <c r="P45" i="109"/>
  <c r="I45" i="109"/>
  <c r="P48" i="109"/>
  <c r="H48" i="109"/>
  <c r="N47" i="109"/>
  <c r="F47" i="109"/>
  <c r="O46" i="109"/>
  <c r="G46" i="109"/>
  <c r="N45" i="109"/>
  <c r="F45" i="109"/>
  <c r="P43" i="109"/>
  <c r="J45" i="109"/>
  <c r="L46" i="109"/>
  <c r="D47" i="109"/>
  <c r="Q47" i="109"/>
  <c r="G48" i="109"/>
  <c r="Q55" i="109"/>
  <c r="N55" i="109"/>
  <c r="H55" i="109"/>
  <c r="C55" i="109"/>
  <c r="N54" i="109"/>
  <c r="I54" i="109"/>
  <c r="D54" i="109"/>
  <c r="N53" i="109"/>
  <c r="H53" i="109"/>
  <c r="C53" i="109"/>
  <c r="N52" i="109"/>
  <c r="I52" i="109"/>
  <c r="D52" i="109"/>
  <c r="R55" i="109"/>
  <c r="K55" i="109"/>
  <c r="D55" i="109"/>
  <c r="M54" i="109"/>
  <c r="F54" i="109"/>
  <c r="O53" i="109"/>
  <c r="G53" i="109"/>
  <c r="Q52" i="109"/>
  <c r="J52" i="109"/>
  <c r="P55" i="109"/>
  <c r="J55" i="109"/>
  <c r="R54" i="109"/>
  <c r="L54" i="109"/>
  <c r="E54" i="109"/>
  <c r="L53" i="109"/>
  <c r="F53" i="109"/>
  <c r="P52" i="109"/>
  <c r="H52" i="109"/>
  <c r="P50" i="109"/>
  <c r="L52" i="109"/>
  <c r="J53" i="109"/>
  <c r="H54" i="109"/>
  <c r="F55" i="109"/>
  <c r="Q76" i="109"/>
  <c r="R76" i="109"/>
  <c r="L76" i="109"/>
  <c r="G76" i="109"/>
  <c r="R75" i="109"/>
  <c r="M75" i="109"/>
  <c r="H75" i="109"/>
  <c r="R74" i="109"/>
  <c r="L74" i="109"/>
  <c r="G74" i="109"/>
  <c r="R73" i="109"/>
  <c r="M73" i="109"/>
  <c r="H73" i="109"/>
  <c r="P76" i="109"/>
  <c r="J76" i="109"/>
  <c r="C76" i="109"/>
  <c r="L75" i="109"/>
  <c r="E75" i="109"/>
  <c r="N74" i="109"/>
  <c r="F74" i="109"/>
  <c r="P73" i="109"/>
  <c r="I73" i="109"/>
  <c r="O76" i="109"/>
  <c r="H76" i="109"/>
  <c r="Q75" i="109"/>
  <c r="J75" i="109"/>
  <c r="D75" i="109"/>
  <c r="K74" i="109"/>
  <c r="D74" i="109"/>
  <c r="N73" i="109"/>
  <c r="F73" i="109"/>
  <c r="P71" i="109"/>
  <c r="J73" i="109"/>
  <c r="H74" i="109"/>
  <c r="F75" i="109"/>
  <c r="D76" i="109"/>
  <c r="Q83" i="109"/>
  <c r="N83" i="109"/>
  <c r="H83" i="109"/>
  <c r="C83" i="109"/>
  <c r="N82" i="109"/>
  <c r="I82" i="109"/>
  <c r="D82" i="109"/>
  <c r="N81" i="109"/>
  <c r="H81" i="109"/>
  <c r="C81" i="109"/>
  <c r="N80" i="109"/>
  <c r="I80" i="109"/>
  <c r="D80" i="109"/>
  <c r="L83" i="109"/>
  <c r="F83" i="109"/>
  <c r="P82" i="109"/>
  <c r="H82" i="109"/>
  <c r="P81" i="109"/>
  <c r="J81" i="109"/>
  <c r="R80" i="109"/>
  <c r="L80" i="109"/>
  <c r="E80" i="109"/>
  <c r="R83" i="109"/>
  <c r="K83" i="109"/>
  <c r="D83" i="109"/>
  <c r="M82" i="109"/>
  <c r="F82" i="109"/>
  <c r="O81" i="109"/>
  <c r="G81" i="109"/>
  <c r="Q80" i="109"/>
  <c r="J80" i="109"/>
  <c r="H80" i="109"/>
  <c r="F81" i="109"/>
  <c r="E82" i="109"/>
  <c r="R82" i="109"/>
  <c r="P83" i="109"/>
  <c r="AF13" i="109"/>
  <c r="X13" i="109"/>
  <c r="AE12" i="109"/>
  <c r="X12" i="109"/>
  <c r="AD11" i="109"/>
  <c r="X11" i="109"/>
  <c r="AE10" i="109"/>
  <c r="W10" i="109"/>
  <c r="Z10" i="109"/>
  <c r="AH10" i="109"/>
  <c r="AB11" i="109"/>
  <c r="AD12" i="109"/>
  <c r="V13" i="109"/>
  <c r="AG13" i="109"/>
  <c r="I17" i="109"/>
  <c r="Q17" i="109"/>
  <c r="G18" i="109"/>
  <c r="O18" i="109"/>
  <c r="F19" i="109"/>
  <c r="N19" i="109"/>
  <c r="D20" i="109"/>
  <c r="L20" i="109"/>
  <c r="AG41" i="109"/>
  <c r="AE40" i="109"/>
  <c r="W40" i="109"/>
  <c r="AD38" i="109"/>
  <c r="X39" i="109"/>
  <c r="AI76" i="107"/>
  <c r="AF76" i="107"/>
  <c r="Z76" i="107"/>
  <c r="U76" i="107"/>
  <c r="AF75" i="107"/>
  <c r="Z75" i="107"/>
  <c r="U75" i="107"/>
  <c r="AF74" i="107"/>
  <c r="Z74" i="107"/>
  <c r="U74" i="107"/>
  <c r="AF73" i="107"/>
  <c r="Z73" i="107"/>
  <c r="U73" i="107"/>
  <c r="Y73" i="107"/>
  <c r="AG73" i="107"/>
  <c r="X74" i="107"/>
  <c r="AD74" i="107"/>
  <c r="V75" i="107"/>
  <c r="AC75" i="107"/>
  <c r="AJ75" i="107"/>
  <c r="AB76" i="107"/>
  <c r="AH76" i="107"/>
  <c r="O90" i="107"/>
  <c r="Q90" i="107"/>
  <c r="L90" i="107"/>
  <c r="F90" i="107"/>
  <c r="R89" i="107"/>
  <c r="M89" i="107"/>
  <c r="H89" i="107"/>
  <c r="N88" i="107"/>
  <c r="I88" i="107"/>
  <c r="D88" i="107"/>
  <c r="P87" i="107"/>
  <c r="J87" i="107"/>
  <c r="E87" i="107"/>
  <c r="P85" i="107"/>
  <c r="F87" i="107"/>
  <c r="M87" i="107"/>
  <c r="F88" i="107"/>
  <c r="M88" i="107"/>
  <c r="F89" i="107"/>
  <c r="N89" i="107"/>
  <c r="H90" i="107"/>
  <c r="N90" i="107"/>
  <c r="O104" i="107"/>
  <c r="Q104" i="107"/>
  <c r="L104" i="107"/>
  <c r="F104" i="107"/>
  <c r="R103" i="107"/>
  <c r="M103" i="107"/>
  <c r="H103" i="107"/>
  <c r="N102" i="107"/>
  <c r="I102" i="107"/>
  <c r="D102" i="107"/>
  <c r="P101" i="107"/>
  <c r="J101" i="107"/>
  <c r="E101" i="107"/>
  <c r="P99" i="107"/>
  <c r="F101" i="107"/>
  <c r="M101" i="107"/>
  <c r="F102" i="107"/>
  <c r="M102" i="107"/>
  <c r="F103" i="107"/>
  <c r="N103" i="107"/>
  <c r="H104" i="107"/>
  <c r="N104" i="107"/>
  <c r="AF8" i="109"/>
  <c r="AA10" i="109"/>
  <c r="AC11" i="109"/>
  <c r="V12" i="109"/>
  <c r="AF12" i="109"/>
  <c r="Z13" i="109"/>
  <c r="AH13" i="109"/>
  <c r="D17" i="109"/>
  <c r="L17" i="109"/>
  <c r="R17" i="109"/>
  <c r="J18" i="109"/>
  <c r="P18" i="109"/>
  <c r="I19" i="109"/>
  <c r="P19" i="109"/>
  <c r="G20" i="109"/>
  <c r="N20" i="109"/>
  <c r="AD27" i="109"/>
  <c r="AF26" i="109"/>
  <c r="V26" i="109"/>
  <c r="AC25" i="109"/>
  <c r="V25" i="109"/>
  <c r="AB24" i="109"/>
  <c r="V24" i="109"/>
  <c r="AB27" i="109"/>
  <c r="AD26" i="109"/>
  <c r="AH25" i="109"/>
  <c r="AB25" i="109"/>
  <c r="AH24" i="109"/>
  <c r="AA24" i="109"/>
  <c r="AF22" i="109"/>
  <c r="AE24" i="109"/>
  <c r="Y25" i="109"/>
  <c r="X26" i="109"/>
  <c r="X27" i="109"/>
  <c r="AD39" i="109"/>
  <c r="Q41" i="109"/>
  <c r="R41" i="109"/>
  <c r="L41" i="109"/>
  <c r="G41" i="109"/>
  <c r="P40" i="109"/>
  <c r="J40" i="109"/>
  <c r="E40" i="109"/>
  <c r="R39" i="109"/>
  <c r="L39" i="109"/>
  <c r="G39" i="109"/>
  <c r="E38" i="109"/>
  <c r="J38" i="109"/>
  <c r="P38" i="109"/>
  <c r="H39" i="109"/>
  <c r="O39" i="109"/>
  <c r="D40" i="109"/>
  <c r="L40" i="109"/>
  <c r="R40" i="109"/>
  <c r="F41" i="109"/>
  <c r="N41" i="109"/>
  <c r="Q97" i="109"/>
  <c r="R97" i="109"/>
  <c r="L97" i="109"/>
  <c r="G97" i="109"/>
  <c r="R96" i="109"/>
  <c r="M96" i="109"/>
  <c r="H96" i="109"/>
  <c r="R95" i="109"/>
  <c r="L95" i="109"/>
  <c r="G95" i="109"/>
  <c r="Q94" i="109"/>
  <c r="L94" i="109"/>
  <c r="F94" i="109"/>
  <c r="P92" i="109"/>
  <c r="H94" i="109"/>
  <c r="N94" i="109"/>
  <c r="H95" i="109"/>
  <c r="O95" i="109"/>
  <c r="F96" i="109"/>
  <c r="N96" i="109"/>
  <c r="D97" i="109"/>
  <c r="K97" i="109"/>
  <c r="N104" i="109"/>
  <c r="G104" i="109"/>
  <c r="Q103" i="109"/>
  <c r="I103" i="109"/>
  <c r="R102" i="109"/>
  <c r="K102" i="109"/>
  <c r="D102" i="109"/>
  <c r="O101" i="109"/>
  <c r="J101" i="109"/>
  <c r="D101" i="109"/>
  <c r="G101" i="109"/>
  <c r="N101" i="109"/>
  <c r="F102" i="109"/>
  <c r="N102" i="109"/>
  <c r="G103" i="109"/>
  <c r="R103" i="109"/>
  <c r="K104" i="109"/>
  <c r="P15" i="108" a="1"/>
  <c r="D17" i="108"/>
  <c r="Q17" i="108"/>
  <c r="I18" i="108"/>
  <c r="N19" i="108"/>
  <c r="F20" i="108"/>
  <c r="P20" i="108"/>
  <c r="AH27" i="108"/>
  <c r="AG27" i="108"/>
  <c r="AB27" i="108"/>
  <c r="W27" i="108"/>
  <c r="AF26" i="108"/>
  <c r="AA26" i="108"/>
  <c r="U26" i="108"/>
  <c r="AI25" i="108"/>
  <c r="AC25" i="108"/>
  <c r="X25" i="108"/>
  <c r="AG24" i="108"/>
  <c r="AB24" i="108"/>
  <c r="W24" i="108"/>
  <c r="I24" i="108"/>
  <c r="U24" i="108"/>
  <c r="AC24" i="108"/>
  <c r="AJ24" i="108"/>
  <c r="N25" i="108"/>
  <c r="Y25" i="108"/>
  <c r="AF25" i="108"/>
  <c r="G26" i="108"/>
  <c r="W26" i="108"/>
  <c r="AC26" i="108"/>
  <c r="AJ26" i="108"/>
  <c r="N27" i="108"/>
  <c r="Y27" i="108"/>
  <c r="AF27" i="108"/>
  <c r="AH34" i="108"/>
  <c r="W34" i="108"/>
  <c r="AG33" i="108"/>
  <c r="W33" i="108"/>
  <c r="AD32" i="108"/>
  <c r="V32" i="108"/>
  <c r="AD31" i="108"/>
  <c r="K31" i="108"/>
  <c r="AA31" i="108"/>
  <c r="K32" i="108"/>
  <c r="AA32" i="108"/>
  <c r="D33" i="108"/>
  <c r="Y33" i="108"/>
  <c r="D34" i="108"/>
  <c r="V34" i="108"/>
  <c r="AI34" i="108"/>
  <c r="U38" i="108"/>
  <c r="AB38" i="108"/>
  <c r="AI38" i="108"/>
  <c r="U39" i="108"/>
  <c r="AB39" i="108"/>
  <c r="AJ39" i="108"/>
  <c r="X40" i="108"/>
  <c r="AI40" i="108"/>
  <c r="X41" i="108"/>
  <c r="AI41" i="108"/>
  <c r="K47" i="108"/>
  <c r="Q53" i="108"/>
  <c r="C54" i="108"/>
  <c r="AH57" i="108" a="1"/>
  <c r="AH57" i="108" s="1"/>
  <c r="AC59" i="108"/>
  <c r="U60" i="108"/>
  <c r="AE60" i="108"/>
  <c r="X61" i="108"/>
  <c r="AF61" i="108"/>
  <c r="W62" i="108"/>
  <c r="AG62" i="108"/>
  <c r="D66" i="108"/>
  <c r="Z66" i="108"/>
  <c r="O67" i="108"/>
  <c r="AI67" i="108"/>
  <c r="Z68" i="108"/>
  <c r="O69" i="108"/>
  <c r="AE69" i="108"/>
  <c r="H80" i="108" a="1"/>
  <c r="H80" i="108" s="1"/>
  <c r="M80" i="108" a="1"/>
  <c r="M80" i="108" s="1"/>
  <c r="H81" i="108" a="1"/>
  <c r="H81" i="108" s="1"/>
  <c r="M81" i="108" a="1"/>
  <c r="M81" i="108" s="1"/>
  <c r="H82" i="108" a="1"/>
  <c r="H82" i="108" s="1"/>
  <c r="M82" i="108" a="1"/>
  <c r="M82" i="108" s="1"/>
  <c r="P90" i="108" a="1"/>
  <c r="L90" i="108" a="1"/>
  <c r="H90" i="108" a="1"/>
  <c r="H90" i="108" s="1"/>
  <c r="D90" i="108" a="1"/>
  <c r="P89" i="108" a="1"/>
  <c r="L89" i="108" a="1"/>
  <c r="H89" i="108" a="1"/>
  <c r="H89" i="108" s="1"/>
  <c r="D89" i="108" a="1"/>
  <c r="N88" i="108" a="1"/>
  <c r="K88" i="108" a="1"/>
  <c r="K88" i="108" s="1"/>
  <c r="F88" i="108" a="1"/>
  <c r="F88" i="108" s="1"/>
  <c r="C88" i="108" a="1"/>
  <c r="C88" i="108" s="1"/>
  <c r="N87" i="108" a="1"/>
  <c r="K87" i="108" a="1"/>
  <c r="K87" i="108" s="1"/>
  <c r="F87" i="108" a="1"/>
  <c r="F87" i="108" s="1"/>
  <c r="C87" i="108" a="1"/>
  <c r="C87" i="108" s="1"/>
  <c r="N90" i="108" a="1"/>
  <c r="I90" i="108" a="1"/>
  <c r="C90" i="108" a="1"/>
  <c r="N89" i="108" a="1"/>
  <c r="I89" i="108" a="1"/>
  <c r="C89" i="108" a="1"/>
  <c r="O88" i="108" a="1"/>
  <c r="O88" i="108" s="1"/>
  <c r="L88" i="108" a="1"/>
  <c r="H88" i="108" a="1"/>
  <c r="O90" i="108" a="1"/>
  <c r="G90" i="108" a="1"/>
  <c r="G90" i="108" s="1"/>
  <c r="Q89" i="108" a="1"/>
  <c r="J89" i="108" a="1"/>
  <c r="R88" i="108" a="1"/>
  <c r="R88" i="108" s="1"/>
  <c r="M88" i="108" a="1"/>
  <c r="M88" i="108" s="1"/>
  <c r="I88" i="108" a="1"/>
  <c r="I88" i="108" s="1"/>
  <c r="D88" i="108" a="1"/>
  <c r="O87" i="108" a="1"/>
  <c r="O87" i="108" s="1"/>
  <c r="L87" i="108" a="1"/>
  <c r="H87" i="108" a="1"/>
  <c r="M90" i="108" a="1"/>
  <c r="F90" i="108" a="1"/>
  <c r="F90" i="108" s="1"/>
  <c r="O89" i="108" a="1"/>
  <c r="O89" i="108" s="1"/>
  <c r="G89" i="108" a="1"/>
  <c r="Q88" i="108" a="1"/>
  <c r="Q88" i="108" s="1"/>
  <c r="G88" i="108" a="1"/>
  <c r="G88" i="108" s="1"/>
  <c r="R87" i="108" a="1"/>
  <c r="R87" i="108" s="1"/>
  <c r="G87" i="108" a="1"/>
  <c r="G87" i="108" s="1"/>
  <c r="D87" i="108" a="1"/>
  <c r="R90" i="108" a="1"/>
  <c r="K90" i="108" a="1"/>
  <c r="K90" i="108" s="1"/>
  <c r="E90" i="108" a="1"/>
  <c r="M89" i="108" a="1"/>
  <c r="F89" i="108" a="1"/>
  <c r="P88" i="108" a="1"/>
  <c r="P88" i="108" s="1"/>
  <c r="Q87" i="108" a="1"/>
  <c r="Q87" i="108" s="1"/>
  <c r="M87" i="108" a="1"/>
  <c r="M87" i="108" s="1"/>
  <c r="J87" i="108" a="1"/>
  <c r="P85" i="108" a="1"/>
  <c r="P85" i="108" s="1"/>
  <c r="I87" i="108" a="1"/>
  <c r="I87" i="108" s="1"/>
  <c r="E88" i="108" a="1"/>
  <c r="E88" i="108" s="1"/>
  <c r="J90" i="108" a="1"/>
  <c r="X31" i="107"/>
  <c r="AC31" i="107"/>
  <c r="AH31" i="107"/>
  <c r="X32" i="107"/>
  <c r="AC32" i="107"/>
  <c r="AH32" i="107"/>
  <c r="X33" i="107"/>
  <c r="AC33" i="107"/>
  <c r="AH33" i="107"/>
  <c r="X34" i="107"/>
  <c r="AC34" i="107"/>
  <c r="AH34" i="107"/>
  <c r="X59" i="107"/>
  <c r="AC59" i="107"/>
  <c r="AH59" i="107"/>
  <c r="X60" i="107"/>
  <c r="AC60" i="107"/>
  <c r="AH60" i="107"/>
  <c r="X61" i="107"/>
  <c r="AC61" i="107"/>
  <c r="AH61" i="107"/>
  <c r="X62" i="107"/>
  <c r="AC62" i="107"/>
  <c r="AH62" i="107"/>
  <c r="D24" i="109"/>
  <c r="I24" i="109"/>
  <c r="N24" i="109"/>
  <c r="C25" i="109"/>
  <c r="H25" i="109"/>
  <c r="N25" i="109"/>
  <c r="D26" i="109"/>
  <c r="I26" i="109"/>
  <c r="N26" i="109"/>
  <c r="G27" i="109"/>
  <c r="L27" i="109"/>
  <c r="R27" i="109"/>
  <c r="AA31" i="109"/>
  <c r="X32" i="109"/>
  <c r="X33" i="109"/>
  <c r="P36" i="109"/>
  <c r="F38" i="109"/>
  <c r="L38" i="109"/>
  <c r="Q38" i="109"/>
  <c r="C39" i="109"/>
  <c r="J39" i="109"/>
  <c r="P39" i="109"/>
  <c r="F40" i="109"/>
  <c r="M40" i="109"/>
  <c r="H41" i="109"/>
  <c r="O41" i="109"/>
  <c r="AD48" i="109"/>
  <c r="AF48" i="109"/>
  <c r="AH46" i="109"/>
  <c r="U46" i="109"/>
  <c r="AF43" i="109"/>
  <c r="AE45" i="109"/>
  <c r="AF46" i="109"/>
  <c r="Q69" i="109"/>
  <c r="P69" i="109"/>
  <c r="K69" i="109"/>
  <c r="F69" i="109"/>
  <c r="Q68" i="109"/>
  <c r="L68" i="109"/>
  <c r="F68" i="109"/>
  <c r="P67" i="109"/>
  <c r="K67" i="109"/>
  <c r="F67" i="109"/>
  <c r="Q66" i="109"/>
  <c r="L66" i="109"/>
  <c r="F66" i="109"/>
  <c r="P64" i="109"/>
  <c r="H66" i="109"/>
  <c r="N66" i="109"/>
  <c r="D67" i="109"/>
  <c r="L67" i="109"/>
  <c r="D68" i="109"/>
  <c r="J68" i="109"/>
  <c r="R68" i="109"/>
  <c r="H69" i="109"/>
  <c r="O69" i="109"/>
  <c r="AH97" i="109"/>
  <c r="AF94" i="109"/>
  <c r="I94" i="109"/>
  <c r="P94" i="109"/>
  <c r="C95" i="109"/>
  <c r="J95" i="109"/>
  <c r="P95" i="109"/>
  <c r="I96" i="109"/>
  <c r="P96" i="109"/>
  <c r="F97" i="109"/>
  <c r="N97" i="109"/>
  <c r="P99" i="109"/>
  <c r="H101" i="109"/>
  <c r="P101" i="109"/>
  <c r="G102" i="109"/>
  <c r="Q102" i="109"/>
  <c r="K103" i="109"/>
  <c r="C104" i="109"/>
  <c r="M104" i="109"/>
  <c r="G17" i="108"/>
  <c r="J18" i="108"/>
  <c r="C19" i="108"/>
  <c r="Q19" i="108"/>
  <c r="G20" i="108"/>
  <c r="K24" i="108"/>
  <c r="X24" i="108"/>
  <c r="AE24" i="108"/>
  <c r="C25" i="108"/>
  <c r="R25" i="108"/>
  <c r="AA25" i="108"/>
  <c r="AG25" i="108"/>
  <c r="M26" i="108"/>
  <c r="X26" i="108"/>
  <c r="AE26" i="108"/>
  <c r="F27" i="108"/>
  <c r="AA27" i="108"/>
  <c r="AI27" i="108"/>
  <c r="O31" i="108"/>
  <c r="AG31" i="108"/>
  <c r="O32" i="108"/>
  <c r="AC32" i="108"/>
  <c r="K33" i="108"/>
  <c r="AA33" i="108"/>
  <c r="G34" i="108"/>
  <c r="AA34" i="108"/>
  <c r="R41" i="108"/>
  <c r="J41" i="108"/>
  <c r="C41" i="108"/>
  <c r="M40" i="108"/>
  <c r="O41" i="108"/>
  <c r="G41" i="108"/>
  <c r="O40" i="108"/>
  <c r="G40" i="108"/>
  <c r="O39" i="108"/>
  <c r="I39" i="108"/>
  <c r="R38" i="108"/>
  <c r="J38" i="108"/>
  <c r="C38" i="108"/>
  <c r="P36" i="108" a="1"/>
  <c r="P36" i="108" s="1"/>
  <c r="AH36" i="108" a="1"/>
  <c r="AH36" i="108" s="1"/>
  <c r="M38" i="108"/>
  <c r="W38" i="108"/>
  <c r="AC38" i="108"/>
  <c r="C39" i="108"/>
  <c r="M39" i="108"/>
  <c r="W39" i="108"/>
  <c r="AE39" i="108"/>
  <c r="C40" i="108"/>
  <c r="N40" i="108"/>
  <c r="AB40" i="108"/>
  <c r="AJ40" i="108"/>
  <c r="N41" i="108"/>
  <c r="AB41" i="108"/>
  <c r="O48" i="108"/>
  <c r="P48" i="108"/>
  <c r="E48" i="108"/>
  <c r="M47" i="108"/>
  <c r="C47" i="108"/>
  <c r="K46" i="108"/>
  <c r="H45" i="108"/>
  <c r="C48" i="108"/>
  <c r="P47" i="108"/>
  <c r="M46" i="108"/>
  <c r="K45" i="108"/>
  <c r="C45" i="108"/>
  <c r="C46" i="108"/>
  <c r="M48" i="108"/>
  <c r="Q54" i="108"/>
  <c r="W59" i="108"/>
  <c r="AF59" i="108"/>
  <c r="W60" i="108"/>
  <c r="AG60" i="108"/>
  <c r="Y61" i="108"/>
  <c r="AI61" i="108"/>
  <c r="AA62" i="108"/>
  <c r="H66" i="108"/>
  <c r="AG66" i="108"/>
  <c r="V67" i="108"/>
  <c r="AE68" i="108"/>
  <c r="U69" i="108"/>
  <c r="M76" i="108"/>
  <c r="R76" i="108"/>
  <c r="E76" i="108"/>
  <c r="F75" i="108"/>
  <c r="G74" i="108"/>
  <c r="J73" i="108"/>
  <c r="K76" i="108"/>
  <c r="J75" i="108"/>
  <c r="E74" i="108"/>
  <c r="G76" i="108"/>
  <c r="K74" i="108"/>
  <c r="R83" i="108" a="1"/>
  <c r="R83" i="108" s="1"/>
  <c r="O83" i="108" a="1"/>
  <c r="O83" i="108" s="1"/>
  <c r="J83" i="108" a="1"/>
  <c r="J83" i="108" s="1"/>
  <c r="G83" i="108" a="1"/>
  <c r="G83" i="108" s="1"/>
  <c r="Q83" i="108" a="1"/>
  <c r="Q83" i="108" s="1"/>
  <c r="L83" i="108" a="1"/>
  <c r="L83" i="108" s="1"/>
  <c r="I83" i="108" a="1"/>
  <c r="I83" i="108" s="1"/>
  <c r="D83" i="108" a="1"/>
  <c r="D83" i="108" s="1"/>
  <c r="Q82" i="108" a="1"/>
  <c r="Q82" i="108" s="1"/>
  <c r="L82" i="108" a="1"/>
  <c r="L82" i="108" s="1"/>
  <c r="I82" i="108" a="1"/>
  <c r="I82" i="108" s="1"/>
  <c r="D82" i="108" a="1"/>
  <c r="D82" i="108" s="1"/>
  <c r="Q81" i="108" a="1"/>
  <c r="Q81" i="108" s="1"/>
  <c r="L81" i="108" a="1"/>
  <c r="L81" i="108" s="1"/>
  <c r="I81" i="108" a="1"/>
  <c r="I81" i="108" s="1"/>
  <c r="D81" i="108" a="1"/>
  <c r="D81" i="108" s="1"/>
  <c r="Q80" i="108" a="1"/>
  <c r="Q80" i="108" s="1"/>
  <c r="L80" i="108" a="1"/>
  <c r="L80" i="108" s="1"/>
  <c r="I80" i="108" a="1"/>
  <c r="I80" i="108" s="1"/>
  <c r="D80" i="108" a="1"/>
  <c r="D80" i="108" s="1"/>
  <c r="N83" i="108" a="1"/>
  <c r="N83" i="108" s="1"/>
  <c r="K83" i="108" a="1"/>
  <c r="K83" i="108" s="1"/>
  <c r="F83" i="108" a="1"/>
  <c r="F83" i="108" s="1"/>
  <c r="C83" i="108" a="1"/>
  <c r="C83" i="108" s="1"/>
  <c r="N82" i="108" a="1"/>
  <c r="N82" i="108" s="1"/>
  <c r="K82" i="108" a="1"/>
  <c r="K82" i="108" s="1"/>
  <c r="F82" i="108" a="1"/>
  <c r="F82" i="108" s="1"/>
  <c r="C82" i="108" a="1"/>
  <c r="C82" i="108" s="1"/>
  <c r="N81" i="108" a="1"/>
  <c r="N81" i="108" s="1"/>
  <c r="K81" i="108" a="1"/>
  <c r="K81" i="108" s="1"/>
  <c r="F81" i="108" a="1"/>
  <c r="F81" i="108" s="1"/>
  <c r="C81" i="108" a="1"/>
  <c r="C81" i="108" s="1"/>
  <c r="N80" i="108" a="1"/>
  <c r="N80" i="108" s="1"/>
  <c r="K80" i="108" a="1"/>
  <c r="K80" i="108" s="1"/>
  <c r="F80" i="108" a="1"/>
  <c r="F80" i="108" s="1"/>
  <c r="C80" i="108" a="1"/>
  <c r="C80" i="108" s="1"/>
  <c r="P78" i="108" a="1"/>
  <c r="P78" i="108" s="1"/>
  <c r="J80" i="108" a="1"/>
  <c r="J80" i="108" s="1"/>
  <c r="O80" i="108" a="1"/>
  <c r="O80" i="108" s="1"/>
  <c r="J81" i="108" a="1"/>
  <c r="J81" i="108" s="1"/>
  <c r="O81" i="108" a="1"/>
  <c r="O81" i="108" s="1"/>
  <c r="J82" i="108" a="1"/>
  <c r="J82" i="108" s="1"/>
  <c r="O82" i="108" a="1"/>
  <c r="O82" i="108" s="1"/>
  <c r="E83" i="108" a="1"/>
  <c r="E83" i="108" s="1"/>
  <c r="P83" i="108" a="1"/>
  <c r="P83" i="108" s="1"/>
  <c r="J88" i="108" a="1"/>
  <c r="J88" i="108" s="1"/>
  <c r="E89" i="108" a="1"/>
  <c r="Q90" i="108" a="1"/>
  <c r="Q90" i="108" s="1"/>
  <c r="K17" i="108"/>
  <c r="P18" i="108"/>
  <c r="G19" i="108"/>
  <c r="R19" i="108"/>
  <c r="M27" i="108"/>
  <c r="C27" i="108"/>
  <c r="I26" i="108"/>
  <c r="Q25" i="108"/>
  <c r="G25" i="108"/>
  <c r="M24" i="108"/>
  <c r="C24" i="108"/>
  <c r="P22" i="108" a="1"/>
  <c r="P22" i="108" s="1"/>
  <c r="Q24" i="108"/>
  <c r="I25" i="108"/>
  <c r="N26" i="108"/>
  <c r="G27" i="108"/>
  <c r="Q32" i="108"/>
  <c r="O33" i="108"/>
  <c r="X38" i="108"/>
  <c r="AF38" i="108"/>
  <c r="Y39" i="108"/>
  <c r="AF39" i="108"/>
  <c r="AC40" i="108"/>
  <c r="U41" i="108"/>
  <c r="AH62" i="108"/>
  <c r="AJ62" i="108"/>
  <c r="AE62" i="108"/>
  <c r="Y62" i="108"/>
  <c r="AG61" i="108"/>
  <c r="AB61" i="108"/>
  <c r="W61" i="108"/>
  <c r="AI60" i="108"/>
  <c r="AC60" i="108"/>
  <c r="X60" i="108"/>
  <c r="AJ59" i="108"/>
  <c r="AE59" i="108"/>
  <c r="Y59" i="108"/>
  <c r="AF62" i="108"/>
  <c r="X62" i="108"/>
  <c r="AJ61" i="108"/>
  <c r="AC61" i="108"/>
  <c r="U61" i="108"/>
  <c r="AF60" i="108"/>
  <c r="Y60" i="108"/>
  <c r="AI59" i="108"/>
  <c r="AB59" i="108"/>
  <c r="U59" i="108"/>
  <c r="X59" i="108"/>
  <c r="AG59" i="108"/>
  <c r="AA60" i="108"/>
  <c r="AJ60" i="108"/>
  <c r="AA61" i="108"/>
  <c r="AB62" i="108"/>
  <c r="Q69" i="108"/>
  <c r="L69" i="108"/>
  <c r="H68" i="108"/>
  <c r="D67" i="108"/>
  <c r="O66" i="108"/>
  <c r="H69" i="108"/>
  <c r="L68" i="108"/>
  <c r="L67" i="108"/>
  <c r="L66" i="108"/>
  <c r="P64" i="108" a="1"/>
  <c r="U66" i="108"/>
  <c r="AI66" i="108"/>
  <c r="Y67" i="108"/>
  <c r="O68" i="108"/>
  <c r="AI68" i="108"/>
  <c r="O76" i="108"/>
  <c r="E81" i="108" a="1"/>
  <c r="E81" i="108" s="1"/>
  <c r="P81" i="108" a="1"/>
  <c r="P81" i="108" s="1"/>
  <c r="E82" i="108" a="1"/>
  <c r="E82" i="108" s="1"/>
  <c r="P82" i="108" a="1"/>
  <c r="P82" i="108" s="1"/>
  <c r="H83" i="108" a="1"/>
  <c r="H83" i="108" s="1"/>
  <c r="P87" i="108" a="1"/>
  <c r="K89" i="108" a="1"/>
  <c r="J20" i="108"/>
  <c r="K19" i="108"/>
  <c r="M18" i="108"/>
  <c r="D18" i="108"/>
  <c r="O17" i="108"/>
  <c r="E17" i="108"/>
  <c r="L17" i="108"/>
  <c r="E18" i="108"/>
  <c r="R18" i="108"/>
  <c r="I19" i="108"/>
  <c r="O20" i="108"/>
  <c r="K27" i="108"/>
  <c r="K34" i="108"/>
  <c r="G33" i="108"/>
  <c r="G32" i="108"/>
  <c r="Q31" i="108"/>
  <c r="D31" i="108"/>
  <c r="P29" i="108" a="1"/>
  <c r="G31" i="108"/>
  <c r="D32" i="108"/>
  <c r="Q33" i="108"/>
  <c r="Q34" i="108"/>
  <c r="AH41" i="108"/>
  <c r="AJ41" i="108"/>
  <c r="AE41" i="108"/>
  <c r="Y41" i="108"/>
  <c r="AF40" i="108"/>
  <c r="AA40" i="108"/>
  <c r="U40" i="108"/>
  <c r="AG41" i="108"/>
  <c r="AA41" i="108"/>
  <c r="AG40" i="108"/>
  <c r="Y40" i="108"/>
  <c r="AI39" i="108"/>
  <c r="AC39" i="108"/>
  <c r="X39" i="108"/>
  <c r="AJ38" i="108"/>
  <c r="AE38" i="108"/>
  <c r="Y38" i="108"/>
  <c r="AA38" i="108"/>
  <c r="AG38" i="108"/>
  <c r="AA39" i="108"/>
  <c r="AG39" i="108"/>
  <c r="W40" i="108"/>
  <c r="AE40" i="108"/>
  <c r="W41" i="108"/>
  <c r="AF41" i="108"/>
  <c r="K55" i="108"/>
  <c r="K54" i="108"/>
  <c r="K53" i="108"/>
  <c r="K52" i="108"/>
  <c r="Q55" i="108"/>
  <c r="C52" i="108"/>
  <c r="P50" i="108" a="1"/>
  <c r="P50" i="108" s="1"/>
  <c r="Q52" i="108"/>
  <c r="C53" i="108"/>
  <c r="AI69" i="108"/>
  <c r="Y69" i="108"/>
  <c r="AG68" i="108"/>
  <c r="Y68" i="108"/>
  <c r="AD67" i="108"/>
  <c r="U67" i="108"/>
  <c r="AA66" i="108"/>
  <c r="AH64" i="108" a="1"/>
  <c r="AA69" i="108"/>
  <c r="AA68" i="108"/>
  <c r="AA67" i="108"/>
  <c r="AE66" i="108"/>
  <c r="Y66" i="108"/>
  <c r="AE67" i="108"/>
  <c r="U68" i="108"/>
  <c r="AD69" i="108"/>
  <c r="G82" i="108" a="1"/>
  <c r="G82" i="108" s="1"/>
  <c r="R82" i="108" a="1"/>
  <c r="R82" i="108" s="1"/>
  <c r="E87" i="108" a="1"/>
  <c r="E87" i="108" s="1"/>
  <c r="R89" i="108" a="1"/>
  <c r="AH92" i="108" a="1"/>
  <c r="AH92" i="108" s="1"/>
  <c r="X94" i="108" a="1"/>
  <c r="X94" i="108" s="1"/>
  <c r="AB94" i="108" a="1"/>
  <c r="AB94" i="108" s="1"/>
  <c r="AG94" i="108" a="1"/>
  <c r="Y95" i="108" a="1"/>
  <c r="Y95" i="108" s="1"/>
  <c r="AI95" i="108" a="1"/>
  <c r="AI95" i="108" s="1"/>
  <c r="AE96" i="108" a="1"/>
  <c r="V97" i="108" a="1"/>
  <c r="V97" i="108" s="1"/>
  <c r="N104" i="108"/>
  <c r="P104" i="108" a="1"/>
  <c r="P104" i="108" s="1"/>
  <c r="L104" i="108" a="1"/>
  <c r="H104" i="108" a="1"/>
  <c r="D104" i="108" a="1"/>
  <c r="P103" i="108" a="1"/>
  <c r="L103" i="108" a="1"/>
  <c r="H103" i="108" a="1"/>
  <c r="D103" i="108" a="1"/>
  <c r="D103" i="108" s="1"/>
  <c r="P102" i="108" a="1"/>
  <c r="P102" i="108" s="1"/>
  <c r="L102" i="108" a="1"/>
  <c r="H102" i="108" a="1"/>
  <c r="D102" i="108" a="1"/>
  <c r="P101" i="108" a="1"/>
  <c r="P101" i="108" s="1"/>
  <c r="L101" i="108" a="1"/>
  <c r="H101" i="108" a="1"/>
  <c r="D101" i="108" a="1"/>
  <c r="D101" i="108" s="1"/>
  <c r="O104" i="108" a="1"/>
  <c r="O104" i="108" s="1"/>
  <c r="J104" i="108" a="1"/>
  <c r="E104" i="108" a="1"/>
  <c r="O103" i="108" a="1"/>
  <c r="O103" i="108" s="1"/>
  <c r="J103" i="108" a="1"/>
  <c r="J103" i="108" s="1"/>
  <c r="E103" i="108" a="1"/>
  <c r="O102" i="108" a="1"/>
  <c r="J102" i="108" a="1"/>
  <c r="E102" i="108" a="1"/>
  <c r="E102" i="108" s="1"/>
  <c r="O101" i="108" a="1"/>
  <c r="J101" i="108" a="1"/>
  <c r="E101" i="108" a="1"/>
  <c r="M104" i="108" a="1"/>
  <c r="M104" i="108" s="1"/>
  <c r="F104" i="108" a="1"/>
  <c r="N103" i="108" a="1"/>
  <c r="G103" i="108" a="1"/>
  <c r="G103" i="108" s="1"/>
  <c r="Q102" i="108" a="1"/>
  <c r="Q102" i="108" s="1"/>
  <c r="I102" i="108" a="1"/>
  <c r="R101" i="108" a="1"/>
  <c r="K101" i="108" a="1"/>
  <c r="C101" i="108" a="1"/>
  <c r="I101" i="108" a="1"/>
  <c r="C102" i="108" a="1"/>
  <c r="M102" i="108" a="1"/>
  <c r="F103" i="108" a="1"/>
  <c r="F103" i="108" s="1"/>
  <c r="Q103" i="108" a="1"/>
  <c r="I104" i="108" a="1"/>
  <c r="R104" i="108" a="1"/>
  <c r="R17" i="110"/>
  <c r="J18" i="110"/>
  <c r="D19" i="110"/>
  <c r="E59" i="109"/>
  <c r="J59" i="109"/>
  <c r="P59" i="109"/>
  <c r="D60" i="109"/>
  <c r="J60" i="109"/>
  <c r="O60" i="109"/>
  <c r="E61" i="109"/>
  <c r="J61" i="109"/>
  <c r="P61" i="109"/>
  <c r="D62" i="109"/>
  <c r="J62" i="109"/>
  <c r="O62" i="109"/>
  <c r="E87" i="109"/>
  <c r="J87" i="109"/>
  <c r="P87" i="109"/>
  <c r="D88" i="109"/>
  <c r="J88" i="109"/>
  <c r="O88" i="109"/>
  <c r="E89" i="109"/>
  <c r="J89" i="109"/>
  <c r="P89" i="109"/>
  <c r="D90" i="109"/>
  <c r="J90" i="109"/>
  <c r="O90" i="109"/>
  <c r="AH10" i="108"/>
  <c r="AH11" i="108"/>
  <c r="AH12" i="108"/>
  <c r="AI18" i="108"/>
  <c r="AG19" i="108"/>
  <c r="AH48" i="108"/>
  <c r="Z48" i="108"/>
  <c r="AE47" i="108"/>
  <c r="Y47" i="108"/>
  <c r="AD46" i="108"/>
  <c r="W46" i="108"/>
  <c r="AI45" i="108"/>
  <c r="AC45" i="108"/>
  <c r="U45" i="108"/>
  <c r="Y45" i="108"/>
  <c r="AH45" i="108"/>
  <c r="Z46" i="108"/>
  <c r="AI46" i="108"/>
  <c r="AC47" i="108"/>
  <c r="U48" i="108"/>
  <c r="AD48" i="108"/>
  <c r="F62" i="108"/>
  <c r="Q62" i="108"/>
  <c r="I59" i="108"/>
  <c r="P57" i="108" a="1"/>
  <c r="P57" i="108" s="1"/>
  <c r="V80" i="108" a="1"/>
  <c r="V80" i="108" s="1"/>
  <c r="AA80" i="108" a="1"/>
  <c r="AA80" i="108" s="1"/>
  <c r="AD80" i="108" a="1"/>
  <c r="AD80" i="108" s="1"/>
  <c r="AI80" i="108" a="1"/>
  <c r="AI80" i="108" s="1"/>
  <c r="V81" i="108" a="1"/>
  <c r="V81" i="108" s="1"/>
  <c r="AA81" i="108" a="1"/>
  <c r="AA81" i="108" s="1"/>
  <c r="AD81" i="108" a="1"/>
  <c r="AD81" i="108" s="1"/>
  <c r="AI81" i="108" a="1"/>
  <c r="AI81" i="108" s="1"/>
  <c r="V82" i="108" a="1"/>
  <c r="V82" i="108" s="1"/>
  <c r="AA82" i="108" a="1"/>
  <c r="AA82" i="108" s="1"/>
  <c r="AD82" i="108" a="1"/>
  <c r="AD82" i="108" s="1"/>
  <c r="AI82" i="108" a="1"/>
  <c r="AI82" i="108" s="1"/>
  <c r="V83" i="108" a="1"/>
  <c r="V83" i="108" s="1"/>
  <c r="AA83" i="108" a="1"/>
  <c r="AA83" i="108" s="1"/>
  <c r="AD83" i="108" a="1"/>
  <c r="AD83" i="108" s="1"/>
  <c r="Y94" i="108" a="1"/>
  <c r="Y94" i="108" s="1"/>
  <c r="AI94" i="108" a="1"/>
  <c r="AI94" i="108" s="1"/>
  <c r="AE95" i="108" a="1"/>
  <c r="V96" i="108" a="1"/>
  <c r="V96" i="108" s="1"/>
  <c r="AF96" i="108" a="1"/>
  <c r="AF96" i="108" s="1"/>
  <c r="AJ96" i="108" a="1"/>
  <c r="AJ96" i="108" s="1"/>
  <c r="X97" i="108" a="1"/>
  <c r="X97" i="108" s="1"/>
  <c r="P99" i="108" a="1"/>
  <c r="M101" i="108" a="1"/>
  <c r="F102" i="108" a="1"/>
  <c r="N102" i="108" a="1"/>
  <c r="I103" i="108" a="1"/>
  <c r="R103" i="108" a="1"/>
  <c r="R103" i="108" s="1"/>
  <c r="K104" i="108" a="1"/>
  <c r="F17" i="110"/>
  <c r="R18" i="110"/>
  <c r="K19" i="110"/>
  <c r="AJ97" i="108" a="1"/>
  <c r="AJ97" i="108" s="1"/>
  <c r="AF97" i="108" a="1"/>
  <c r="AB97" i="108" a="1"/>
  <c r="AB97" i="108" s="1"/>
  <c r="AI97" i="108" a="1"/>
  <c r="AI97" i="108" s="1"/>
  <c r="AD97" i="108" a="1"/>
  <c r="AD97" i="108" s="1"/>
  <c r="Z97" i="108" a="1"/>
  <c r="Z97" i="108" s="1"/>
  <c r="U97" i="108" a="1"/>
  <c r="AH96" i="108" a="1"/>
  <c r="AH96" i="108" s="1"/>
  <c r="AC96" i="108" a="1"/>
  <c r="AC96" i="108" s="1"/>
  <c r="Z96" i="108" a="1"/>
  <c r="Z96" i="108" s="1"/>
  <c r="U96" i="108" a="1"/>
  <c r="AH95" i="108" a="1"/>
  <c r="AH95" i="108" s="1"/>
  <c r="AC95" i="108" a="1"/>
  <c r="AC95" i="108" s="1"/>
  <c r="Z95" i="108" a="1"/>
  <c r="Z95" i="108" s="1"/>
  <c r="U95" i="108" a="1"/>
  <c r="AH94" i="108" a="1"/>
  <c r="AH94" i="108" s="1"/>
  <c r="AC94" i="108" a="1"/>
  <c r="AC94" i="108" s="1"/>
  <c r="Z94" i="108" a="1"/>
  <c r="Z94" i="108" s="1"/>
  <c r="U94" i="108" a="1"/>
  <c r="AG97" i="108" a="1"/>
  <c r="AA97" i="108" a="1"/>
  <c r="AA97" i="108" s="1"/>
  <c r="W97" i="108" a="1"/>
  <c r="AD96" i="108" a="1"/>
  <c r="AD96" i="108" s="1"/>
  <c r="AA96" i="108" a="1"/>
  <c r="AA96" i="108" s="1"/>
  <c r="W96" i="108" a="1"/>
  <c r="W96" i="108" s="1"/>
  <c r="AD95" i="108" a="1"/>
  <c r="AD95" i="108" s="1"/>
  <c r="AA95" i="108" a="1"/>
  <c r="W95" i="108" a="1"/>
  <c r="AD94" i="108" a="1"/>
  <c r="AD94" i="108" s="1"/>
  <c r="AA94" i="108" a="1"/>
  <c r="W94" i="108" a="1"/>
  <c r="AE94" i="108" a="1"/>
  <c r="V95" i="108" a="1"/>
  <c r="V95" i="108" s="1"/>
  <c r="AF95" i="108" a="1"/>
  <c r="AF95" i="108" s="1"/>
  <c r="AJ95" i="108" a="1"/>
  <c r="AJ95" i="108" s="1"/>
  <c r="X96" i="108" a="1"/>
  <c r="X96" i="108" s="1"/>
  <c r="AB96" i="108" a="1"/>
  <c r="AB96" i="108" s="1"/>
  <c r="AG96" i="108" a="1"/>
  <c r="Y97" i="108" a="1"/>
  <c r="AE97" i="108" a="1"/>
  <c r="AE97" i="108" s="1"/>
  <c r="Q20" i="110"/>
  <c r="O20" i="110"/>
  <c r="J20" i="110"/>
  <c r="D20" i="110"/>
  <c r="R19" i="110"/>
  <c r="L19" i="110"/>
  <c r="G19" i="110"/>
  <c r="P18" i="110"/>
  <c r="K18" i="110"/>
  <c r="F18" i="110"/>
  <c r="O17" i="110"/>
  <c r="J17" i="110"/>
  <c r="D17" i="110"/>
  <c r="P15" i="110" a="1"/>
  <c r="P15" i="110" s="1"/>
  <c r="L20" i="110"/>
  <c r="F20" i="110"/>
  <c r="O19" i="110"/>
  <c r="H19" i="110"/>
  <c r="L18" i="110"/>
  <c r="D18" i="110"/>
  <c r="P17" i="110"/>
  <c r="H17" i="110"/>
  <c r="K20" i="110"/>
  <c r="P19" i="110"/>
  <c r="F19" i="110"/>
  <c r="N18" i="110"/>
  <c r="C18" i="110"/>
  <c r="K17" i="110"/>
  <c r="R20" i="110"/>
  <c r="H20" i="110"/>
  <c r="N20" i="110"/>
  <c r="C20" i="110"/>
  <c r="J19" i="110"/>
  <c r="O18" i="110"/>
  <c r="G18" i="110"/>
  <c r="L17" i="110"/>
  <c r="C17" i="110"/>
  <c r="G17" i="110"/>
  <c r="N19" i="110"/>
  <c r="P20" i="110"/>
  <c r="X95" i="108" a="1"/>
  <c r="X95" i="108" s="1"/>
  <c r="AB95" i="108" a="1"/>
  <c r="AB95" i="108" s="1"/>
  <c r="AG95" i="108" a="1"/>
  <c r="Y96" i="108" a="1"/>
  <c r="AI96" i="108" a="1"/>
  <c r="AI96" i="108" s="1"/>
  <c r="AH97" i="108" a="1"/>
  <c r="AE26" i="110"/>
  <c r="AH25" i="110"/>
  <c r="AH24" i="110"/>
  <c r="AH22" i="110" a="1"/>
  <c r="AA25" i="110"/>
  <c r="AE24" i="110"/>
  <c r="AA27" i="110"/>
  <c r="W27" i="110"/>
  <c r="AA26" i="110"/>
  <c r="W24" i="110"/>
  <c r="AE25" i="110"/>
  <c r="W26" i="110"/>
  <c r="P97" i="108" a="1"/>
  <c r="P97" i="108" s="1"/>
  <c r="K97" i="108" a="1"/>
  <c r="H97" i="108" a="1"/>
  <c r="H97" i="108" s="1"/>
  <c r="C97" i="108" a="1"/>
  <c r="P96" i="108" a="1"/>
  <c r="P96" i="108" s="1"/>
  <c r="K96" i="108" a="1"/>
  <c r="K96" i="108" s="1"/>
  <c r="H96" i="108" a="1"/>
  <c r="H96" i="108" s="1"/>
  <c r="C96" i="108" a="1"/>
  <c r="P95" i="108" a="1"/>
  <c r="P95" i="108" s="1"/>
  <c r="K95" i="108" a="1"/>
  <c r="H95" i="108" a="1"/>
  <c r="H95" i="108" s="1"/>
  <c r="C95" i="108" a="1"/>
  <c r="P94" i="108" a="1"/>
  <c r="P94" i="108" s="1"/>
  <c r="K94" i="108" a="1"/>
  <c r="H94" i="108" a="1"/>
  <c r="H94" i="108" s="1"/>
  <c r="C94" i="108" a="1"/>
  <c r="P92" i="108" a="1"/>
  <c r="P92" i="108" s="1"/>
  <c r="G94" i="108" a="1"/>
  <c r="G94" i="108" s="1"/>
  <c r="J94" i="108" a="1"/>
  <c r="J94" i="108" s="1"/>
  <c r="N94" i="108" a="1"/>
  <c r="N94" i="108" s="1"/>
  <c r="G95" i="108" a="1"/>
  <c r="J95" i="108" a="1"/>
  <c r="J95" i="108" s="1"/>
  <c r="N95" i="108" a="1"/>
  <c r="N95" i="108" s="1"/>
  <c r="G96" i="108" a="1"/>
  <c r="J96" i="108" a="1"/>
  <c r="J96" i="108" s="1"/>
  <c r="N96" i="108" a="1"/>
  <c r="N96" i="108" s="1"/>
  <c r="G97" i="108" a="1"/>
  <c r="G97" i="108" s="1"/>
  <c r="J97" i="108" a="1"/>
  <c r="J97" i="108" s="1"/>
  <c r="N97" i="108" a="1"/>
  <c r="N97" i="108" s="1"/>
  <c r="N13" i="110"/>
  <c r="E13" i="110"/>
  <c r="P12" i="110"/>
  <c r="E12" i="110"/>
  <c r="N11" i="110"/>
  <c r="E11" i="110"/>
  <c r="M10" i="110"/>
  <c r="G10" i="110"/>
  <c r="P8" i="110"/>
  <c r="L13" i="110"/>
  <c r="Q12" i="110"/>
  <c r="D12" i="110"/>
  <c r="F11" i="110"/>
  <c r="K10" i="110"/>
  <c r="H10" i="110"/>
  <c r="L11" i="110"/>
  <c r="F13" i="110"/>
  <c r="AB17" i="110"/>
  <c r="AG18" i="110"/>
  <c r="X19" i="110"/>
  <c r="AH33" i="110"/>
  <c r="N41" i="110"/>
  <c r="D39" i="110"/>
  <c r="I38" i="110"/>
  <c r="I40" i="110"/>
  <c r="N40" i="110"/>
  <c r="I41" i="110"/>
  <c r="D38" i="110"/>
  <c r="N39" i="110"/>
  <c r="P36" i="110" a="1"/>
  <c r="N38" i="110"/>
  <c r="D40" i="110"/>
  <c r="L12" i="110"/>
  <c r="AD20" i="110"/>
  <c r="Y20" i="110"/>
  <c r="AD19" i="110"/>
  <c r="AJ18" i="110"/>
  <c r="AB18" i="110"/>
  <c r="AH17" i="110"/>
  <c r="X17" i="110"/>
  <c r="V20" i="110"/>
  <c r="AB19" i="110"/>
  <c r="AH18" i="110"/>
  <c r="V18" i="110"/>
  <c r="AC17" i="110"/>
  <c r="AH15" i="110" a="1"/>
  <c r="AH15" i="110" s="1"/>
  <c r="V17" i="110"/>
  <c r="AC18" i="110"/>
  <c r="AH19" i="110"/>
  <c r="AC20" i="110"/>
  <c r="AC34" i="110"/>
  <c r="X33" i="110"/>
  <c r="AH34" i="110"/>
  <c r="AC33" i="110"/>
  <c r="AF32" i="110"/>
  <c r="AH31" i="110"/>
  <c r="AH29" i="110" a="1"/>
  <c r="AH29" i="110" s="1"/>
  <c r="AJ32" i="110"/>
  <c r="AD31" i="110"/>
  <c r="AC32" i="110"/>
  <c r="D41" i="110"/>
  <c r="AF48" i="110"/>
  <c r="AJ48" i="110"/>
  <c r="Y48" i="110"/>
  <c r="AF47" i="110"/>
  <c r="Y47" i="110"/>
  <c r="AG46" i="110"/>
  <c r="Z46" i="110"/>
  <c r="AJ45" i="110"/>
  <c r="AB45" i="110"/>
  <c r="U45" i="110"/>
  <c r="AG48" i="110"/>
  <c r="AB47" i="110"/>
  <c r="AB46" i="110"/>
  <c r="Z45" i="110"/>
  <c r="AH43" i="110" a="1"/>
  <c r="V45" i="110"/>
  <c r="AG45" i="110"/>
  <c r="V46" i="110"/>
  <c r="AJ46" i="110"/>
  <c r="V47" i="110"/>
  <c r="AJ47" i="110"/>
  <c r="AB48" i="110"/>
  <c r="P64" i="110" a="1"/>
  <c r="AA66" i="110"/>
  <c r="Z67" i="110"/>
  <c r="AJ67" i="110"/>
  <c r="AF68" i="110"/>
  <c r="AJ74" i="110" a="1"/>
  <c r="AJ74" i="110" s="1"/>
  <c r="AD75" i="110" a="1"/>
  <c r="AD75" i="110" s="1"/>
  <c r="AD48" i="110"/>
  <c r="AI69" i="110"/>
  <c r="AA69" i="110"/>
  <c r="AJ68" i="110"/>
  <c r="AD68" i="110"/>
  <c r="V68" i="110"/>
  <c r="AE67" i="110"/>
  <c r="X67" i="110"/>
  <c r="AF66" i="110"/>
  <c r="Z66" i="110"/>
  <c r="AD69" i="110"/>
  <c r="AI68" i="110"/>
  <c r="Z68" i="110"/>
  <c r="AF67" i="110"/>
  <c r="V67" i="110"/>
  <c r="AD66" i="110"/>
  <c r="AH64" i="110" a="1"/>
  <c r="AH64" i="110" s="1"/>
  <c r="AE66" i="110"/>
  <c r="AA67" i="110"/>
  <c r="X68" i="110"/>
  <c r="V69" i="110"/>
  <c r="AF69" i="110"/>
  <c r="AI76" i="110" a="1"/>
  <c r="AI76" i="110" s="1"/>
  <c r="AF76" i="110" a="1"/>
  <c r="AF76" i="110" s="1"/>
  <c r="Y76" i="110" a="1"/>
  <c r="V76" i="110" a="1"/>
  <c r="AI75" i="110" a="1"/>
  <c r="AE75" i="110" a="1"/>
  <c r="AE75" i="110" s="1"/>
  <c r="AB75" i="110" a="1"/>
  <c r="U75" i="110" a="1"/>
  <c r="U75" i="110" s="1"/>
  <c r="AI74" i="110" a="1"/>
  <c r="AF74" i="110" a="1"/>
  <c r="Y74" i="110" a="1"/>
  <c r="V74" i="110" a="1"/>
  <c r="AI73" i="110" a="1"/>
  <c r="AI73" i="110" s="1"/>
  <c r="AE73" i="110" a="1"/>
  <c r="AE73" i="110" s="1"/>
  <c r="AB73" i="110" a="1"/>
  <c r="Y73" i="110" a="1"/>
  <c r="V73" i="110" a="1"/>
  <c r="AJ76" i="110" a="1"/>
  <c r="AJ76" i="110" s="1"/>
  <c r="AE76" i="110" a="1"/>
  <c r="AA76" i="110" a="1"/>
  <c r="AF75" i="110" a="1"/>
  <c r="AA75" i="110" a="1"/>
  <c r="AA75" i="110" s="1"/>
  <c r="W75" i="110" a="1"/>
  <c r="AG74" i="110" a="1"/>
  <c r="AG74" i="110" s="1"/>
  <c r="AC74" i="110" a="1"/>
  <c r="AC74" i="110" s="1"/>
  <c r="X74" i="110" a="1"/>
  <c r="AH73" i="110" a="1"/>
  <c r="AD73" i="110" a="1"/>
  <c r="Z73" i="110" a="1"/>
  <c r="Z73" i="110" s="1"/>
  <c r="U73" i="110" a="1"/>
  <c r="U73" i="110" s="1"/>
  <c r="AH76" i="110" a="1"/>
  <c r="AD76" i="110" a="1"/>
  <c r="Z76" i="110" a="1"/>
  <c r="U76" i="110" a="1"/>
  <c r="U76" i="110" s="1"/>
  <c r="AJ75" i="110" a="1"/>
  <c r="Z75" i="110" a="1"/>
  <c r="V75" i="110" a="1"/>
  <c r="V75" i="110" s="1"/>
  <c r="AB74" i="110" a="1"/>
  <c r="AB74" i="110" s="1"/>
  <c r="W74" i="110" a="1"/>
  <c r="W74" i="110" s="1"/>
  <c r="AG73" i="110" a="1"/>
  <c r="AC73" i="110" a="1"/>
  <c r="X73" i="110" a="1"/>
  <c r="X73" i="110" s="1"/>
  <c r="AB76" i="110" a="1"/>
  <c r="W76" i="110" a="1"/>
  <c r="W76" i="110" s="1"/>
  <c r="AG75" i="110" a="1"/>
  <c r="AG75" i="110" s="1"/>
  <c r="AC75" i="110" a="1"/>
  <c r="AC75" i="110" s="1"/>
  <c r="X75" i="110" a="1"/>
  <c r="AH74" i="110" a="1"/>
  <c r="AD74" i="110" a="1"/>
  <c r="AD74" i="110" s="1"/>
  <c r="Z74" i="110" a="1"/>
  <c r="Z74" i="110" s="1"/>
  <c r="U74" i="110" a="1"/>
  <c r="AJ73" i="110" a="1"/>
  <c r="W73" i="110" a="1"/>
  <c r="W73" i="110" s="1"/>
  <c r="AH75" i="110" a="1"/>
  <c r="AH75" i="110" s="1"/>
  <c r="AC76" i="110" a="1"/>
  <c r="AC76" i="110" s="1"/>
  <c r="Y52" i="108"/>
  <c r="AE52" i="108"/>
  <c r="Y53" i="108"/>
  <c r="AE53" i="108"/>
  <c r="Y54" i="108"/>
  <c r="AE54" i="108"/>
  <c r="Y55" i="108"/>
  <c r="U73" i="108" a="1"/>
  <c r="U73" i="108" s="1"/>
  <c r="W73" i="108" a="1"/>
  <c r="W73" i="108" s="1"/>
  <c r="Y73" i="108" a="1"/>
  <c r="Y73" i="108" s="1"/>
  <c r="AA73" i="108" a="1"/>
  <c r="AA73" i="108" s="1"/>
  <c r="AC73" i="108" a="1"/>
  <c r="AC73" i="108" s="1"/>
  <c r="AE73" i="108" a="1"/>
  <c r="AE73" i="108" s="1"/>
  <c r="AG73" i="108" a="1"/>
  <c r="AG73" i="108" s="1"/>
  <c r="AI73" i="108" a="1"/>
  <c r="AI73" i="108" s="1"/>
  <c r="V76" i="108" a="1"/>
  <c r="V76" i="108" s="1"/>
  <c r="X76" i="108" a="1"/>
  <c r="X76" i="108" s="1"/>
  <c r="Z76" i="108" a="1"/>
  <c r="Z76" i="108" s="1"/>
  <c r="AB76" i="108" a="1"/>
  <c r="AB76" i="108" s="1"/>
  <c r="AD76" i="108" a="1"/>
  <c r="AD76" i="108" s="1"/>
  <c r="AF76" i="108" a="1"/>
  <c r="AF76" i="108" s="1"/>
  <c r="AH76" i="108" a="1"/>
  <c r="AH76" i="108" s="1"/>
  <c r="U87" i="108" a="1"/>
  <c r="U87" i="108" s="1"/>
  <c r="W87" i="108" a="1"/>
  <c r="W87" i="108" s="1"/>
  <c r="Y87" i="108" a="1"/>
  <c r="Y87" i="108" s="1"/>
  <c r="AA87" i="108" a="1"/>
  <c r="AA87" i="108" s="1"/>
  <c r="AC87" i="108" a="1"/>
  <c r="AC87" i="108" s="1"/>
  <c r="AE87" i="108" a="1"/>
  <c r="AE87" i="108" s="1"/>
  <c r="AG87" i="108" a="1"/>
  <c r="AG87" i="108" s="1"/>
  <c r="AI87" i="108" a="1"/>
  <c r="AI87" i="108" s="1"/>
  <c r="U88" i="108" a="1"/>
  <c r="U88" i="108" s="1"/>
  <c r="W88" i="108" a="1"/>
  <c r="W88" i="108" s="1"/>
  <c r="Y88" i="108" a="1"/>
  <c r="Y88" i="108" s="1"/>
  <c r="AA88" i="108" a="1"/>
  <c r="AA88" i="108" s="1"/>
  <c r="AC88" i="108" a="1"/>
  <c r="AC88" i="108" s="1"/>
  <c r="AE88" i="108" a="1"/>
  <c r="AE88" i="108" s="1"/>
  <c r="AG88" i="108" a="1"/>
  <c r="AG88" i="108" s="1"/>
  <c r="AI88" i="108" a="1"/>
  <c r="AI88" i="108" s="1"/>
  <c r="U89" i="108" a="1"/>
  <c r="U89" i="108" s="1"/>
  <c r="W89" i="108" a="1"/>
  <c r="W89" i="108" s="1"/>
  <c r="Y89" i="108" a="1"/>
  <c r="Y89" i="108" s="1"/>
  <c r="AA89" i="108" a="1"/>
  <c r="AA89" i="108" s="1"/>
  <c r="AC89" i="108" a="1"/>
  <c r="AC89" i="108" s="1"/>
  <c r="AE89" i="108" a="1"/>
  <c r="AE89" i="108" s="1"/>
  <c r="AG89" i="108" a="1"/>
  <c r="AG89" i="108" s="1"/>
  <c r="AI89" i="108" a="1"/>
  <c r="AI89" i="108" s="1"/>
  <c r="U90" i="108" a="1"/>
  <c r="U90" i="108" s="1"/>
  <c r="W90" i="108" a="1"/>
  <c r="W90" i="108" s="1"/>
  <c r="Y90" i="108" a="1"/>
  <c r="Y90" i="108" s="1"/>
  <c r="AA90" i="108" a="1"/>
  <c r="AA90" i="108" s="1"/>
  <c r="AC90" i="108" a="1"/>
  <c r="AC90" i="108" s="1"/>
  <c r="AE90" i="108" a="1"/>
  <c r="AE90" i="108" s="1"/>
  <c r="AG90" i="108" a="1"/>
  <c r="AG90" i="108" s="1"/>
  <c r="AF13" i="110"/>
  <c r="AA12" i="110"/>
  <c r="AB11" i="110"/>
  <c r="X10" i="110"/>
  <c r="V10" i="110"/>
  <c r="V11" i="110"/>
  <c r="AH12" i="110"/>
  <c r="AI13" i="110"/>
  <c r="Q48" i="110"/>
  <c r="O48" i="110"/>
  <c r="J48" i="110"/>
  <c r="D48" i="110"/>
  <c r="P47" i="110"/>
  <c r="K47" i="110"/>
  <c r="F47" i="110"/>
  <c r="R46" i="110"/>
  <c r="L46" i="110"/>
  <c r="G46" i="110"/>
  <c r="N45" i="110"/>
  <c r="H45" i="110"/>
  <c r="C45" i="110"/>
  <c r="R48" i="110"/>
  <c r="K48" i="110"/>
  <c r="C48" i="110"/>
  <c r="R47" i="110"/>
  <c r="J47" i="110"/>
  <c r="C47" i="110"/>
  <c r="P46" i="110"/>
  <c r="J46" i="110"/>
  <c r="C46" i="110"/>
  <c r="P45" i="110"/>
  <c r="J45" i="110"/>
  <c r="F45" i="110"/>
  <c r="O45" i="110"/>
  <c r="AD45" i="110"/>
  <c r="F46" i="110"/>
  <c r="O46" i="110"/>
  <c r="AD46" i="110"/>
  <c r="G47" i="110"/>
  <c r="O47" i="110"/>
  <c r="AD47" i="110"/>
  <c r="G48" i="110"/>
  <c r="P48" i="110"/>
  <c r="J55" i="110"/>
  <c r="M54" i="110"/>
  <c r="P53" i="110"/>
  <c r="E53" i="110"/>
  <c r="J52" i="110"/>
  <c r="H55" i="110"/>
  <c r="R54" i="110"/>
  <c r="E54" i="110"/>
  <c r="M53" i="110"/>
  <c r="M52" i="110"/>
  <c r="R52" i="110"/>
  <c r="H53" i="110"/>
  <c r="P55" i="110"/>
  <c r="Q62" i="110"/>
  <c r="R62" i="110"/>
  <c r="L62" i="110"/>
  <c r="G62" i="110"/>
  <c r="O61" i="110"/>
  <c r="J61" i="110"/>
  <c r="D61" i="110"/>
  <c r="P60" i="110"/>
  <c r="K60" i="110"/>
  <c r="F60" i="110"/>
  <c r="N59" i="110"/>
  <c r="H59" i="110"/>
  <c r="C59" i="110"/>
  <c r="P62" i="110"/>
  <c r="J62" i="110"/>
  <c r="C62" i="110"/>
  <c r="N61" i="110"/>
  <c r="G61" i="110"/>
  <c r="R60" i="110"/>
  <c r="J60" i="110"/>
  <c r="C60" i="110"/>
  <c r="O59" i="110"/>
  <c r="G59" i="110"/>
  <c r="D59" i="110"/>
  <c r="L59" i="110"/>
  <c r="D60" i="110"/>
  <c r="N60" i="110"/>
  <c r="F61" i="110"/>
  <c r="P61" i="110"/>
  <c r="F62" i="110"/>
  <c r="O62" i="110"/>
  <c r="V66" i="110"/>
  <c r="AI66" i="110"/>
  <c r="AD67" i="110"/>
  <c r="AA68" i="110"/>
  <c r="X69" i="110"/>
  <c r="AJ69" i="110"/>
  <c r="AH71" i="110" a="1"/>
  <c r="AA73" i="110" a="1"/>
  <c r="AA73" i="110" s="1"/>
  <c r="AA74" i="110" a="1"/>
  <c r="AG76" i="110" a="1"/>
  <c r="AG76" i="110" s="1"/>
  <c r="P83" i="110" a="1"/>
  <c r="P83" i="110" s="1"/>
  <c r="L83" i="110" a="1"/>
  <c r="L83" i="110" s="1"/>
  <c r="I83" i="110" a="1"/>
  <c r="N82" i="110" a="1"/>
  <c r="K82" i="110" a="1"/>
  <c r="G82" i="110" a="1"/>
  <c r="D82" i="110" a="1"/>
  <c r="P81" i="110" a="1"/>
  <c r="P81" i="110" s="1"/>
  <c r="L81" i="110" a="1"/>
  <c r="L81" i="110" s="1"/>
  <c r="I81" i="110" a="1"/>
  <c r="N80" i="110" a="1"/>
  <c r="K80" i="110" a="1"/>
  <c r="G80" i="110" a="1"/>
  <c r="G80" i="110" s="1"/>
  <c r="D80" i="110" a="1"/>
  <c r="F80" i="110" a="1"/>
  <c r="F80" i="110" s="1"/>
  <c r="P80" i="110" a="1"/>
  <c r="F81" i="110" a="1"/>
  <c r="F81" i="110" s="1"/>
  <c r="K81" i="110" a="1"/>
  <c r="O81" i="110" a="1"/>
  <c r="J82" i="110" a="1"/>
  <c r="J82" i="110" s="1"/>
  <c r="O82" i="110" a="1"/>
  <c r="O82" i="110" s="1"/>
  <c r="E83" i="110" a="1"/>
  <c r="J83" i="110" a="1"/>
  <c r="J83" i="110" s="1"/>
  <c r="N83" i="110" a="1"/>
  <c r="R83" i="110" a="1"/>
  <c r="R83" i="110" s="1"/>
  <c r="AH85" i="110" a="1"/>
  <c r="X87" i="110" a="1"/>
  <c r="AD87" i="110" a="1"/>
  <c r="AI87" i="110" a="1"/>
  <c r="AI87" i="110" s="1"/>
  <c r="W88" i="110" a="1"/>
  <c r="W88" i="110" s="1"/>
  <c r="AC88" i="110" a="1"/>
  <c r="AH88" i="110" a="1"/>
  <c r="AH88" i="110" s="1"/>
  <c r="AB89" i="110" a="1"/>
  <c r="AB89" i="110" s="1"/>
  <c r="AI89" i="110" a="1"/>
  <c r="AI89" i="110" s="1"/>
  <c r="AE90" i="110" a="1"/>
  <c r="AE90" i="110" s="1"/>
  <c r="Z90" i="110" a="1"/>
  <c r="Z90" i="110" s="1"/>
  <c r="AG90" i="110" a="1"/>
  <c r="I24" i="110"/>
  <c r="P24" i="110"/>
  <c r="I25" i="110"/>
  <c r="P25" i="110"/>
  <c r="I26" i="110"/>
  <c r="P26" i="110"/>
  <c r="I27" i="110"/>
  <c r="Q34" i="110"/>
  <c r="O34" i="110"/>
  <c r="J34" i="110"/>
  <c r="D34" i="110"/>
  <c r="N33" i="110"/>
  <c r="H33" i="110"/>
  <c r="G31" i="110"/>
  <c r="L31" i="110"/>
  <c r="R31" i="110"/>
  <c r="G32" i="110"/>
  <c r="L32" i="110"/>
  <c r="R32" i="110"/>
  <c r="F33" i="110"/>
  <c r="L33" i="110"/>
  <c r="G34" i="110"/>
  <c r="N34" i="110"/>
  <c r="AF61" i="110"/>
  <c r="U59" i="110"/>
  <c r="N76" i="110"/>
  <c r="G76" i="110"/>
  <c r="N75" i="110"/>
  <c r="G75" i="110"/>
  <c r="N74" i="110"/>
  <c r="G74" i="110"/>
  <c r="O73" i="110"/>
  <c r="J73" i="110"/>
  <c r="D73" i="110"/>
  <c r="P71" i="110" a="1"/>
  <c r="P71" i="110" s="1"/>
  <c r="C73" i="110"/>
  <c r="K73" i="110"/>
  <c r="R73" i="110"/>
  <c r="F74" i="110"/>
  <c r="P74" i="110"/>
  <c r="C75" i="110"/>
  <c r="L75" i="110"/>
  <c r="K76" i="110"/>
  <c r="E80" i="110" a="1"/>
  <c r="E80" i="110" s="1"/>
  <c r="I80" i="110" a="1"/>
  <c r="M80" i="110" a="1"/>
  <c r="R80" i="110" a="1"/>
  <c r="R80" i="110" s="1"/>
  <c r="D81" i="110" a="1"/>
  <c r="D81" i="110" s="1"/>
  <c r="H81" i="110" a="1"/>
  <c r="M81" i="110" a="1"/>
  <c r="C82" i="110" a="1"/>
  <c r="H82" i="110" a="1"/>
  <c r="L82" i="110" a="1"/>
  <c r="L82" i="110" s="1"/>
  <c r="Q82" i="110" a="1"/>
  <c r="C83" i="110" a="1"/>
  <c r="G83" i="110" a="1"/>
  <c r="G83" i="110" s="1"/>
  <c r="Q83" i="110" a="1"/>
  <c r="U87" i="110" a="1"/>
  <c r="AG87" i="110" a="1"/>
  <c r="Z88" i="110" a="1"/>
  <c r="Z88" i="110" s="1"/>
  <c r="AF88" i="110" a="1"/>
  <c r="X89" i="110" a="1"/>
  <c r="J80" i="110" a="1"/>
  <c r="O80" i="110" a="1"/>
  <c r="O80" i="110" s="1"/>
  <c r="E81" i="110" a="1"/>
  <c r="J81" i="110" a="1"/>
  <c r="N81" i="110" a="1"/>
  <c r="N81" i="110" s="1"/>
  <c r="R81" i="110" a="1"/>
  <c r="R81" i="110" s="1"/>
  <c r="E82" i="110" a="1"/>
  <c r="I82" i="110" a="1"/>
  <c r="M82" i="110" a="1"/>
  <c r="R82" i="110" a="1"/>
  <c r="R82" i="110" s="1"/>
  <c r="D83" i="110" a="1"/>
  <c r="H83" i="110" a="1"/>
  <c r="M83" i="110" a="1"/>
  <c r="AH90" i="110" a="1"/>
  <c r="AH90" i="110" s="1"/>
  <c r="AA90" i="110" a="1"/>
  <c r="AA90" i="110" s="1"/>
  <c r="X90" i="110" a="1"/>
  <c r="U90" i="110" a="1"/>
  <c r="AH89" i="110" a="1"/>
  <c r="AH89" i="110" s="1"/>
  <c r="AA89" i="110" a="1"/>
  <c r="AA89" i="110" s="1"/>
  <c r="AJ90" i="110" a="1"/>
  <c r="AF90" i="110" a="1"/>
  <c r="AB90" i="110" a="1"/>
  <c r="AB90" i="110" s="1"/>
  <c r="W90" i="110" a="1"/>
  <c r="W90" i="110" s="1"/>
  <c r="AG89" i="110" a="1"/>
  <c r="AC89" i="110" a="1"/>
  <c r="AC89" i="110" s="1"/>
  <c r="Y89" i="110" a="1"/>
  <c r="Y89" i="110" s="1"/>
  <c r="V89" i="110" a="1"/>
  <c r="AE88" i="110" a="1"/>
  <c r="AE88" i="110" s="1"/>
  <c r="AB88" i="110" a="1"/>
  <c r="AB88" i="110" s="1"/>
  <c r="Y88" i="110" a="1"/>
  <c r="Y88" i="110" s="1"/>
  <c r="V88" i="110" a="1"/>
  <c r="AE87" i="110" a="1"/>
  <c r="AE87" i="110" s="1"/>
  <c r="AB87" i="110" a="1"/>
  <c r="AB87" i="110" s="1"/>
  <c r="Y87" i="110" a="1"/>
  <c r="Y87" i="110" s="1"/>
  <c r="V87" i="110" a="1"/>
  <c r="AI90" i="110" a="1"/>
  <c r="AI90" i="110" s="1"/>
  <c r="AD90" i="110" a="1"/>
  <c r="Y90" i="110" a="1"/>
  <c r="Y90" i="110" s="1"/>
  <c r="AJ89" i="110" a="1"/>
  <c r="AE89" i="110" a="1"/>
  <c r="AE89" i="110" s="1"/>
  <c r="Z89" i="110" a="1"/>
  <c r="Z89" i="110" s="1"/>
  <c r="U89" i="110" a="1"/>
  <c r="U89" i="110" s="1"/>
  <c r="AI88" i="110" a="1"/>
  <c r="AI88" i="110" s="1"/>
  <c r="AJ87" i="110" a="1"/>
  <c r="AF87" i="110" a="1"/>
  <c r="AA87" i="110" a="1"/>
  <c r="AA87" i="110" s="1"/>
  <c r="W87" i="110" a="1"/>
  <c r="W87" i="110" s="1"/>
  <c r="AC87" i="110" a="1"/>
  <c r="AH87" i="110" a="1"/>
  <c r="AH87" i="110" s="1"/>
  <c r="U88" i="110" a="1"/>
  <c r="U88" i="110" s="1"/>
  <c r="AA88" i="110" a="1"/>
  <c r="AA88" i="110" s="1"/>
  <c r="AG88" i="110" a="1"/>
  <c r="V90" i="110" a="1"/>
  <c r="AC90" i="110" a="1"/>
  <c r="AC90" i="110" s="1"/>
  <c r="AA38" i="110"/>
  <c r="X39" i="110"/>
  <c r="AI39" i="110"/>
  <c r="V40" i="110"/>
  <c r="AF40" i="110"/>
  <c r="Z52" i="110"/>
  <c r="AJ53" i="110"/>
  <c r="AE54" i="110"/>
  <c r="Z55" i="110"/>
  <c r="AF83" i="110" a="1"/>
  <c r="AC83" i="110" a="1"/>
  <c r="W80" i="110" a="1"/>
  <c r="W80" i="110" s="1"/>
  <c r="Z80" i="110" a="1"/>
  <c r="AG80" i="110" a="1"/>
  <c r="AJ80" i="110" a="1"/>
  <c r="AJ80" i="110" s="1"/>
  <c r="U81" i="110" a="1"/>
  <c r="U81" i="110" s="1"/>
  <c r="X81" i="110" a="1"/>
  <c r="X81" i="110" s="1"/>
  <c r="AB81" i="110" a="1"/>
  <c r="AE81" i="110" a="1"/>
  <c r="AE81" i="110" s="1"/>
  <c r="AI81" i="110" a="1"/>
  <c r="W82" i="110" a="1"/>
  <c r="Z82" i="110" a="1"/>
  <c r="AG82" i="110" a="1"/>
  <c r="AG82" i="110" s="1"/>
  <c r="AJ82" i="110" a="1"/>
  <c r="AJ82" i="110" s="1"/>
  <c r="U83" i="110" a="1"/>
  <c r="X83" i="110" a="1"/>
  <c r="X83" i="110" s="1"/>
  <c r="AB83" i="110" a="1"/>
  <c r="AB83" i="110" s="1"/>
  <c r="AG83" i="110" a="1"/>
  <c r="AG83" i="110" s="1"/>
  <c r="R90" i="110"/>
  <c r="P90" i="110" a="1"/>
  <c r="M90" i="110" a="1"/>
  <c r="M90" i="110" s="1"/>
  <c r="H90" i="110" a="1"/>
  <c r="H90" i="110" s="1"/>
  <c r="E90" i="110" a="1"/>
  <c r="E90" i="110" s="1"/>
  <c r="Q90" i="110" a="1"/>
  <c r="Q90" i="110" s="1"/>
  <c r="N90" i="110" a="1"/>
  <c r="J90" i="110" a="1"/>
  <c r="J90" i="110" s="1"/>
  <c r="C90" i="110" a="1"/>
  <c r="C90" i="110" s="1"/>
  <c r="N89" i="110" a="1"/>
  <c r="K89" i="110" a="1"/>
  <c r="K89" i="110" s="1"/>
  <c r="F89" i="110" a="1"/>
  <c r="F89" i="110" s="1"/>
  <c r="C89" i="110" a="1"/>
  <c r="C89" i="110" s="1"/>
  <c r="N88" i="110" a="1"/>
  <c r="K88" i="110" a="1"/>
  <c r="K88" i="110" s="1"/>
  <c r="F88" i="110" a="1"/>
  <c r="F88" i="110" s="1"/>
  <c r="C88" i="110" a="1"/>
  <c r="C88" i="110" s="1"/>
  <c r="N87" i="110" a="1"/>
  <c r="K87" i="110" a="1"/>
  <c r="K87" i="110" s="1"/>
  <c r="F87" i="110" a="1"/>
  <c r="F87" i="110" s="1"/>
  <c r="C87" i="110" a="1"/>
  <c r="C87" i="110" s="1"/>
  <c r="P85" i="110" a="1"/>
  <c r="P85" i="110" s="1"/>
  <c r="J87" i="110" a="1"/>
  <c r="M87" i="110" a="1"/>
  <c r="M87" i="110" s="1"/>
  <c r="Q87" i="110" a="1"/>
  <c r="Q87" i="110" s="1"/>
  <c r="E88" i="110" a="1"/>
  <c r="E88" i="110" s="1"/>
  <c r="I88" i="110" a="1"/>
  <c r="I88" i="110" s="1"/>
  <c r="P88" i="110" a="1"/>
  <c r="P88" i="110" s="1"/>
  <c r="H89" i="110" a="1"/>
  <c r="L89" i="110" a="1"/>
  <c r="O89" i="110" a="1"/>
  <c r="O89" i="110" s="1"/>
  <c r="G90" i="110" a="1"/>
  <c r="G90" i="110" s="1"/>
  <c r="L90" i="110" a="1"/>
  <c r="U97" i="110" a="1"/>
  <c r="Z97" i="110" a="1"/>
  <c r="Z97" i="110" s="1"/>
  <c r="O102" i="110"/>
  <c r="P104" i="110" a="1"/>
  <c r="L104" i="110" a="1"/>
  <c r="H104" i="110" a="1"/>
  <c r="D104" i="110" a="1"/>
  <c r="D104" i="110" s="1"/>
  <c r="P103" i="110" a="1"/>
  <c r="L103" i="110" a="1"/>
  <c r="H103" i="110" a="1"/>
  <c r="D103" i="110" a="1"/>
  <c r="D103" i="110" s="1"/>
  <c r="P102" i="110" a="1"/>
  <c r="L102" i="110" a="1"/>
  <c r="H102" i="110" a="1"/>
  <c r="H102" i="110" s="1"/>
  <c r="D102" i="110" a="1"/>
  <c r="D102" i="110" s="1"/>
  <c r="P101" i="110" a="1"/>
  <c r="L101" i="110" a="1"/>
  <c r="H101" i="110" a="1"/>
  <c r="H101" i="110" s="1"/>
  <c r="D101" i="110" a="1"/>
  <c r="D101" i="110" s="1"/>
  <c r="P99" i="110" a="1"/>
  <c r="P99" i="110" s="1"/>
  <c r="C101" i="110" a="1"/>
  <c r="I101" i="110" a="1"/>
  <c r="N101" i="110" a="1"/>
  <c r="C102" i="110" a="1"/>
  <c r="I102" i="110" a="1"/>
  <c r="N102" i="110" a="1"/>
  <c r="C103" i="110" a="1"/>
  <c r="C103" i="110" s="1"/>
  <c r="I103" i="110" a="1"/>
  <c r="N103" i="110" a="1"/>
  <c r="C104" i="110" a="1"/>
  <c r="C104" i="110" s="1"/>
  <c r="I104" i="110" a="1"/>
  <c r="I104" i="110" s="1"/>
  <c r="N104" i="110" a="1"/>
  <c r="E103" i="110" a="1"/>
  <c r="J103" i="110" a="1"/>
  <c r="O103" i="110" a="1"/>
  <c r="O103" i="110" s="1"/>
  <c r="E104" i="110" a="1"/>
  <c r="J104" i="110" a="1"/>
  <c r="O104" i="110" a="1"/>
  <c r="AC94" i="110"/>
  <c r="AI97" i="110" a="1"/>
  <c r="AE97" i="110" a="1"/>
  <c r="AA97" i="110" a="1"/>
  <c r="AA97" i="110" s="1"/>
  <c r="W97" i="110" a="1"/>
  <c r="W97" i="110" s="1"/>
  <c r="AI96" i="110" a="1"/>
  <c r="AE96" i="110" a="1"/>
  <c r="AA96" i="110" a="1"/>
  <c r="AA96" i="110" s="1"/>
  <c r="W96" i="110" a="1"/>
  <c r="W96" i="110" s="1"/>
  <c r="AI95" i="110" a="1"/>
  <c r="AE95" i="110" a="1"/>
  <c r="AA95" i="110" a="1"/>
  <c r="AA95" i="110" s="1"/>
  <c r="W95" i="110" a="1"/>
  <c r="W95" i="110" s="1"/>
  <c r="AI94" i="110" a="1"/>
  <c r="AE94" i="110" a="1"/>
  <c r="AA94" i="110" a="1"/>
  <c r="AA94" i="110" s="1"/>
  <c r="W94" i="110" a="1"/>
  <c r="W94" i="110" s="1"/>
  <c r="AH92" i="110" a="1"/>
  <c r="U94" i="110" a="1"/>
  <c r="U94" i="110" s="1"/>
  <c r="Z94" i="110" a="1"/>
  <c r="Z94" i="110" s="1"/>
  <c r="AF94" i="110" a="1"/>
  <c r="AF94" i="110" s="1"/>
  <c r="X95" i="110" a="1"/>
  <c r="AC95" i="110" a="1"/>
  <c r="AH95" i="110" a="1"/>
  <c r="AH95" i="110" s="1"/>
  <c r="X96" i="110" a="1"/>
  <c r="X96" i="110" s="1"/>
  <c r="AC96" i="110" a="1"/>
  <c r="AH96" i="110" a="1"/>
  <c r="X97" i="110" a="1"/>
  <c r="AC97" i="110" a="1"/>
  <c r="AC97" i="110" s="1"/>
  <c r="AH97" i="110" a="1"/>
  <c r="AH104" i="110" a="1"/>
  <c r="AD104" i="110" a="1"/>
  <c r="Z104" i="110" a="1"/>
  <c r="Z104" i="110" s="1"/>
  <c r="V104" i="110" a="1"/>
  <c r="AH103" i="110" a="1"/>
  <c r="AD103" i="110" a="1"/>
  <c r="Z103" i="110" a="1"/>
  <c r="Z103" i="110" s="1"/>
  <c r="V103" i="110" a="1"/>
  <c r="AH102" i="110" a="1"/>
  <c r="AD102" i="110" a="1"/>
  <c r="Z102" i="110" a="1"/>
  <c r="Z102" i="110" s="1"/>
  <c r="V102" i="110" a="1"/>
  <c r="AH101" i="110" a="1"/>
  <c r="AD101" i="110" a="1"/>
  <c r="Z101" i="110" a="1"/>
  <c r="Z101" i="110" s="1"/>
  <c r="V101" i="110" a="1"/>
  <c r="F101" i="110" a="1"/>
  <c r="K101" i="110" a="1"/>
  <c r="K101" i="110" s="1"/>
  <c r="Q101" i="110" a="1"/>
  <c r="X101" i="110" a="1"/>
  <c r="AC101" i="110" a="1"/>
  <c r="AI101" i="110" a="1"/>
  <c r="AI101" i="110" s="1"/>
  <c r="F102" i="110" a="1"/>
  <c r="K102" i="110" a="1"/>
  <c r="Q102" i="110" a="1"/>
  <c r="X102" i="110" a="1"/>
  <c r="X102" i="110" s="1"/>
  <c r="AC102" i="110" a="1"/>
  <c r="AI102" i="110" a="1"/>
  <c r="F103" i="110" a="1"/>
  <c r="K103" i="110" a="1"/>
  <c r="K103" i="110" s="1"/>
  <c r="Q103" i="110" a="1"/>
  <c r="Q103" i="110" s="1"/>
  <c r="X103" i="110" a="1"/>
  <c r="AC103" i="110" a="1"/>
  <c r="AI103" i="110" a="1"/>
  <c r="AI103" i="110" s="1"/>
  <c r="F104" i="110" a="1"/>
  <c r="F104" i="110" s="1"/>
  <c r="K104" i="110" a="1"/>
  <c r="Q104" i="110" a="1"/>
  <c r="X104" i="110" a="1"/>
  <c r="AC104" i="110" a="1"/>
  <c r="AC104" i="110" s="1"/>
  <c r="AI104" i="110" a="1"/>
  <c r="V94" i="110" a="1"/>
  <c r="AB94" i="110" a="1"/>
  <c r="AB94" i="110" s="1"/>
  <c r="AG94" i="110" a="1"/>
  <c r="AG94" i="110" s="1"/>
  <c r="Y95" i="110" a="1"/>
  <c r="AD95" i="110" a="1"/>
  <c r="AJ95" i="110" a="1"/>
  <c r="AJ95" i="110" s="1"/>
  <c r="Y96" i="110" a="1"/>
  <c r="Y96" i="110" s="1"/>
  <c r="AD96" i="110" a="1"/>
  <c r="AJ96" i="110" a="1"/>
  <c r="Y97" i="110" a="1"/>
  <c r="Y97" i="110" s="1"/>
  <c r="AD97" i="110" a="1"/>
  <c r="AJ97" i="110" a="1"/>
  <c r="AH99" i="110" a="1"/>
  <c r="G101" i="110" a="1"/>
  <c r="M101" i="110" a="1"/>
  <c r="M101" i="110" s="1"/>
  <c r="R101" i="110" a="1"/>
  <c r="Y101" i="110" a="1"/>
  <c r="AE101" i="110" a="1"/>
  <c r="AJ101" i="110" a="1"/>
  <c r="G102" i="110" a="1"/>
  <c r="M102" i="110" a="1"/>
  <c r="R102" i="110" a="1"/>
  <c r="Y102" i="110" a="1"/>
  <c r="Y102" i="110" s="1"/>
  <c r="AE102" i="110" a="1"/>
  <c r="AJ102" i="110" a="1"/>
  <c r="G103" i="110" a="1"/>
  <c r="M103" i="110" a="1"/>
  <c r="R103" i="110" a="1"/>
  <c r="Y103" i="110" a="1"/>
  <c r="AE103" i="110" a="1"/>
  <c r="AJ103" i="110" a="1"/>
  <c r="AJ103" i="110" s="1"/>
  <c r="G104" i="110" a="1"/>
  <c r="M104" i="110" a="1"/>
  <c r="R104" i="110" a="1"/>
  <c r="Y104" i="110" a="1"/>
  <c r="Y104" i="110" s="1"/>
  <c r="AE104" i="110" a="1"/>
  <c r="AJ104" i="110" a="1"/>
  <c r="G94" i="110" a="1"/>
  <c r="G94" i="110" s="1"/>
  <c r="J94" i="110" a="1"/>
  <c r="O94" i="110" a="1"/>
  <c r="O94" i="110" s="1"/>
  <c r="R94" i="110" a="1"/>
  <c r="D95" i="110" a="1"/>
  <c r="D95" i="110" s="1"/>
  <c r="I95" i="110" a="1"/>
  <c r="I95" i="110" s="1"/>
  <c r="L95" i="110" a="1"/>
  <c r="Q95" i="110" a="1"/>
  <c r="Q95" i="110" s="1"/>
  <c r="E96" i="110" a="1"/>
  <c r="I96" i="110" a="1"/>
  <c r="I96" i="110" s="1"/>
  <c r="M96" i="110" a="1"/>
  <c r="Q96" i="110" a="1"/>
  <c r="E97" i="110" a="1"/>
  <c r="I97" i="110" a="1"/>
  <c r="I97" i="110" s="1"/>
  <c r="M97" i="110" a="1"/>
  <c r="Q97" i="110" a="1"/>
  <c r="Q97" i="110" s="1"/>
  <c r="E15" i="114"/>
  <c r="E17" i="114" s="1"/>
  <c r="H28" i="114"/>
  <c r="E21" i="114"/>
  <c r="G21" i="114" s="1"/>
  <c r="G23" i="114" s="1"/>
  <c r="H44" i="82"/>
  <c r="H42" i="82"/>
  <c r="H40" i="82"/>
  <c r="H38" i="82"/>
  <c r="H36" i="82"/>
  <c r="D42" i="82"/>
  <c r="D41" i="82"/>
  <c r="H37" i="82"/>
  <c r="H41" i="82"/>
  <c r="D38" i="82"/>
  <c r="D37" i="82"/>
  <c r="D39" i="82"/>
  <c r="H35" i="82"/>
  <c r="D44" i="82"/>
  <c r="D35" i="82"/>
  <c r="H43" i="82"/>
  <c r="D40" i="82"/>
  <c r="D43" i="82"/>
  <c r="H39" i="82"/>
  <c r="D36" i="82"/>
  <c r="H14" i="82"/>
  <c r="G14" i="82" s="1"/>
  <c r="F14" i="82" s="1"/>
  <c r="H12" i="82"/>
  <c r="G12" i="82" s="1"/>
  <c r="F12" i="82" s="1"/>
  <c r="H10" i="82"/>
  <c r="G10" i="82" s="1"/>
  <c r="F10" i="82" s="1"/>
  <c r="H13" i="82"/>
  <c r="G13" i="82" s="1"/>
  <c r="F13" i="82" s="1"/>
  <c r="H15" i="82"/>
  <c r="G15" i="82" s="1"/>
  <c r="F15" i="82" s="1"/>
  <c r="H7" i="82"/>
  <c r="G7" i="82" s="1"/>
  <c r="F7" i="82" s="1"/>
  <c r="H11" i="82"/>
  <c r="G11" i="82" s="1"/>
  <c r="F11" i="82" s="1"/>
  <c r="H8" i="82"/>
  <c r="G8" i="82" s="1"/>
  <c r="F8" i="82" s="1"/>
  <c r="H9" i="82"/>
  <c r="G9" i="82" s="1"/>
  <c r="F9" i="82" s="1"/>
  <c r="H6" i="82"/>
  <c r="G6" i="82" s="1"/>
  <c r="F6" i="82" s="1"/>
  <c r="S114" i="79"/>
  <c r="S130" i="79"/>
  <c r="S146" i="79"/>
  <c r="L104" i="98"/>
  <c r="D104" i="98"/>
  <c r="F104" i="98"/>
  <c r="N104" i="98"/>
  <c r="D14" i="82"/>
  <c r="C14" i="82" s="1"/>
  <c r="B14" i="82" s="1"/>
  <c r="D13" i="82"/>
  <c r="C13" i="82" s="1"/>
  <c r="B13" i="82" s="1"/>
  <c r="D9" i="82"/>
  <c r="C9" i="82" s="1"/>
  <c r="B9" i="82" s="1"/>
  <c r="D7" i="82"/>
  <c r="C7" i="82" s="1"/>
  <c r="B7" i="82" s="1"/>
  <c r="D10" i="82"/>
  <c r="C10" i="82" s="1"/>
  <c r="B10" i="82" s="1"/>
  <c r="D8" i="82"/>
  <c r="C8" i="82" s="1"/>
  <c r="B8" i="82" s="1"/>
  <c r="D6" i="82"/>
  <c r="C6" i="82" s="1"/>
  <c r="B6" i="82" s="1"/>
  <c r="D12" i="82"/>
  <c r="C12" i="82" s="1"/>
  <c r="B12" i="82" s="1"/>
  <c r="D15" i="82"/>
  <c r="C15" i="82" s="1"/>
  <c r="B15" i="82" s="1"/>
  <c r="D11" i="82"/>
  <c r="C11" i="82" s="1"/>
  <c r="B11" i="82" s="1"/>
  <c r="S2" i="79"/>
  <c r="C19" i="87"/>
  <c r="B19" i="87" s="1"/>
  <c r="C15" i="87"/>
  <c r="B15" i="87" s="1"/>
  <c r="C11" i="87"/>
  <c r="B11" i="87" s="1"/>
  <c r="C7" i="87"/>
  <c r="B7" i="87" s="1"/>
  <c r="C18" i="87"/>
  <c r="B18" i="87" s="1"/>
  <c r="C14" i="87"/>
  <c r="B14" i="87" s="1"/>
  <c r="C10" i="87"/>
  <c r="B10" i="87" s="1"/>
  <c r="C6" i="87"/>
  <c r="C17" i="87"/>
  <c r="B17" i="87" s="1"/>
  <c r="C13" i="87"/>
  <c r="B13" i="87" s="1"/>
  <c r="C9" i="87"/>
  <c r="B9" i="87" s="1"/>
  <c r="C20" i="87"/>
  <c r="B20" i="87" s="1"/>
  <c r="C16" i="87"/>
  <c r="B16" i="87" s="1"/>
  <c r="C12" i="87"/>
  <c r="B12" i="87" s="1"/>
  <c r="C8" i="87"/>
  <c r="B8" i="87" s="1"/>
  <c r="L29" i="82"/>
  <c r="H28" i="82"/>
  <c r="L25" i="82"/>
  <c r="H24" i="82"/>
  <c r="L21" i="82"/>
  <c r="H20" i="82"/>
  <c r="H29" i="82"/>
  <c r="L28" i="82"/>
  <c r="H26" i="82"/>
  <c r="H23" i="82"/>
  <c r="L26" i="82"/>
  <c r="L23" i="82"/>
  <c r="H21" i="82"/>
  <c r="L20" i="82"/>
  <c r="L27" i="82"/>
  <c r="H25" i="82"/>
  <c r="H27" i="82"/>
  <c r="L22" i="82"/>
  <c r="L24" i="82"/>
  <c r="H22" i="82"/>
  <c r="S106" i="79"/>
  <c r="S122" i="79"/>
  <c r="S138" i="79"/>
  <c r="S150" i="79"/>
  <c r="J17" i="98"/>
  <c r="M17" i="98"/>
  <c r="F93" i="101"/>
  <c r="J93" i="101"/>
  <c r="N93" i="101"/>
  <c r="R93" i="101"/>
  <c r="E94" i="101"/>
  <c r="I94" i="101"/>
  <c r="M94" i="101"/>
  <c r="Q94" i="101"/>
  <c r="D95" i="101"/>
  <c r="H95" i="101"/>
  <c r="L95" i="101"/>
  <c r="P95" i="101"/>
  <c r="C96" i="101"/>
  <c r="G96" i="101"/>
  <c r="K96" i="101"/>
  <c r="O96" i="101"/>
  <c r="S96" i="101"/>
  <c r="Q103" i="101" s="1"/>
  <c r="E132" i="101"/>
  <c r="I132" i="101"/>
  <c r="M132" i="101"/>
  <c r="Q132" i="101"/>
  <c r="E133" i="101"/>
  <c r="I133" i="101"/>
  <c r="M133" i="101"/>
  <c r="Q133" i="101"/>
  <c r="E134" i="101"/>
  <c r="I134" i="101"/>
  <c r="M134" i="101"/>
  <c r="Q134" i="101"/>
  <c r="H15" i="114"/>
  <c r="H17" i="114" s="1"/>
  <c r="Y64" i="100"/>
  <c r="AC64" i="100"/>
  <c r="AG64" i="100"/>
  <c r="AK64" i="100"/>
  <c r="Y66" i="100"/>
  <c r="AC66" i="100"/>
  <c r="AG66" i="100"/>
  <c r="AK66" i="100"/>
  <c r="AB85" i="100"/>
  <c r="AF85" i="100"/>
  <c r="AJ85" i="100"/>
  <c r="AN85" i="100"/>
  <c r="AA88" i="100"/>
  <c r="AE88" i="100"/>
  <c r="AI88" i="100"/>
  <c r="AM88" i="100"/>
  <c r="AB90" i="100"/>
  <c r="AF90" i="100"/>
  <c r="AJ90" i="100"/>
  <c r="AN90" i="100"/>
  <c r="AG92" i="100"/>
  <c r="AK92" i="100"/>
  <c r="AA95" i="100"/>
  <c r="AE95" i="100"/>
  <c r="AI95" i="100"/>
  <c r="AM95" i="100"/>
  <c r="Z96" i="100"/>
  <c r="AD96" i="100"/>
  <c r="AH96" i="100"/>
  <c r="AL96" i="100"/>
  <c r="AF96" i="100"/>
  <c r="AK96" i="100"/>
  <c r="AB100" i="100"/>
  <c r="AJ100" i="100"/>
  <c r="AJ102" i="100"/>
  <c r="AC104" i="100"/>
  <c r="AK104" i="100"/>
  <c r="AB105" i="100"/>
  <c r="AF105" i="100"/>
  <c r="AJ105" i="100"/>
  <c r="AN105" i="100"/>
  <c r="Z105" i="100"/>
  <c r="AH105" i="100"/>
  <c r="AA106" i="100"/>
  <c r="AE106" i="100"/>
  <c r="AI106" i="100"/>
  <c r="AM106" i="100"/>
  <c r="AB107" i="100"/>
  <c r="AF107" i="100"/>
  <c r="Z107" i="100"/>
  <c r="AH107" i="100"/>
  <c r="AB109" i="100"/>
  <c r="AJ109" i="100"/>
  <c r="Z112" i="100"/>
  <c r="AH112" i="100"/>
  <c r="AA113" i="100"/>
  <c r="AE113" i="100"/>
  <c r="AI113" i="100"/>
  <c r="AM113" i="100"/>
  <c r="AC114" i="100"/>
  <c r="AK114" i="100"/>
  <c r="Y124" i="100"/>
  <c r="AC124" i="100"/>
  <c r="AG124" i="100"/>
  <c r="AK124" i="100"/>
  <c r="AD121" i="100"/>
  <c r="AL121" i="100"/>
  <c r="AC122" i="100"/>
  <c r="AK122" i="100"/>
  <c r="AB123" i="100"/>
  <c r="AJ123" i="100"/>
  <c r="Z124" i="100"/>
  <c r="AH124" i="100"/>
  <c r="Y128" i="100"/>
  <c r="AC128" i="100"/>
  <c r="AG128" i="100"/>
  <c r="AK128" i="100"/>
  <c r="AD125" i="100"/>
  <c r="AL125" i="100"/>
  <c r="AC126" i="100"/>
  <c r="AK126" i="100"/>
  <c r="AB127" i="100"/>
  <c r="AJ127" i="100"/>
  <c r="Z128" i="100"/>
  <c r="AH128" i="100"/>
  <c r="Y132" i="100"/>
  <c r="AC132" i="100"/>
  <c r="AG132" i="100"/>
  <c r="AK132" i="100"/>
  <c r="AA134" i="100"/>
  <c r="AE134" i="100"/>
  <c r="AL163" i="100"/>
  <c r="Z167" i="100"/>
  <c r="Z166" i="100"/>
  <c r="AC168" i="100"/>
  <c r="AK168" i="100"/>
  <c r="AF169" i="100"/>
  <c r="AA169" i="100"/>
  <c r="AE170" i="100"/>
  <c r="AI169" i="100"/>
  <c r="AM170" i="100"/>
  <c r="AL170" i="100"/>
  <c r="AC172" i="100"/>
  <c r="AK172" i="100"/>
  <c r="Y13" i="111"/>
  <c r="AG13" i="111"/>
  <c r="Y25" i="111"/>
  <c r="AG25" i="111"/>
  <c r="Y33" i="111"/>
  <c r="AG33" i="111"/>
  <c r="D21" i="101"/>
  <c r="E21" i="101" s="1"/>
  <c r="G21" i="101" s="1"/>
  <c r="G23" i="101" s="1"/>
  <c r="F28" i="101"/>
  <c r="C93" i="101"/>
  <c r="G93" i="101"/>
  <c r="K93" i="101"/>
  <c r="O93" i="101"/>
  <c r="S93" i="101"/>
  <c r="F94" i="101"/>
  <c r="J94" i="101"/>
  <c r="N94" i="101"/>
  <c r="R94" i="101"/>
  <c r="E95" i="101"/>
  <c r="I95" i="101"/>
  <c r="M95" i="101"/>
  <c r="Q95" i="101"/>
  <c r="D96" i="101"/>
  <c r="H96" i="101"/>
  <c r="L96" i="101"/>
  <c r="L103" i="101" s="1"/>
  <c r="P96" i="101"/>
  <c r="F132" i="101"/>
  <c r="J132" i="101"/>
  <c r="N132" i="101"/>
  <c r="R132" i="101"/>
  <c r="F133" i="101"/>
  <c r="J133" i="101"/>
  <c r="N133" i="101"/>
  <c r="R133" i="101"/>
  <c r="F134" i="101"/>
  <c r="J134" i="101"/>
  <c r="N134" i="101"/>
  <c r="R134" i="101"/>
  <c r="D94" i="98"/>
  <c r="D101" i="98" s="1"/>
  <c r="H94" i="98"/>
  <c r="L94" i="98"/>
  <c r="L101" i="98" s="1"/>
  <c r="P94" i="98"/>
  <c r="P101" i="98" s="1"/>
  <c r="C95" i="98"/>
  <c r="C102" i="98" s="1"/>
  <c r="G95" i="98"/>
  <c r="K95" i="98"/>
  <c r="O95" i="98"/>
  <c r="S95" i="98"/>
  <c r="H102" i="98" s="1"/>
  <c r="F96" i="98"/>
  <c r="F103" i="98" s="1"/>
  <c r="J96" i="98"/>
  <c r="J103" i="98" s="1"/>
  <c r="N96" i="98"/>
  <c r="N103" i="98" s="1"/>
  <c r="R96" i="98"/>
  <c r="R103" i="98" s="1"/>
  <c r="E97" i="98"/>
  <c r="E104" i="98" s="1"/>
  <c r="I97" i="98"/>
  <c r="I104" i="98" s="1"/>
  <c r="M97" i="98"/>
  <c r="M104" i="98" s="1"/>
  <c r="Q97" i="98"/>
  <c r="Q104" i="98" s="1"/>
  <c r="E110" i="98"/>
  <c r="I110" i="98"/>
  <c r="M110" i="98"/>
  <c r="Q110" i="98"/>
  <c r="E111" i="98"/>
  <c r="I111" i="98"/>
  <c r="M111" i="98"/>
  <c r="Q111" i="98"/>
  <c r="E112" i="98"/>
  <c r="I112" i="98"/>
  <c r="M112" i="98"/>
  <c r="Q112" i="98"/>
  <c r="E113" i="98"/>
  <c r="I113" i="98"/>
  <c r="M113" i="98"/>
  <c r="Q113" i="98"/>
  <c r="AJ113" i="98" s="1"/>
  <c r="C117" i="98"/>
  <c r="G117" i="98"/>
  <c r="K117" i="98"/>
  <c r="O117" i="98"/>
  <c r="C118" i="98"/>
  <c r="G118" i="98"/>
  <c r="K118" i="98"/>
  <c r="O118" i="98"/>
  <c r="C119" i="98"/>
  <c r="G119" i="98"/>
  <c r="K119" i="98"/>
  <c r="O119" i="98"/>
  <c r="C120" i="98"/>
  <c r="G120" i="98"/>
  <c r="K120" i="98"/>
  <c r="O120" i="98"/>
  <c r="AH120" i="98" s="1"/>
  <c r="E124" i="98"/>
  <c r="I124" i="98"/>
  <c r="M124" i="98"/>
  <c r="Q124" i="98"/>
  <c r="E125" i="98"/>
  <c r="I125" i="98"/>
  <c r="M125" i="98"/>
  <c r="Q125" i="98"/>
  <c r="E126" i="98"/>
  <c r="I126" i="98"/>
  <c r="M126" i="98"/>
  <c r="Q126" i="98"/>
  <c r="E127" i="98"/>
  <c r="I127" i="98"/>
  <c r="M127" i="98"/>
  <c r="C131" i="98"/>
  <c r="G131" i="98"/>
  <c r="K131" i="98"/>
  <c r="O131" i="98"/>
  <c r="C132" i="98"/>
  <c r="G132" i="98"/>
  <c r="K132" i="98"/>
  <c r="O132" i="98"/>
  <c r="C133" i="98"/>
  <c r="G133" i="98"/>
  <c r="K133" i="98"/>
  <c r="O133" i="98"/>
  <c r="C134" i="98"/>
  <c r="G134" i="98"/>
  <c r="K134" i="98"/>
  <c r="O134" i="98"/>
  <c r="AB10" i="100"/>
  <c r="AF10" i="100"/>
  <c r="AJ10" i="100"/>
  <c r="AN10" i="100"/>
  <c r="AB14" i="100"/>
  <c r="AF14" i="100"/>
  <c r="AJ14" i="100"/>
  <c r="AN14" i="100"/>
  <c r="AB18" i="100"/>
  <c r="AF18" i="100"/>
  <c r="AJ18" i="100"/>
  <c r="AN18" i="100"/>
  <c r="AB22" i="100"/>
  <c r="AF22" i="100"/>
  <c r="AJ22" i="100"/>
  <c r="AN22" i="100"/>
  <c r="AB26" i="100"/>
  <c r="AF26" i="100"/>
  <c r="AJ26" i="100"/>
  <c r="AN26" i="100"/>
  <c r="AB30" i="100"/>
  <c r="AF30" i="100"/>
  <c r="AJ30" i="100"/>
  <c r="AN30" i="100"/>
  <c r="AB34" i="100"/>
  <c r="AF34" i="100"/>
  <c r="AJ34" i="100"/>
  <c r="AN34" i="100"/>
  <c r="AB38" i="100"/>
  <c r="AF38" i="100"/>
  <c r="AJ38" i="100"/>
  <c r="AN38" i="100"/>
  <c r="AB42" i="100"/>
  <c r="AF42" i="100"/>
  <c r="AJ42" i="100"/>
  <c r="AN42" i="100"/>
  <c r="AB46" i="100"/>
  <c r="AF46" i="100"/>
  <c r="AJ46" i="100"/>
  <c r="AN46" i="100"/>
  <c r="AB50" i="100"/>
  <c r="AF50" i="100"/>
  <c r="AJ50" i="100"/>
  <c r="AN50" i="100"/>
  <c r="AB54" i="100"/>
  <c r="AF54" i="100"/>
  <c r="AJ54" i="100"/>
  <c r="AN54" i="100"/>
  <c r="AB58" i="100"/>
  <c r="AF58" i="100"/>
  <c r="AJ58" i="100"/>
  <c r="AN58" i="100"/>
  <c r="Z64" i="100"/>
  <c r="AD64" i="100"/>
  <c r="AH64" i="100"/>
  <c r="AL64" i="100"/>
  <c r="AB65" i="100"/>
  <c r="AF65" i="100"/>
  <c r="AJ65" i="100"/>
  <c r="AN65" i="100"/>
  <c r="Z66" i="100"/>
  <c r="AD66" i="100"/>
  <c r="AH66" i="100"/>
  <c r="AL66" i="100"/>
  <c r="AB67" i="100"/>
  <c r="AF67" i="100"/>
  <c r="AJ67" i="100"/>
  <c r="AN67" i="100"/>
  <c r="AB72" i="100"/>
  <c r="AF72" i="100"/>
  <c r="AJ72" i="100"/>
  <c r="AN72" i="100"/>
  <c r="Z73" i="100"/>
  <c r="AD73" i="100"/>
  <c r="AH73" i="100"/>
  <c r="AL73" i="100"/>
  <c r="AB74" i="100"/>
  <c r="AF74" i="100"/>
  <c r="AJ74" i="100"/>
  <c r="AN74" i="100"/>
  <c r="Z75" i="100"/>
  <c r="AD75" i="100"/>
  <c r="AH75" i="100"/>
  <c r="AL75" i="100"/>
  <c r="Y78" i="100"/>
  <c r="AB81" i="100"/>
  <c r="AF81" i="100"/>
  <c r="AJ81" i="100"/>
  <c r="AN81" i="100"/>
  <c r="AB83" i="100"/>
  <c r="AF83" i="100"/>
  <c r="AJ83" i="100"/>
  <c r="AN83" i="100"/>
  <c r="Y87" i="100"/>
  <c r="AC87" i="100"/>
  <c r="AG87" i="100"/>
  <c r="AK87" i="100"/>
  <c r="Y90" i="100"/>
  <c r="AC90" i="100"/>
  <c r="AG90" i="100"/>
  <c r="AK90" i="100"/>
  <c r="AA91" i="100"/>
  <c r="AE91" i="100"/>
  <c r="AI91" i="100"/>
  <c r="AM91" i="100"/>
  <c r="AD92" i="100"/>
  <c r="AH92" i="100"/>
  <c r="AL92" i="100"/>
  <c r="AB93" i="100"/>
  <c r="AF93" i="100"/>
  <c r="AJ93" i="100"/>
  <c r="AN93" i="100"/>
  <c r="AF94" i="100"/>
  <c r="AH95" i="100"/>
  <c r="AN95" i="100"/>
  <c r="AB98" i="100"/>
  <c r="AB99" i="100"/>
  <c r="AF99" i="100"/>
  <c r="AJ99" i="100"/>
  <c r="AN99" i="100"/>
  <c r="Y99" i="100"/>
  <c r="AI99" i="100"/>
  <c r="Y101" i="100"/>
  <c r="AG101" i="100"/>
  <c r="Y102" i="100"/>
  <c r="AC102" i="100"/>
  <c r="AG102" i="100"/>
  <c r="AK102" i="100"/>
  <c r="AB103" i="100"/>
  <c r="AF103" i="100"/>
  <c r="AJ103" i="100"/>
  <c r="AN103" i="100"/>
  <c r="Y103" i="100"/>
  <c r="AG103" i="100"/>
  <c r="AA105" i="100"/>
  <c r="AI105" i="100"/>
  <c r="AA107" i="100"/>
  <c r="AI107" i="100"/>
  <c r="AE109" i="100"/>
  <c r="AM109" i="100"/>
  <c r="Y110" i="100"/>
  <c r="AG110" i="100"/>
  <c r="Y111" i="100"/>
  <c r="AC111" i="100"/>
  <c r="AG111" i="100"/>
  <c r="AK111" i="100"/>
  <c r="AF114" i="100"/>
  <c r="AN114" i="100"/>
  <c r="AE115" i="100"/>
  <c r="AM115" i="100"/>
  <c r="AA128" i="100"/>
  <c r="Z131" i="100"/>
  <c r="Z132" i="100"/>
  <c r="AD131" i="100"/>
  <c r="AD132" i="100"/>
  <c r="AH131" i="100"/>
  <c r="AH132" i="100"/>
  <c r="AL131" i="100"/>
  <c r="AL132" i="100"/>
  <c r="AF13" i="111"/>
  <c r="X13" i="111"/>
  <c r="AJ13" i="111"/>
  <c r="AB13" i="111"/>
  <c r="AF25" i="111"/>
  <c r="X25" i="111"/>
  <c r="AJ25" i="111"/>
  <c r="AB25" i="111"/>
  <c r="AF33" i="111"/>
  <c r="X33" i="111"/>
  <c r="AJ33" i="111"/>
  <c r="AB33" i="111"/>
  <c r="D93" i="101"/>
  <c r="H93" i="101"/>
  <c r="L93" i="101"/>
  <c r="P93" i="101"/>
  <c r="C94" i="101"/>
  <c r="G94" i="101"/>
  <c r="K94" i="101"/>
  <c r="O94" i="101"/>
  <c r="S94" i="101"/>
  <c r="F95" i="101"/>
  <c r="J95" i="101"/>
  <c r="N95" i="101"/>
  <c r="R95" i="101"/>
  <c r="E96" i="101"/>
  <c r="I96" i="101"/>
  <c r="M96" i="101"/>
  <c r="M103" i="101" s="1"/>
  <c r="E111" i="101"/>
  <c r="I111" i="101"/>
  <c r="M111" i="101"/>
  <c r="Q111" i="101"/>
  <c r="E112" i="101"/>
  <c r="I112" i="101"/>
  <c r="M112" i="101"/>
  <c r="Q112" i="101"/>
  <c r="E113" i="101"/>
  <c r="I113" i="101"/>
  <c r="M113" i="101"/>
  <c r="Q113" i="101"/>
  <c r="E114" i="101"/>
  <c r="I114" i="101"/>
  <c r="M114" i="101"/>
  <c r="Q114" i="101"/>
  <c r="C118" i="101"/>
  <c r="G118" i="101"/>
  <c r="K118" i="101"/>
  <c r="O118" i="101"/>
  <c r="C119" i="101"/>
  <c r="G119" i="101"/>
  <c r="K119" i="101"/>
  <c r="O119" i="101"/>
  <c r="C120" i="101"/>
  <c r="G120" i="101"/>
  <c r="K120" i="101"/>
  <c r="O120" i="101"/>
  <c r="C121" i="101"/>
  <c r="G121" i="101"/>
  <c r="K121" i="101"/>
  <c r="O121" i="101"/>
  <c r="E125" i="101"/>
  <c r="I125" i="101"/>
  <c r="M125" i="101"/>
  <c r="Q125" i="101"/>
  <c r="E126" i="101"/>
  <c r="I126" i="101"/>
  <c r="M126" i="101"/>
  <c r="Q126" i="101"/>
  <c r="E127" i="101"/>
  <c r="I127" i="101"/>
  <c r="M127" i="101"/>
  <c r="Q127" i="101"/>
  <c r="E128" i="101"/>
  <c r="I128" i="101"/>
  <c r="M128" i="101"/>
  <c r="Q128" i="101"/>
  <c r="C132" i="101"/>
  <c r="G132" i="101"/>
  <c r="K132" i="101"/>
  <c r="O132" i="101"/>
  <c r="C133" i="101"/>
  <c r="G133" i="101"/>
  <c r="K133" i="101"/>
  <c r="O133" i="101"/>
  <c r="C134" i="101"/>
  <c r="G134" i="101"/>
  <c r="K134" i="101"/>
  <c r="C135" i="101"/>
  <c r="G135" i="101"/>
  <c r="K135" i="101"/>
  <c r="Y67" i="100"/>
  <c r="AC67" i="100"/>
  <c r="AG67" i="100"/>
  <c r="AK67" i="100"/>
  <c r="AB68" i="100"/>
  <c r="AF68" i="100"/>
  <c r="AJ68" i="100"/>
  <c r="AN68" i="100"/>
  <c r="AB70" i="100"/>
  <c r="AF70" i="100"/>
  <c r="AJ70" i="100"/>
  <c r="AN70" i="100"/>
  <c r="AB77" i="100"/>
  <c r="AF77" i="100"/>
  <c r="AJ77" i="100"/>
  <c r="AN77" i="100"/>
  <c r="AB79" i="100"/>
  <c r="AF79" i="100"/>
  <c r="AJ79" i="100"/>
  <c r="AN79" i="100"/>
  <c r="AA80" i="100"/>
  <c r="AE80" i="100"/>
  <c r="AI80" i="100"/>
  <c r="AM80" i="100"/>
  <c r="Y81" i="100"/>
  <c r="AC81" i="100"/>
  <c r="AG81" i="100"/>
  <c r="AK81" i="100"/>
  <c r="AB84" i="100"/>
  <c r="AF84" i="100"/>
  <c r="AJ84" i="100"/>
  <c r="AN84" i="100"/>
  <c r="AB94" i="100"/>
  <c r="Y95" i="100"/>
  <c r="AN96" i="100"/>
  <c r="AE97" i="100"/>
  <c r="AK97" i="100"/>
  <c r="AN98" i="100"/>
  <c r="AE99" i="100"/>
  <c r="AF100" i="100"/>
  <c r="AN100" i="100"/>
  <c r="AF102" i="100"/>
  <c r="AN102" i="100"/>
  <c r="Y104" i="100"/>
  <c r="AG104" i="100"/>
  <c r="Y105" i="100"/>
  <c r="AC105" i="100"/>
  <c r="AG105" i="100"/>
  <c r="AK105" i="100"/>
  <c r="Y107" i="100"/>
  <c r="AC107" i="100"/>
  <c r="AG107" i="100"/>
  <c r="AK107" i="100"/>
  <c r="AD107" i="100"/>
  <c r="AL107" i="100"/>
  <c r="Z111" i="100"/>
  <c r="AB108" i="100"/>
  <c r="AD111" i="100"/>
  <c r="AF108" i="100"/>
  <c r="AH111" i="100"/>
  <c r="AJ108" i="100"/>
  <c r="AL111" i="100"/>
  <c r="AN108" i="100"/>
  <c r="Z108" i="100"/>
  <c r="AH108" i="100"/>
  <c r="AF109" i="100"/>
  <c r="AN109" i="100"/>
  <c r="AF111" i="100"/>
  <c r="AN111" i="100"/>
  <c r="AD112" i="100"/>
  <c r="AL112" i="100"/>
  <c r="AB113" i="100"/>
  <c r="AF113" i="100"/>
  <c r="AJ113" i="100"/>
  <c r="AN113" i="100"/>
  <c r="Y114" i="100"/>
  <c r="AG114" i="100"/>
  <c r="Y115" i="100"/>
  <c r="AC115" i="100"/>
  <c r="AG115" i="100"/>
  <c r="AK115" i="100"/>
  <c r="AA122" i="100"/>
  <c r="AA121" i="100"/>
  <c r="AE122" i="100"/>
  <c r="AE121" i="100"/>
  <c r="AI122" i="100"/>
  <c r="AI121" i="100"/>
  <c r="AM122" i="100"/>
  <c r="AM121" i="100"/>
  <c r="Z121" i="100"/>
  <c r="AH121" i="100"/>
  <c r="Z122" i="100"/>
  <c r="AD122" i="100"/>
  <c r="AH122" i="100"/>
  <c r="AL122" i="100"/>
  <c r="Y123" i="100"/>
  <c r="AC123" i="100"/>
  <c r="AG123" i="100"/>
  <c r="AK123" i="100"/>
  <c r="AF123" i="100"/>
  <c r="AN123" i="100"/>
  <c r="AB124" i="100"/>
  <c r="AF124" i="100"/>
  <c r="AJ124" i="100"/>
  <c r="AN124" i="100"/>
  <c r="AD124" i="100"/>
  <c r="AL124" i="100"/>
  <c r="AA126" i="100"/>
  <c r="AA125" i="100"/>
  <c r="AE126" i="100"/>
  <c r="AE125" i="100"/>
  <c r="AI126" i="100"/>
  <c r="AI125" i="100"/>
  <c r="AM126" i="100"/>
  <c r="AM125" i="100"/>
  <c r="Z125" i="100"/>
  <c r="AH125" i="100"/>
  <c r="Z126" i="100"/>
  <c r="AD126" i="100"/>
  <c r="AH126" i="100"/>
  <c r="AL126" i="100"/>
  <c r="Y127" i="100"/>
  <c r="AC127" i="100"/>
  <c r="AG127" i="100"/>
  <c r="AK127" i="100"/>
  <c r="AF127" i="100"/>
  <c r="AN127" i="100"/>
  <c r="AB128" i="100"/>
  <c r="AF128" i="100"/>
  <c r="AJ128" i="100"/>
  <c r="AN128" i="100"/>
  <c r="AD128" i="100"/>
  <c r="AL128" i="100"/>
  <c r="AA130" i="100"/>
  <c r="AA129" i="100"/>
  <c r="AA131" i="100"/>
  <c r="AE130" i="100"/>
  <c r="AE129" i="100"/>
  <c r="AE131" i="100"/>
  <c r="AI130" i="100"/>
  <c r="AI129" i="100"/>
  <c r="AI131" i="100"/>
  <c r="AM130" i="100"/>
  <c r="AM129" i="100"/>
  <c r="AM131" i="100"/>
  <c r="Z129" i="100"/>
  <c r="AH129" i="100"/>
  <c r="Z130" i="100"/>
  <c r="AD130" i="100"/>
  <c r="AH130" i="100"/>
  <c r="AL130" i="100"/>
  <c r="Y131" i="100"/>
  <c r="AC131" i="100"/>
  <c r="AG131" i="100"/>
  <c r="AB132" i="100"/>
  <c r="AB130" i="100"/>
  <c r="AF132" i="100"/>
  <c r="AF130" i="100"/>
  <c r="AJ132" i="100"/>
  <c r="AJ130" i="100"/>
  <c r="AN132" i="100"/>
  <c r="AN130" i="100"/>
  <c r="AI132" i="100"/>
  <c r="AA133" i="100"/>
  <c r="AE135" i="100"/>
  <c r="AM161" i="100"/>
  <c r="AM162" i="100"/>
  <c r="AE162" i="100"/>
  <c r="AE161" i="100"/>
  <c r="AC164" i="100"/>
  <c r="AG164" i="100"/>
  <c r="Y167" i="100"/>
  <c r="F167" i="100"/>
  <c r="Y165" i="100"/>
  <c r="F166" i="100"/>
  <c r="AA168" i="100" s="1"/>
  <c r="N166" i="100"/>
  <c r="AI168" i="100" s="1"/>
  <c r="AG167" i="100"/>
  <c r="N167" i="100"/>
  <c r="AG165" i="100"/>
  <c r="R167" i="100"/>
  <c r="AK165" i="100"/>
  <c r="R166" i="100"/>
  <c r="J167" i="100"/>
  <c r="AE167" i="100" s="1"/>
  <c r="AC167" i="100"/>
  <c r="AG168" i="100"/>
  <c r="AB169" i="100"/>
  <c r="AF172" i="100"/>
  <c r="AJ169" i="100"/>
  <c r="AN172" i="100"/>
  <c r="Z170" i="100"/>
  <c r="AD171" i="100"/>
  <c r="AH170" i="100"/>
  <c r="AL171" i="100"/>
  <c r="Z171" i="100"/>
  <c r="Y9" i="111"/>
  <c r="AG9" i="111"/>
  <c r="AC13" i="111"/>
  <c r="Y17" i="111"/>
  <c r="AG17" i="111"/>
  <c r="AC25" i="111"/>
  <c r="Y29" i="111"/>
  <c r="AG29" i="111"/>
  <c r="AC33" i="111"/>
  <c r="Y41" i="111"/>
  <c r="AG41" i="111"/>
  <c r="F94" i="98"/>
  <c r="F101" i="98" s="1"/>
  <c r="J94" i="98"/>
  <c r="J101" i="98" s="1"/>
  <c r="N94" i="98"/>
  <c r="N101" i="98" s="1"/>
  <c r="R94" i="98"/>
  <c r="R101" i="98" s="1"/>
  <c r="E95" i="98"/>
  <c r="I95" i="98"/>
  <c r="M95" i="98"/>
  <c r="Q95" i="98"/>
  <c r="D96" i="98"/>
  <c r="D103" i="98" s="1"/>
  <c r="H96" i="98"/>
  <c r="H103" i="98" s="1"/>
  <c r="L96" i="98"/>
  <c r="L103" i="98" s="1"/>
  <c r="P96" i="98"/>
  <c r="P103" i="98" s="1"/>
  <c r="C97" i="98"/>
  <c r="C104" i="98" s="1"/>
  <c r="G97" i="98"/>
  <c r="G104" i="98" s="1"/>
  <c r="K97" i="98"/>
  <c r="K104" i="98" s="1"/>
  <c r="O97" i="98"/>
  <c r="O104" i="98" s="1"/>
  <c r="E131" i="98"/>
  <c r="I131" i="98"/>
  <c r="M131" i="98"/>
  <c r="Q131" i="98"/>
  <c r="E132" i="98"/>
  <c r="I132" i="98"/>
  <c r="M132" i="98"/>
  <c r="Q132" i="98"/>
  <c r="E133" i="98"/>
  <c r="I133" i="98"/>
  <c r="M133" i="98"/>
  <c r="Q133" i="98"/>
  <c r="E134" i="98"/>
  <c r="I134" i="98"/>
  <c r="M134" i="98"/>
  <c r="AB64" i="100"/>
  <c r="AF64" i="100"/>
  <c r="AJ64" i="100"/>
  <c r="AN64" i="100"/>
  <c r="AB66" i="100"/>
  <c r="AF66" i="100"/>
  <c r="AJ66" i="100"/>
  <c r="AN66" i="100"/>
  <c r="AB73" i="100"/>
  <c r="AF73" i="100"/>
  <c r="AJ73" i="100"/>
  <c r="AN73" i="100"/>
  <c r="AB75" i="100"/>
  <c r="AF75" i="100"/>
  <c r="AJ75" i="100"/>
  <c r="AN75" i="100"/>
  <c r="AN92" i="100"/>
  <c r="AJ96" i="100"/>
  <c r="Z98" i="100"/>
  <c r="AD98" i="100"/>
  <c r="AH98" i="100"/>
  <c r="AL98" i="100"/>
  <c r="Z100" i="100"/>
  <c r="AD100" i="100"/>
  <c r="AH102" i="100"/>
  <c r="AL102" i="100"/>
  <c r="AA101" i="100"/>
  <c r="AE101" i="100"/>
  <c r="AI101" i="100"/>
  <c r="AM101" i="100"/>
  <c r="AC101" i="100"/>
  <c r="AK101" i="100"/>
  <c r="Z102" i="100"/>
  <c r="AD102" i="100"/>
  <c r="AA103" i="100"/>
  <c r="AE103" i="100"/>
  <c r="AI103" i="100"/>
  <c r="AM103" i="100"/>
  <c r="AC103" i="100"/>
  <c r="AK103" i="100"/>
  <c r="Z104" i="100"/>
  <c r="AD104" i="100"/>
  <c r="AH104" i="100"/>
  <c r="AJ107" i="100"/>
  <c r="AL104" i="100"/>
  <c r="AN107" i="100"/>
  <c r="AB104" i="100"/>
  <c r="AJ104" i="100"/>
  <c r="AC108" i="100"/>
  <c r="AK108" i="100"/>
  <c r="Z109" i="100"/>
  <c r="AD109" i="100"/>
  <c r="AH109" i="100"/>
  <c r="AL109" i="100"/>
  <c r="AA109" i="100"/>
  <c r="AI109" i="100"/>
  <c r="AA110" i="100"/>
  <c r="AE110" i="100"/>
  <c r="AI110" i="100"/>
  <c r="AM110" i="100"/>
  <c r="AC110" i="100"/>
  <c r="AK110" i="100"/>
  <c r="AE112" i="100"/>
  <c r="AM112" i="100"/>
  <c r="AC113" i="100"/>
  <c r="AK113" i="100"/>
  <c r="Z114" i="100"/>
  <c r="AD114" i="100"/>
  <c r="AH114" i="100"/>
  <c r="AL114" i="100"/>
  <c r="AB114" i="100"/>
  <c r="AJ114" i="100"/>
  <c r="AA115" i="100"/>
  <c r="AI115" i="100"/>
  <c r="AB122" i="100"/>
  <c r="AJ122" i="100"/>
  <c r="AA123" i="100"/>
  <c r="AI123" i="100"/>
  <c r="AB126" i="100"/>
  <c r="AJ126" i="100"/>
  <c r="AH164" i="100"/>
  <c r="Y169" i="100"/>
  <c r="Y171" i="100"/>
  <c r="AC169" i="100"/>
  <c r="AC171" i="100"/>
  <c r="AG169" i="100"/>
  <c r="AG171" i="100"/>
  <c r="AK169" i="100"/>
  <c r="AK171" i="100"/>
  <c r="AE171" i="100"/>
  <c r="AE169" i="100"/>
  <c r="AM171" i="100"/>
  <c r="AM169" i="100"/>
  <c r="AF9" i="111"/>
  <c r="X9" i="111"/>
  <c r="AJ9" i="111"/>
  <c r="AB9" i="111"/>
  <c r="AF17" i="111"/>
  <c r="X17" i="111"/>
  <c r="AJ17" i="111"/>
  <c r="AB17" i="111"/>
  <c r="AF29" i="111"/>
  <c r="X29" i="111"/>
  <c r="AJ29" i="111"/>
  <c r="AB29" i="111"/>
  <c r="AF41" i="111"/>
  <c r="X41" i="111"/>
  <c r="AJ41" i="111"/>
  <c r="AB41" i="111"/>
  <c r="AD134" i="100"/>
  <c r="AG135" i="100"/>
  <c r="AL135" i="100"/>
  <c r="AA136" i="100"/>
  <c r="AE136" i="100"/>
  <c r="Z136" i="100"/>
  <c r="AF136" i="100"/>
  <c r="AK136" i="100"/>
  <c r="AD138" i="100"/>
  <c r="AG139" i="100"/>
  <c r="AL139" i="100"/>
  <c r="Z140" i="100"/>
  <c r="AF140" i="100"/>
  <c r="AK140" i="100"/>
  <c r="AD142" i="100"/>
  <c r="AG143" i="100"/>
  <c r="AL143" i="100"/>
  <c r="Z144" i="100"/>
  <c r="AF144" i="100"/>
  <c r="AK144" i="100"/>
  <c r="AD146" i="100"/>
  <c r="AG147" i="100"/>
  <c r="AL147" i="100"/>
  <c r="Z148" i="100"/>
  <c r="AF148" i="100"/>
  <c r="AK148" i="100"/>
  <c r="AD150" i="100"/>
  <c r="AG151" i="100"/>
  <c r="AL151" i="100"/>
  <c r="Z152" i="100"/>
  <c r="AF152" i="100"/>
  <c r="AK152" i="100"/>
  <c r="AD154" i="100"/>
  <c r="AG155" i="100"/>
  <c r="AL155" i="100"/>
  <c r="Z156" i="100"/>
  <c r="AF156" i="100"/>
  <c r="AK156" i="100"/>
  <c r="AD158" i="100"/>
  <c r="AG159" i="100"/>
  <c r="AL159" i="100"/>
  <c r="Z160" i="100"/>
  <c r="AF160" i="100"/>
  <c r="AK160" i="100"/>
  <c r="Z161" i="100"/>
  <c r="AH161" i="100"/>
  <c r="AL161" i="100"/>
  <c r="AC162" i="100"/>
  <c r="S162" i="100"/>
  <c r="AH162" i="100"/>
  <c r="K163" i="100"/>
  <c r="Y163" i="100"/>
  <c r="AB165" i="100"/>
  <c r="AK166" i="100"/>
  <c r="AJ166" i="100"/>
  <c r="I167" i="100"/>
  <c r="AD167" i="100" s="1"/>
  <c r="AA170" i="100"/>
  <c r="AI170" i="100"/>
  <c r="AC8" i="111"/>
  <c r="AK8" i="111"/>
  <c r="AC12" i="111"/>
  <c r="AK12" i="111"/>
  <c r="AC16" i="111"/>
  <c r="AK16" i="111"/>
  <c r="AC24" i="111"/>
  <c r="AK24" i="111"/>
  <c r="AC28" i="111"/>
  <c r="AK28" i="111"/>
  <c r="AC32" i="111"/>
  <c r="AK32" i="111"/>
  <c r="AC40" i="111"/>
  <c r="AK40" i="111"/>
  <c r="AC44" i="111"/>
  <c r="AK44" i="111"/>
  <c r="AB45" i="111"/>
  <c r="AJ45" i="111"/>
  <c r="AC48" i="111"/>
  <c r="AK48" i="111"/>
  <c r="AB49" i="111"/>
  <c r="AJ49" i="111"/>
  <c r="AC52" i="111"/>
  <c r="AK52" i="111"/>
  <c r="AB56" i="111"/>
  <c r="AJ56" i="111"/>
  <c r="AC59" i="111"/>
  <c r="AK59" i="111"/>
  <c r="AB60" i="111"/>
  <c r="AJ60" i="111"/>
  <c r="AC63" i="111"/>
  <c r="AK63" i="111"/>
  <c r="AB64" i="111"/>
  <c r="AJ64" i="111"/>
  <c r="AC67" i="111"/>
  <c r="AK67" i="111"/>
  <c r="AB68" i="111"/>
  <c r="AJ68" i="111"/>
  <c r="AB10" i="102"/>
  <c r="AJ10" i="102"/>
  <c r="AB11" i="102"/>
  <c r="AJ11" i="102"/>
  <c r="AB12" i="102"/>
  <c r="AJ12" i="102"/>
  <c r="AB13" i="102"/>
  <c r="AJ13" i="102"/>
  <c r="X24" i="102"/>
  <c r="AF24" i="102"/>
  <c r="AC25" i="102"/>
  <c r="AC26" i="102"/>
  <c r="AC45" i="111"/>
  <c r="AK45" i="111"/>
  <c r="AC49" i="111"/>
  <c r="AK49" i="111"/>
  <c r="AC56" i="111"/>
  <c r="AK56" i="111"/>
  <c r="AC60" i="111"/>
  <c r="AK60" i="111"/>
  <c r="AC64" i="111"/>
  <c r="AK64" i="111"/>
  <c r="AC68" i="111"/>
  <c r="AK68" i="111"/>
  <c r="AI27" i="102"/>
  <c r="AE27" i="102"/>
  <c r="AA27" i="102"/>
  <c r="W27" i="102"/>
  <c r="AI26" i="102"/>
  <c r="AE26" i="102"/>
  <c r="AA26" i="102"/>
  <c r="W26" i="102"/>
  <c r="AI25" i="102"/>
  <c r="AE25" i="102"/>
  <c r="AA25" i="102"/>
  <c r="W25" i="102"/>
  <c r="AF27" i="102"/>
  <c r="Z27" i="102"/>
  <c r="U27" i="102"/>
  <c r="AF26" i="102"/>
  <c r="Z26" i="102"/>
  <c r="U26" i="102"/>
  <c r="AF25" i="102"/>
  <c r="Z25" i="102"/>
  <c r="U25" i="102"/>
  <c r="AH24" i="102"/>
  <c r="AD24" i="102"/>
  <c r="Z24" i="102"/>
  <c r="V24" i="102"/>
  <c r="AJ27" i="102"/>
  <c r="AD27" i="102"/>
  <c r="Y27" i="102"/>
  <c r="AJ26" i="102"/>
  <c r="AD26" i="102"/>
  <c r="Y26" i="102"/>
  <c r="AJ25" i="102"/>
  <c r="AD25" i="102"/>
  <c r="Y25" i="102"/>
  <c r="AG24" i="102"/>
  <c r="AC24" i="102"/>
  <c r="Y24" i="102"/>
  <c r="U24" i="102"/>
  <c r="AA24" i="102"/>
  <c r="AI24" i="102"/>
  <c r="V25" i="102"/>
  <c r="AG25" i="102"/>
  <c r="V26" i="102"/>
  <c r="AG26" i="102"/>
  <c r="V27" i="102"/>
  <c r="AG27" i="102"/>
  <c r="AL134" i="100"/>
  <c r="Y135" i="100"/>
  <c r="AL138" i="100"/>
  <c r="Y139" i="100"/>
  <c r="AL142" i="100"/>
  <c r="Y143" i="100"/>
  <c r="AL146" i="100"/>
  <c r="Y147" i="100"/>
  <c r="AL150" i="100"/>
  <c r="Y151" i="100"/>
  <c r="AL154" i="100"/>
  <c r="Y155" i="100"/>
  <c r="AL158" i="100"/>
  <c r="Y159" i="100"/>
  <c r="AG161" i="100"/>
  <c r="K162" i="100"/>
  <c r="AF164" i="100" s="1"/>
  <c r="AK162" i="100"/>
  <c r="Z162" i="100"/>
  <c r="I163" i="100"/>
  <c r="S163" i="100"/>
  <c r="AA164" i="100"/>
  <c r="AE164" i="100"/>
  <c r="AI164" i="100"/>
  <c r="AM164" i="100"/>
  <c r="Z165" i="100"/>
  <c r="AD165" i="100"/>
  <c r="AJ165" i="100"/>
  <c r="Y166" i="100"/>
  <c r="AC166" i="100"/>
  <c r="S166" i="100"/>
  <c r="AN167" i="100" s="1"/>
  <c r="K167" i="100"/>
  <c r="AF165" i="100" s="1"/>
  <c r="Q167" i="100"/>
  <c r="AB168" i="100"/>
  <c r="AJ168" i="100"/>
  <c r="Z169" i="100"/>
  <c r="AD169" i="100"/>
  <c r="AH169" i="100"/>
  <c r="AL169" i="100"/>
  <c r="Y170" i="100"/>
  <c r="AC170" i="100"/>
  <c r="AG170" i="100"/>
  <c r="AK170" i="100"/>
  <c r="AB171" i="100"/>
  <c r="AF171" i="100"/>
  <c r="AJ171" i="100"/>
  <c r="AN171" i="100"/>
  <c r="AA172" i="100"/>
  <c r="AE172" i="100"/>
  <c r="AI172" i="100"/>
  <c r="AM172" i="100"/>
  <c r="AB172" i="100"/>
  <c r="AJ172" i="100"/>
  <c r="X8" i="111"/>
  <c r="AB8" i="111"/>
  <c r="AF8" i="111"/>
  <c r="AJ8" i="111"/>
  <c r="Y8" i="111"/>
  <c r="W9" i="111"/>
  <c r="AA9" i="111"/>
  <c r="AE9" i="111"/>
  <c r="AI9" i="111"/>
  <c r="X12" i="111"/>
  <c r="AB12" i="111"/>
  <c r="AF12" i="111"/>
  <c r="AJ12" i="111"/>
  <c r="Y12" i="111"/>
  <c r="W13" i="111"/>
  <c r="AA13" i="111"/>
  <c r="AE13" i="111"/>
  <c r="AI13" i="111"/>
  <c r="X16" i="111"/>
  <c r="AB16" i="111"/>
  <c r="AF16" i="111"/>
  <c r="AJ16" i="111"/>
  <c r="Y16" i="111"/>
  <c r="W17" i="111"/>
  <c r="AA17" i="111"/>
  <c r="AE17" i="111"/>
  <c r="AI17" i="111"/>
  <c r="X24" i="111"/>
  <c r="AB24" i="111"/>
  <c r="AF24" i="111"/>
  <c r="AJ24" i="111"/>
  <c r="Y24" i="111"/>
  <c r="W25" i="111"/>
  <c r="AA25" i="111"/>
  <c r="AE25" i="111"/>
  <c r="AI25" i="111"/>
  <c r="X28" i="111"/>
  <c r="AB28" i="111"/>
  <c r="AF28" i="111"/>
  <c r="AJ28" i="111"/>
  <c r="Y28" i="111"/>
  <c r="W29" i="111"/>
  <c r="AA29" i="111"/>
  <c r="AE29" i="111"/>
  <c r="AI29" i="111"/>
  <c r="X32" i="111"/>
  <c r="AB32" i="111"/>
  <c r="AF32" i="111"/>
  <c r="AJ32" i="111"/>
  <c r="Y32" i="111"/>
  <c r="W33" i="111"/>
  <c r="AA33" i="111"/>
  <c r="AE33" i="111"/>
  <c r="AI33" i="111"/>
  <c r="X40" i="111"/>
  <c r="AB40" i="111"/>
  <c r="AF40" i="111"/>
  <c r="AJ40" i="111"/>
  <c r="Y40" i="111"/>
  <c r="W41" i="111"/>
  <c r="AA41" i="111"/>
  <c r="AE41" i="111"/>
  <c r="AI41" i="111"/>
  <c r="X44" i="111"/>
  <c r="AB44" i="111"/>
  <c r="AF44" i="111"/>
  <c r="AJ44" i="111"/>
  <c r="Y44" i="111"/>
  <c r="W45" i="111"/>
  <c r="AA45" i="111"/>
  <c r="AE45" i="111"/>
  <c r="AI45" i="111"/>
  <c r="X45" i="111"/>
  <c r="X48" i="111"/>
  <c r="AB48" i="111"/>
  <c r="AF48" i="111"/>
  <c r="AJ48" i="111"/>
  <c r="Y48" i="111"/>
  <c r="W49" i="111"/>
  <c r="AA49" i="111"/>
  <c r="AE49" i="111"/>
  <c r="AI49" i="111"/>
  <c r="X49" i="111"/>
  <c r="X52" i="111"/>
  <c r="AB52" i="111"/>
  <c r="AF52" i="111"/>
  <c r="AJ52" i="111"/>
  <c r="Y52" i="111"/>
  <c r="W56" i="111"/>
  <c r="AA56" i="111"/>
  <c r="AE56" i="111"/>
  <c r="AI56" i="111"/>
  <c r="X56" i="111"/>
  <c r="X59" i="111"/>
  <c r="AB59" i="111"/>
  <c r="AF59" i="111"/>
  <c r="AJ59" i="111"/>
  <c r="Y59" i="111"/>
  <c r="W60" i="111"/>
  <c r="AA60" i="111"/>
  <c r="AE60" i="111"/>
  <c r="AI60" i="111"/>
  <c r="X60" i="111"/>
  <c r="AF60" i="111"/>
  <c r="X63" i="111"/>
  <c r="AB63" i="111"/>
  <c r="AF63" i="111"/>
  <c r="AJ63" i="111"/>
  <c r="Y63" i="111"/>
  <c r="W64" i="111"/>
  <c r="AA64" i="111"/>
  <c r="AE64" i="111"/>
  <c r="AI64" i="111"/>
  <c r="X64" i="111"/>
  <c r="AF64" i="111"/>
  <c r="X67" i="111"/>
  <c r="AB67" i="111"/>
  <c r="AF67" i="111"/>
  <c r="AJ67" i="111"/>
  <c r="Y67" i="111"/>
  <c r="W68" i="111"/>
  <c r="AA68" i="111"/>
  <c r="AE68" i="111"/>
  <c r="AI68" i="111"/>
  <c r="X68" i="111"/>
  <c r="AF68" i="111"/>
  <c r="X10" i="102"/>
  <c r="AF10" i="102"/>
  <c r="X11" i="102"/>
  <c r="AF11" i="102"/>
  <c r="X12" i="102"/>
  <c r="AF12" i="102"/>
  <c r="X13" i="102"/>
  <c r="AH20" i="102"/>
  <c r="AD20" i="102"/>
  <c r="Z20" i="102"/>
  <c r="V20" i="102"/>
  <c r="AH19" i="102"/>
  <c r="AD19" i="102"/>
  <c r="Z19" i="102"/>
  <c r="V19" i="102"/>
  <c r="AH18" i="102"/>
  <c r="AD18" i="102"/>
  <c r="Z18" i="102"/>
  <c r="V18" i="102"/>
  <c r="AH17" i="102"/>
  <c r="AD17" i="102"/>
  <c r="Z17" i="102"/>
  <c r="V17" i="102"/>
  <c r="AG20" i="102"/>
  <c r="AC20" i="102"/>
  <c r="Y20" i="102"/>
  <c r="U20" i="102"/>
  <c r="AG19" i="102"/>
  <c r="AC19" i="102"/>
  <c r="Y19" i="102"/>
  <c r="U19" i="102"/>
  <c r="AG18" i="102"/>
  <c r="AC18" i="102"/>
  <c r="Y18" i="102"/>
  <c r="U18" i="102"/>
  <c r="AG17" i="102"/>
  <c r="AC17" i="102"/>
  <c r="Y17" i="102"/>
  <c r="U17" i="102"/>
  <c r="AA17" i="102"/>
  <c r="AI17" i="102"/>
  <c r="AA18" i="102"/>
  <c r="AI18" i="102"/>
  <c r="AA19" i="102"/>
  <c r="AI19" i="102"/>
  <c r="AA20" i="102"/>
  <c r="AI20" i="102"/>
  <c r="AH22" i="102"/>
  <c r="AB24" i="102"/>
  <c r="AJ24" i="102"/>
  <c r="X25" i="102"/>
  <c r="AH25" i="102"/>
  <c r="X26" i="102"/>
  <c r="AH26" i="102"/>
  <c r="X27" i="102"/>
  <c r="AH27" i="102"/>
  <c r="AH100" i="100"/>
  <c r="AL100" i="100"/>
  <c r="AI133" i="100"/>
  <c r="AN133" i="100"/>
  <c r="AH134" i="100"/>
  <c r="AM134" i="100"/>
  <c r="Z135" i="100"/>
  <c r="AI137" i="100"/>
  <c r="AN137" i="100"/>
  <c r="AH138" i="100"/>
  <c r="AM138" i="100"/>
  <c r="Z139" i="100"/>
  <c r="AI141" i="100"/>
  <c r="AN141" i="100"/>
  <c r="AH142" i="100"/>
  <c r="AM142" i="100"/>
  <c r="Z143" i="100"/>
  <c r="AI145" i="100"/>
  <c r="AN145" i="100"/>
  <c r="AH146" i="100"/>
  <c r="AM146" i="100"/>
  <c r="Z147" i="100"/>
  <c r="AN149" i="100"/>
  <c r="AH150" i="100"/>
  <c r="Z151" i="100"/>
  <c r="AI153" i="100"/>
  <c r="AN153" i="100"/>
  <c r="AH154" i="100"/>
  <c r="AM154" i="100"/>
  <c r="Z155" i="100"/>
  <c r="AI157" i="100"/>
  <c r="AN157" i="100"/>
  <c r="AH158" i="100"/>
  <c r="AM158" i="100"/>
  <c r="Z159" i="100"/>
  <c r="AC161" i="100"/>
  <c r="G162" i="100"/>
  <c r="AB163" i="100" s="1"/>
  <c r="AG162" i="100"/>
  <c r="AL162" i="100"/>
  <c r="O163" i="100"/>
  <c r="AJ163" i="100" s="1"/>
  <c r="AB167" i="100"/>
  <c r="M167" i="100"/>
  <c r="AH167" i="100" s="1"/>
  <c r="Y60" i="111"/>
  <c r="Y64" i="111"/>
  <c r="Y68" i="111"/>
  <c r="AH13" i="102"/>
  <c r="AD13" i="102"/>
  <c r="Z13" i="102"/>
  <c r="V13" i="102"/>
  <c r="AH12" i="102"/>
  <c r="AD12" i="102"/>
  <c r="Z12" i="102"/>
  <c r="V12" i="102"/>
  <c r="AH11" i="102"/>
  <c r="AD11" i="102"/>
  <c r="Z11" i="102"/>
  <c r="V11" i="102"/>
  <c r="AH10" i="102"/>
  <c r="AD10" i="102"/>
  <c r="Z10" i="102"/>
  <c r="V10" i="102"/>
  <c r="AG13" i="102"/>
  <c r="AC13" i="102"/>
  <c r="Y13" i="102"/>
  <c r="U13" i="102"/>
  <c r="AG12" i="102"/>
  <c r="AC12" i="102"/>
  <c r="Y12" i="102"/>
  <c r="U12" i="102"/>
  <c r="AG11" i="102"/>
  <c r="AC11" i="102"/>
  <c r="Y11" i="102"/>
  <c r="U11" i="102"/>
  <c r="AG10" i="102"/>
  <c r="AC10" i="102"/>
  <c r="Y10" i="102"/>
  <c r="U10" i="102"/>
  <c r="AA10" i="102"/>
  <c r="AI10" i="102"/>
  <c r="AA11" i="102"/>
  <c r="AI11" i="102"/>
  <c r="AA12" i="102"/>
  <c r="AI12" i="102"/>
  <c r="AA13" i="102"/>
  <c r="AI13" i="102"/>
  <c r="W24" i="102"/>
  <c r="AE24" i="102"/>
  <c r="AB25" i="102"/>
  <c r="AB26" i="102"/>
  <c r="AB27" i="102"/>
  <c r="D8" i="81"/>
  <c r="K11" i="81"/>
  <c r="E11" i="81"/>
  <c r="G11" i="81"/>
  <c r="J11" i="81"/>
  <c r="C11" i="81"/>
  <c r="D12" i="81"/>
  <c r="K15" i="81"/>
  <c r="E15" i="81"/>
  <c r="G15" i="81"/>
  <c r="J15" i="81"/>
  <c r="C15" i="81"/>
  <c r="D16" i="81"/>
  <c r="K19" i="81"/>
  <c r="E19" i="81"/>
  <c r="G19" i="81"/>
  <c r="J19" i="81"/>
  <c r="C19" i="81"/>
  <c r="D20" i="81"/>
  <c r="K23" i="81"/>
  <c r="E23" i="81"/>
  <c r="G23" i="81"/>
  <c r="J23" i="81"/>
  <c r="C23" i="81"/>
  <c r="D24" i="81"/>
  <c r="K27" i="81"/>
  <c r="E27" i="81"/>
  <c r="G27" i="81"/>
  <c r="J27" i="81"/>
  <c r="C27" i="81"/>
  <c r="D28" i="81"/>
  <c r="K31" i="81"/>
  <c r="E31" i="81"/>
  <c r="G31" i="81"/>
  <c r="J31" i="81"/>
  <c r="C31" i="81"/>
  <c r="D32" i="81"/>
  <c r="H41" i="81"/>
  <c r="J42" i="81"/>
  <c r="J46" i="81"/>
  <c r="C10" i="102"/>
  <c r="G10" i="102"/>
  <c r="K10" i="102"/>
  <c r="O10" i="102"/>
  <c r="C11" i="102"/>
  <c r="G11" i="102"/>
  <c r="K11" i="102"/>
  <c r="O11" i="102"/>
  <c r="C12" i="102"/>
  <c r="G12" i="102"/>
  <c r="K12" i="102"/>
  <c r="O12" i="102"/>
  <c r="C13" i="102"/>
  <c r="G13" i="102"/>
  <c r="K13" i="102"/>
  <c r="O13" i="102"/>
  <c r="C17" i="102"/>
  <c r="G17" i="102"/>
  <c r="K17" i="102"/>
  <c r="O17" i="102"/>
  <c r="C18" i="102"/>
  <c r="G18" i="102"/>
  <c r="K18" i="102"/>
  <c r="O18" i="102"/>
  <c r="C19" i="102"/>
  <c r="G19" i="102"/>
  <c r="K19" i="102"/>
  <c r="O19" i="102"/>
  <c r="C20" i="102"/>
  <c r="G20" i="102"/>
  <c r="K20" i="102"/>
  <c r="O20" i="102"/>
  <c r="Q27" i="102"/>
  <c r="M27" i="102"/>
  <c r="I27" i="102"/>
  <c r="E27" i="102"/>
  <c r="Q26" i="102"/>
  <c r="M26" i="102"/>
  <c r="I26" i="102"/>
  <c r="E26" i="102"/>
  <c r="Q25" i="102"/>
  <c r="M25" i="102"/>
  <c r="I25" i="102"/>
  <c r="C24" i="102"/>
  <c r="G24" i="102"/>
  <c r="K24" i="102"/>
  <c r="O24" i="102"/>
  <c r="C25" i="102"/>
  <c r="G25" i="102"/>
  <c r="L25" i="102"/>
  <c r="R25" i="102"/>
  <c r="G26" i="102"/>
  <c r="L26" i="102"/>
  <c r="R26" i="102"/>
  <c r="G27" i="102"/>
  <c r="L27" i="102"/>
  <c r="R27" i="102"/>
  <c r="K10" i="81"/>
  <c r="E10" i="81"/>
  <c r="J10" i="81"/>
  <c r="C10" i="81"/>
  <c r="G10" i="81"/>
  <c r="D11" i="81"/>
  <c r="K14" i="81"/>
  <c r="E14" i="81"/>
  <c r="J14" i="81"/>
  <c r="C14" i="81"/>
  <c r="G14" i="81"/>
  <c r="D15" i="81"/>
  <c r="K18" i="81"/>
  <c r="E18" i="81"/>
  <c r="J18" i="81"/>
  <c r="C18" i="81"/>
  <c r="G18" i="81"/>
  <c r="D19" i="81"/>
  <c r="K22" i="81"/>
  <c r="E22" i="81"/>
  <c r="J22" i="81"/>
  <c r="C22" i="81"/>
  <c r="G22" i="81"/>
  <c r="D23" i="81"/>
  <c r="K26" i="81"/>
  <c r="E26" i="81"/>
  <c r="J26" i="81"/>
  <c r="C26" i="81"/>
  <c r="G26" i="81"/>
  <c r="D27" i="81"/>
  <c r="K30" i="81"/>
  <c r="E30" i="81"/>
  <c r="J30" i="81"/>
  <c r="C30" i="81"/>
  <c r="G30" i="81"/>
  <c r="D31" i="81"/>
  <c r="K34" i="81"/>
  <c r="E34" i="81"/>
  <c r="J34" i="81"/>
  <c r="C34" i="81"/>
  <c r="G34" i="81"/>
  <c r="J41" i="81"/>
  <c r="H44" i="81"/>
  <c r="P8" i="102"/>
  <c r="D10" i="102"/>
  <c r="H10" i="102"/>
  <c r="L10" i="102"/>
  <c r="P10" i="102"/>
  <c r="D11" i="102"/>
  <c r="H11" i="102"/>
  <c r="L11" i="102"/>
  <c r="P11" i="102"/>
  <c r="D12" i="102"/>
  <c r="H12" i="102"/>
  <c r="L12" i="102"/>
  <c r="P12" i="102"/>
  <c r="D13" i="102"/>
  <c r="H13" i="102"/>
  <c r="L13" i="102"/>
  <c r="P15" i="102"/>
  <c r="D17" i="102"/>
  <c r="H17" i="102"/>
  <c r="L17" i="102"/>
  <c r="P17" i="102"/>
  <c r="D18" i="102"/>
  <c r="H18" i="102"/>
  <c r="L18" i="102"/>
  <c r="P18" i="102"/>
  <c r="D19" i="102"/>
  <c r="H19" i="102"/>
  <c r="L19" i="102"/>
  <c r="P19" i="102"/>
  <c r="D20" i="102"/>
  <c r="H20" i="102"/>
  <c r="L20" i="102"/>
  <c r="P22" i="102"/>
  <c r="D24" i="102"/>
  <c r="H24" i="102"/>
  <c r="L24" i="102"/>
  <c r="P24" i="102"/>
  <c r="D25" i="102"/>
  <c r="H25" i="102"/>
  <c r="N25" i="102"/>
  <c r="C26" i="102"/>
  <c r="H26" i="102"/>
  <c r="N26" i="102"/>
  <c r="C27" i="102"/>
  <c r="H27" i="102"/>
  <c r="N27" i="102"/>
  <c r="Q34" i="102"/>
  <c r="M34" i="102"/>
  <c r="I34" i="102"/>
  <c r="E34" i="102"/>
  <c r="Q33" i="102"/>
  <c r="M33" i="102"/>
  <c r="I33" i="102"/>
  <c r="E33" i="102"/>
  <c r="Q32" i="102"/>
  <c r="M32" i="102"/>
  <c r="I32" i="102"/>
  <c r="E32" i="102"/>
  <c r="Q31" i="102"/>
  <c r="M31" i="102"/>
  <c r="I31" i="102"/>
  <c r="E31" i="102"/>
  <c r="C31" i="102"/>
  <c r="H31" i="102"/>
  <c r="N31" i="102"/>
  <c r="C32" i="102"/>
  <c r="H32" i="102"/>
  <c r="N32" i="102"/>
  <c r="C33" i="102"/>
  <c r="H33" i="102"/>
  <c r="N33" i="102"/>
  <c r="C34" i="102"/>
  <c r="H34" i="102"/>
  <c r="N34" i="102"/>
  <c r="Q41" i="102"/>
  <c r="M41" i="102"/>
  <c r="I41" i="102"/>
  <c r="E41" i="102"/>
  <c r="Q40" i="102"/>
  <c r="M40" i="102"/>
  <c r="I40" i="102"/>
  <c r="E40" i="102"/>
  <c r="Q39" i="102"/>
  <c r="M39" i="102"/>
  <c r="I39" i="102"/>
  <c r="E39" i="102"/>
  <c r="Q38" i="102"/>
  <c r="M38" i="102"/>
  <c r="I38" i="102"/>
  <c r="E38" i="102"/>
  <c r="C38" i="102"/>
  <c r="H38" i="102"/>
  <c r="N38" i="102"/>
  <c r="C39" i="102"/>
  <c r="H39" i="102"/>
  <c r="N39" i="102"/>
  <c r="C40" i="102"/>
  <c r="H40" i="102"/>
  <c r="N40" i="102"/>
  <c r="C41" i="102"/>
  <c r="H41" i="102"/>
  <c r="N41" i="102"/>
  <c r="Q48" i="102"/>
  <c r="M48" i="102"/>
  <c r="I48" i="102"/>
  <c r="E48" i="102"/>
  <c r="Q47" i="102"/>
  <c r="M47" i="102"/>
  <c r="I47" i="102"/>
  <c r="E47" i="102"/>
  <c r="Q46" i="102"/>
  <c r="M46" i="102"/>
  <c r="I46" i="102"/>
  <c r="E46" i="102"/>
  <c r="Q45" i="102"/>
  <c r="M45" i="102"/>
  <c r="I45" i="102"/>
  <c r="E45" i="102"/>
  <c r="C45" i="102"/>
  <c r="H45" i="102"/>
  <c r="N45" i="102"/>
  <c r="C46" i="102"/>
  <c r="H46" i="102"/>
  <c r="N46" i="102"/>
  <c r="C47" i="102"/>
  <c r="H47" i="102"/>
  <c r="N47" i="102"/>
  <c r="C48" i="102"/>
  <c r="H48" i="102"/>
  <c r="N48" i="102"/>
  <c r="Q55" i="102"/>
  <c r="M55" i="102"/>
  <c r="I55" i="102"/>
  <c r="E55" i="102"/>
  <c r="Q54" i="102"/>
  <c r="M54" i="102"/>
  <c r="I54" i="102"/>
  <c r="E54" i="102"/>
  <c r="Q53" i="102"/>
  <c r="M53" i="102"/>
  <c r="I53" i="102"/>
  <c r="E53" i="102"/>
  <c r="Q52" i="102"/>
  <c r="M52" i="102"/>
  <c r="I52" i="102"/>
  <c r="E52" i="102"/>
  <c r="C52" i="102"/>
  <c r="H52" i="102"/>
  <c r="N52" i="102"/>
  <c r="C53" i="102"/>
  <c r="H53" i="102"/>
  <c r="N53" i="102"/>
  <c r="C54" i="102"/>
  <c r="H54" i="102"/>
  <c r="N54" i="102"/>
  <c r="C55" i="102"/>
  <c r="H55" i="102"/>
  <c r="N55" i="102"/>
  <c r="Q62" i="102"/>
  <c r="M62" i="102"/>
  <c r="I62" i="102"/>
  <c r="E62" i="102"/>
  <c r="Q61" i="102"/>
  <c r="M61" i="102"/>
  <c r="I61" i="102"/>
  <c r="E61" i="102"/>
  <c r="Q60" i="102"/>
  <c r="M60" i="102"/>
  <c r="I60" i="102"/>
  <c r="E60" i="102"/>
  <c r="Q59" i="102"/>
  <c r="M59" i="102"/>
  <c r="N62" i="102"/>
  <c r="H62" i="102"/>
  <c r="C62" i="102"/>
  <c r="N61" i="102"/>
  <c r="H61" i="102"/>
  <c r="C61" i="102"/>
  <c r="N60" i="102"/>
  <c r="H60" i="102"/>
  <c r="C60" i="102"/>
  <c r="N59" i="102"/>
  <c r="I59" i="102"/>
  <c r="E59" i="102"/>
  <c r="C59" i="102"/>
  <c r="H59" i="102"/>
  <c r="O59" i="102"/>
  <c r="D60" i="102"/>
  <c r="K60" i="102"/>
  <c r="R60" i="102"/>
  <c r="G61" i="102"/>
  <c r="O61" i="102"/>
  <c r="D62" i="102"/>
  <c r="K62" i="102"/>
  <c r="R62" i="102"/>
  <c r="K9" i="81"/>
  <c r="E9" i="81"/>
  <c r="G9" i="81"/>
  <c r="J9" i="81"/>
  <c r="C9" i="81"/>
  <c r="D10" i="81"/>
  <c r="H11" i="81"/>
  <c r="K13" i="81"/>
  <c r="E13" i="81"/>
  <c r="G13" i="81"/>
  <c r="J13" i="81"/>
  <c r="C13" i="81"/>
  <c r="D14" i="81"/>
  <c r="H15" i="81"/>
  <c r="K17" i="81"/>
  <c r="E17" i="81"/>
  <c r="G17" i="81"/>
  <c r="J17" i="81"/>
  <c r="C17" i="81"/>
  <c r="D18" i="81"/>
  <c r="H19" i="81"/>
  <c r="K21" i="81"/>
  <c r="E21" i="81"/>
  <c r="G21" i="81"/>
  <c r="J21" i="81"/>
  <c r="C21" i="81"/>
  <c r="D22" i="81"/>
  <c r="H23" i="81"/>
  <c r="K25" i="81"/>
  <c r="E25" i="81"/>
  <c r="G25" i="81"/>
  <c r="J25" i="81"/>
  <c r="C25" i="81"/>
  <c r="D26" i="81"/>
  <c r="H27" i="81"/>
  <c r="K29" i="81"/>
  <c r="E29" i="81"/>
  <c r="G29" i="81"/>
  <c r="J29" i="81"/>
  <c r="C29" i="81"/>
  <c r="D30" i="81"/>
  <c r="H31" i="81"/>
  <c r="K33" i="81"/>
  <c r="E33" i="81"/>
  <c r="G33" i="81"/>
  <c r="J33" i="81"/>
  <c r="C33" i="81"/>
  <c r="D34" i="81"/>
  <c r="H39" i="81"/>
  <c r="J40" i="81"/>
  <c r="H43" i="81"/>
  <c r="J44" i="81"/>
  <c r="H47" i="81"/>
  <c r="K8" i="81"/>
  <c r="E8" i="81"/>
  <c r="J8" i="81"/>
  <c r="C8" i="81"/>
  <c r="G8" i="81"/>
  <c r="K12" i="81"/>
  <c r="E12" i="81"/>
  <c r="J12" i="81"/>
  <c r="C12" i="81"/>
  <c r="G12" i="81"/>
  <c r="K16" i="81"/>
  <c r="E16" i="81"/>
  <c r="J16" i="81"/>
  <c r="C16" i="81"/>
  <c r="G16" i="81"/>
  <c r="K20" i="81"/>
  <c r="E20" i="81"/>
  <c r="J20" i="81"/>
  <c r="C20" i="81"/>
  <c r="G20" i="81"/>
  <c r="K24" i="81"/>
  <c r="E24" i="81"/>
  <c r="J24" i="81"/>
  <c r="C24" i="81"/>
  <c r="G24" i="81"/>
  <c r="K28" i="81"/>
  <c r="E28" i="81"/>
  <c r="J28" i="81"/>
  <c r="C28" i="81"/>
  <c r="G28" i="81"/>
  <c r="K32" i="81"/>
  <c r="E32" i="81"/>
  <c r="J32" i="81"/>
  <c r="C32" i="81"/>
  <c r="G32" i="81"/>
  <c r="J39" i="81"/>
  <c r="J43" i="81"/>
  <c r="J47" i="81"/>
  <c r="G74" i="81"/>
  <c r="G75" i="81"/>
  <c r="C75" i="81"/>
  <c r="G82" i="81"/>
  <c r="G83" i="81"/>
  <c r="C83" i="81"/>
  <c r="G90" i="81"/>
  <c r="G91" i="81"/>
  <c r="C91" i="81"/>
  <c r="G98" i="81"/>
  <c r="G100" i="81"/>
  <c r="G102" i="81"/>
  <c r="G104" i="81"/>
  <c r="G106" i="81"/>
  <c r="G108" i="81"/>
  <c r="G110" i="81"/>
  <c r="G112" i="81"/>
  <c r="G114" i="81"/>
  <c r="G116" i="81"/>
  <c r="G118" i="81"/>
  <c r="G120" i="81"/>
  <c r="G122" i="81"/>
  <c r="G124" i="81"/>
  <c r="H124" i="81" s="1"/>
  <c r="F10" i="107"/>
  <c r="K10" i="107"/>
  <c r="P10" i="107"/>
  <c r="F11" i="107"/>
  <c r="K11" i="107"/>
  <c r="P11" i="107"/>
  <c r="F12" i="107"/>
  <c r="K12" i="107"/>
  <c r="P12" i="107"/>
  <c r="F13" i="107"/>
  <c r="K13" i="107"/>
  <c r="P13" i="107"/>
  <c r="F17" i="107"/>
  <c r="K17" i="107"/>
  <c r="P17" i="107"/>
  <c r="F18" i="107"/>
  <c r="K18" i="107"/>
  <c r="P18" i="107"/>
  <c r="F19" i="107"/>
  <c r="K19" i="107"/>
  <c r="P19" i="107"/>
  <c r="F20" i="107"/>
  <c r="K20" i="107"/>
  <c r="P20" i="107"/>
  <c r="F24" i="107"/>
  <c r="K24" i="107"/>
  <c r="P24" i="107"/>
  <c r="F25" i="107"/>
  <c r="K25" i="107"/>
  <c r="P25" i="107"/>
  <c r="F26" i="107"/>
  <c r="K26" i="107"/>
  <c r="P26" i="107"/>
  <c r="F27" i="107"/>
  <c r="K27" i="107"/>
  <c r="P27" i="107"/>
  <c r="F31" i="107"/>
  <c r="K31" i="107"/>
  <c r="P31" i="107"/>
  <c r="F32" i="107"/>
  <c r="K32" i="107"/>
  <c r="P32" i="107"/>
  <c r="F33" i="107"/>
  <c r="K33" i="107"/>
  <c r="P33" i="107"/>
  <c r="F34" i="107"/>
  <c r="K34" i="107"/>
  <c r="P34" i="107"/>
  <c r="F38" i="107"/>
  <c r="K38" i="107"/>
  <c r="P38" i="107"/>
  <c r="F39" i="107"/>
  <c r="K39" i="107"/>
  <c r="P39" i="107"/>
  <c r="F40" i="107"/>
  <c r="K40" i="107"/>
  <c r="P40" i="107"/>
  <c r="F41" i="107"/>
  <c r="K41" i="107"/>
  <c r="P41" i="107"/>
  <c r="F45" i="107"/>
  <c r="K45" i="107"/>
  <c r="P45" i="107"/>
  <c r="F46" i="107"/>
  <c r="K46" i="107"/>
  <c r="P46" i="107"/>
  <c r="F47" i="107"/>
  <c r="K47" i="107"/>
  <c r="P47" i="107"/>
  <c r="F48" i="107"/>
  <c r="K48" i="107"/>
  <c r="P48" i="107"/>
  <c r="F52" i="107"/>
  <c r="K52" i="107"/>
  <c r="P52" i="107"/>
  <c r="F53" i="107"/>
  <c r="K53" i="107"/>
  <c r="P53" i="107"/>
  <c r="F54" i="107"/>
  <c r="K54" i="107"/>
  <c r="P54" i="107"/>
  <c r="F55" i="107"/>
  <c r="K55" i="107"/>
  <c r="P55" i="107"/>
  <c r="F59" i="107"/>
  <c r="K59" i="107"/>
  <c r="P59" i="107"/>
  <c r="F60" i="107"/>
  <c r="K60" i="107"/>
  <c r="P60" i="107"/>
  <c r="F61" i="107"/>
  <c r="K61" i="107"/>
  <c r="P61" i="107"/>
  <c r="F62" i="107"/>
  <c r="K62" i="107"/>
  <c r="P62" i="107"/>
  <c r="F66" i="107"/>
  <c r="K66" i="107"/>
  <c r="P66" i="107"/>
  <c r="F67" i="107"/>
  <c r="K67" i="107"/>
  <c r="P67" i="107"/>
  <c r="F68" i="107"/>
  <c r="K68" i="107"/>
  <c r="P68" i="107"/>
  <c r="F69" i="107"/>
  <c r="K69" i="107"/>
  <c r="P69" i="107"/>
  <c r="F73" i="107"/>
  <c r="K73" i="107"/>
  <c r="P73" i="107"/>
  <c r="F74" i="107"/>
  <c r="K74" i="107"/>
  <c r="P74" i="107"/>
  <c r="F75" i="107"/>
  <c r="K75" i="107"/>
  <c r="P75" i="107"/>
  <c r="F76" i="107"/>
  <c r="K76" i="107"/>
  <c r="P76" i="107"/>
  <c r="F80" i="107"/>
  <c r="K80" i="107"/>
  <c r="P80" i="107"/>
  <c r="E81" i="107"/>
  <c r="M81" i="107"/>
  <c r="I82" i="107"/>
  <c r="P82" i="107"/>
  <c r="E83" i="107"/>
  <c r="M83" i="107"/>
  <c r="J49" i="81"/>
  <c r="J53" i="81"/>
  <c r="J55" i="81"/>
  <c r="J57" i="81"/>
  <c r="J61" i="81"/>
  <c r="E68" i="81"/>
  <c r="K69" i="81"/>
  <c r="F70" i="81"/>
  <c r="G72" i="81"/>
  <c r="H72" i="81" s="1"/>
  <c r="G73" i="81"/>
  <c r="H73" i="81" s="1"/>
  <c r="C73" i="81"/>
  <c r="E73" i="81" s="1"/>
  <c r="C74" i="81"/>
  <c r="D75" i="81"/>
  <c r="I75" i="81"/>
  <c r="E76" i="81"/>
  <c r="K77" i="81"/>
  <c r="F78" i="81"/>
  <c r="G80" i="81"/>
  <c r="H80" i="81" s="1"/>
  <c r="G81" i="81"/>
  <c r="H81" i="81" s="1"/>
  <c r="C81" i="81"/>
  <c r="E81" i="81" s="1"/>
  <c r="C82" i="81"/>
  <c r="D83" i="81"/>
  <c r="I83" i="81"/>
  <c r="K85" i="81"/>
  <c r="F86" i="81"/>
  <c r="G88" i="81"/>
  <c r="H88" i="81" s="1"/>
  <c r="G89" i="81"/>
  <c r="H89" i="81" s="1"/>
  <c r="C89" i="81"/>
  <c r="E89" i="81" s="1"/>
  <c r="C90" i="81"/>
  <c r="D91" i="81"/>
  <c r="I91" i="81"/>
  <c r="K93" i="81"/>
  <c r="F94" i="81"/>
  <c r="F97" i="81"/>
  <c r="C98" i="81"/>
  <c r="C100" i="81"/>
  <c r="C102" i="81"/>
  <c r="C104" i="81"/>
  <c r="C106" i="81"/>
  <c r="C108" i="81"/>
  <c r="C110" i="81"/>
  <c r="C112" i="81"/>
  <c r="C114" i="81"/>
  <c r="C116" i="81"/>
  <c r="C118" i="81"/>
  <c r="C120" i="81"/>
  <c r="C122" i="81"/>
  <c r="C124" i="81"/>
  <c r="F124" i="81" s="1"/>
  <c r="G10" i="107"/>
  <c r="L10" i="107"/>
  <c r="R10" i="107"/>
  <c r="G11" i="107"/>
  <c r="L11" i="107"/>
  <c r="R11" i="107"/>
  <c r="G12" i="107"/>
  <c r="L12" i="107"/>
  <c r="R12" i="107"/>
  <c r="G13" i="107"/>
  <c r="L13" i="107"/>
  <c r="G17" i="107"/>
  <c r="L17" i="107"/>
  <c r="R17" i="107"/>
  <c r="G18" i="107"/>
  <c r="L18" i="107"/>
  <c r="R18" i="107"/>
  <c r="G19" i="107"/>
  <c r="L19" i="107"/>
  <c r="R19" i="107"/>
  <c r="G20" i="107"/>
  <c r="L20" i="107"/>
  <c r="G24" i="107"/>
  <c r="L24" i="107"/>
  <c r="R24" i="107"/>
  <c r="G25" i="107"/>
  <c r="L25" i="107"/>
  <c r="R25" i="107"/>
  <c r="G26" i="107"/>
  <c r="L26" i="107"/>
  <c r="R26" i="107"/>
  <c r="G27" i="107"/>
  <c r="L27" i="107"/>
  <c r="G31" i="107"/>
  <c r="L31" i="107"/>
  <c r="R31" i="107"/>
  <c r="G32" i="107"/>
  <c r="L32" i="107"/>
  <c r="R32" i="107"/>
  <c r="G33" i="107"/>
  <c r="L33" i="107"/>
  <c r="R33" i="107"/>
  <c r="G34" i="107"/>
  <c r="L34" i="107"/>
  <c r="G38" i="107"/>
  <c r="L38" i="107"/>
  <c r="R38" i="107"/>
  <c r="G39" i="107"/>
  <c r="L39" i="107"/>
  <c r="R39" i="107"/>
  <c r="G40" i="107"/>
  <c r="L40" i="107"/>
  <c r="R40" i="107"/>
  <c r="G41" i="107"/>
  <c r="L41" i="107"/>
  <c r="G45" i="107"/>
  <c r="L45" i="107"/>
  <c r="R45" i="107"/>
  <c r="G46" i="107"/>
  <c r="L46" i="107"/>
  <c r="R46" i="107"/>
  <c r="G47" i="107"/>
  <c r="L47" i="107"/>
  <c r="R47" i="107"/>
  <c r="G48" i="107"/>
  <c r="L48" i="107"/>
  <c r="G52" i="107"/>
  <c r="L52" i="107"/>
  <c r="R52" i="107"/>
  <c r="G53" i="107"/>
  <c r="L53" i="107"/>
  <c r="R53" i="107"/>
  <c r="G54" i="107"/>
  <c r="L54" i="107"/>
  <c r="R54" i="107"/>
  <c r="G55" i="107"/>
  <c r="L55" i="107"/>
  <c r="G59" i="107"/>
  <c r="L59" i="107"/>
  <c r="R59" i="107"/>
  <c r="G60" i="107"/>
  <c r="L60" i="107"/>
  <c r="R60" i="107"/>
  <c r="G61" i="107"/>
  <c r="L61" i="107"/>
  <c r="R61" i="107"/>
  <c r="G62" i="107"/>
  <c r="L62" i="107"/>
  <c r="G66" i="107"/>
  <c r="L66" i="107"/>
  <c r="R66" i="107"/>
  <c r="G67" i="107"/>
  <c r="L67" i="107"/>
  <c r="R67" i="107"/>
  <c r="G68" i="107"/>
  <c r="L68" i="107"/>
  <c r="R68" i="107"/>
  <c r="G69" i="107"/>
  <c r="L69" i="107"/>
  <c r="G73" i="107"/>
  <c r="L73" i="107"/>
  <c r="R73" i="107"/>
  <c r="G74" i="107"/>
  <c r="L74" i="107"/>
  <c r="R74" i="107"/>
  <c r="G75" i="107"/>
  <c r="L75" i="107"/>
  <c r="R75" i="107"/>
  <c r="G76" i="107"/>
  <c r="L76" i="107"/>
  <c r="G80" i="107"/>
  <c r="L80" i="107"/>
  <c r="R80" i="107"/>
  <c r="H81" i="107"/>
  <c r="N81" i="107"/>
  <c r="D82" i="107"/>
  <c r="J82" i="107"/>
  <c r="R82" i="107"/>
  <c r="H83" i="107"/>
  <c r="W31" i="102"/>
  <c r="AA31" i="102"/>
  <c r="AE31" i="102"/>
  <c r="AI31" i="102"/>
  <c r="W32" i="102"/>
  <c r="AA32" i="102"/>
  <c r="AE32" i="102"/>
  <c r="AI32" i="102"/>
  <c r="W33" i="102"/>
  <c r="AA33" i="102"/>
  <c r="AE33" i="102"/>
  <c r="AI33" i="102"/>
  <c r="W34" i="102"/>
  <c r="AA34" i="102"/>
  <c r="AE34" i="102"/>
  <c r="W38" i="102"/>
  <c r="AA38" i="102"/>
  <c r="AE38" i="102"/>
  <c r="AI38" i="102"/>
  <c r="W39" i="102"/>
  <c r="AA39" i="102"/>
  <c r="AE39" i="102"/>
  <c r="AI39" i="102"/>
  <c r="W40" i="102"/>
  <c r="AA40" i="102"/>
  <c r="AE40" i="102"/>
  <c r="AI40" i="102"/>
  <c r="W41" i="102"/>
  <c r="AA41" i="102"/>
  <c r="AE41" i="102"/>
  <c r="W45" i="102"/>
  <c r="AA45" i="102"/>
  <c r="AE45" i="102"/>
  <c r="AI45" i="102"/>
  <c r="W46" i="102"/>
  <c r="AA46" i="102"/>
  <c r="AE46" i="102"/>
  <c r="AI46" i="102"/>
  <c r="W47" i="102"/>
  <c r="AA47" i="102"/>
  <c r="AE47" i="102"/>
  <c r="AI47" i="102"/>
  <c r="W48" i="102"/>
  <c r="AA48" i="102"/>
  <c r="AE48" i="102"/>
  <c r="W52" i="102"/>
  <c r="AA52" i="102"/>
  <c r="AE52" i="102"/>
  <c r="AI52" i="102"/>
  <c r="W53" i="102"/>
  <c r="AA53" i="102"/>
  <c r="AE53" i="102"/>
  <c r="AI53" i="102"/>
  <c r="W54" i="102"/>
  <c r="AA54" i="102"/>
  <c r="AE54" i="102"/>
  <c r="AI54" i="102"/>
  <c r="W55" i="102"/>
  <c r="AA55" i="102"/>
  <c r="AE55" i="102"/>
  <c r="AI62" i="102"/>
  <c r="AE62" i="102"/>
  <c r="AA62" i="102"/>
  <c r="W62" i="102"/>
  <c r="AI61" i="102"/>
  <c r="AE61" i="102"/>
  <c r="AA61" i="102"/>
  <c r="W61" i="102"/>
  <c r="AI60" i="102"/>
  <c r="AE60" i="102"/>
  <c r="AA60" i="102"/>
  <c r="W60" i="102"/>
  <c r="AI59" i="102"/>
  <c r="AE59" i="102"/>
  <c r="AA59" i="102"/>
  <c r="W59" i="102"/>
  <c r="U59" i="102"/>
  <c r="Z59" i="102"/>
  <c r="AF59" i="102"/>
  <c r="U60" i="102"/>
  <c r="Z60" i="102"/>
  <c r="AF60" i="102"/>
  <c r="U61" i="102"/>
  <c r="Z61" i="102"/>
  <c r="AF61" i="102"/>
  <c r="U62" i="102"/>
  <c r="Z62" i="102"/>
  <c r="AF62" i="102"/>
  <c r="Q69" i="102"/>
  <c r="M69" i="102"/>
  <c r="I69" i="102"/>
  <c r="E69" i="102"/>
  <c r="Q68" i="102"/>
  <c r="M68" i="102"/>
  <c r="I68" i="102"/>
  <c r="E68" i="102"/>
  <c r="Q67" i="102"/>
  <c r="M67" i="102"/>
  <c r="I67" i="102"/>
  <c r="E67" i="102"/>
  <c r="Q66" i="102"/>
  <c r="M66" i="102"/>
  <c r="I66" i="102"/>
  <c r="E66" i="102"/>
  <c r="C66" i="102"/>
  <c r="H66" i="102"/>
  <c r="N66" i="102"/>
  <c r="C67" i="102"/>
  <c r="H67" i="102"/>
  <c r="N67" i="102"/>
  <c r="C68" i="102"/>
  <c r="H68" i="102"/>
  <c r="N68" i="102"/>
  <c r="C69" i="102"/>
  <c r="H69" i="102"/>
  <c r="N69" i="102"/>
  <c r="Q104" i="102"/>
  <c r="M104" i="102"/>
  <c r="I104" i="102"/>
  <c r="E104" i="102"/>
  <c r="Q103" i="102"/>
  <c r="M103" i="102"/>
  <c r="I103" i="102"/>
  <c r="E103" i="102"/>
  <c r="Q102" i="102"/>
  <c r="M102" i="102"/>
  <c r="I102" i="102"/>
  <c r="E102" i="102"/>
  <c r="Q101" i="102"/>
  <c r="M101" i="102"/>
  <c r="I101" i="102"/>
  <c r="E101" i="102"/>
  <c r="Q76" i="102"/>
  <c r="M76" i="102"/>
  <c r="I76" i="102"/>
  <c r="E76" i="102"/>
  <c r="Q75" i="102"/>
  <c r="M75" i="102"/>
  <c r="I75" i="102"/>
  <c r="E75" i="102"/>
  <c r="Q74" i="102"/>
  <c r="M74" i="102"/>
  <c r="I74" i="102"/>
  <c r="E74" i="102"/>
  <c r="Q73" i="102"/>
  <c r="M73" i="102"/>
  <c r="I73" i="102"/>
  <c r="E73" i="102"/>
  <c r="C73" i="102"/>
  <c r="H73" i="102"/>
  <c r="N73" i="102"/>
  <c r="C74" i="102"/>
  <c r="H74" i="102"/>
  <c r="N74" i="102"/>
  <c r="C75" i="102"/>
  <c r="H75" i="102"/>
  <c r="N75" i="102"/>
  <c r="C76" i="102"/>
  <c r="H76" i="102"/>
  <c r="N76" i="102"/>
  <c r="Q83" i="102"/>
  <c r="M83" i="102"/>
  <c r="I83" i="102"/>
  <c r="E83" i="102"/>
  <c r="Q82" i="102"/>
  <c r="M82" i="102"/>
  <c r="I82" i="102"/>
  <c r="E82" i="102"/>
  <c r="Q81" i="102"/>
  <c r="M81" i="102"/>
  <c r="I81" i="102"/>
  <c r="E81" i="102"/>
  <c r="Q80" i="102"/>
  <c r="M80" i="102"/>
  <c r="I80" i="102"/>
  <c r="E80" i="102"/>
  <c r="C80" i="102"/>
  <c r="H80" i="102"/>
  <c r="N80" i="102"/>
  <c r="C81" i="102"/>
  <c r="H81" i="102"/>
  <c r="N81" i="102"/>
  <c r="C82" i="102"/>
  <c r="H82" i="102"/>
  <c r="N82" i="102"/>
  <c r="C83" i="102"/>
  <c r="H83" i="102"/>
  <c r="N83" i="102"/>
  <c r="Q90" i="102"/>
  <c r="M90" i="102"/>
  <c r="I90" i="102"/>
  <c r="E90" i="102"/>
  <c r="Q89" i="102"/>
  <c r="M89" i="102"/>
  <c r="I89" i="102"/>
  <c r="E89" i="102"/>
  <c r="Q88" i="102"/>
  <c r="M88" i="102"/>
  <c r="I88" i="102"/>
  <c r="E88" i="102"/>
  <c r="Q87" i="102"/>
  <c r="M87" i="102"/>
  <c r="I87" i="102"/>
  <c r="E87" i="102"/>
  <c r="C87" i="102"/>
  <c r="H87" i="102"/>
  <c r="N87" i="102"/>
  <c r="C88" i="102"/>
  <c r="H88" i="102"/>
  <c r="N88" i="102"/>
  <c r="C89" i="102"/>
  <c r="H89" i="102"/>
  <c r="N89" i="102"/>
  <c r="C90" i="102"/>
  <c r="H90" i="102"/>
  <c r="N90" i="102"/>
  <c r="Q97" i="102"/>
  <c r="M97" i="102"/>
  <c r="I97" i="102"/>
  <c r="E97" i="102"/>
  <c r="Q96" i="102"/>
  <c r="M96" i="102"/>
  <c r="I96" i="102"/>
  <c r="E96" i="102"/>
  <c r="Q95" i="102"/>
  <c r="M95" i="102"/>
  <c r="I95" i="102"/>
  <c r="E95" i="102"/>
  <c r="Q94" i="102"/>
  <c r="M94" i="102"/>
  <c r="I94" i="102"/>
  <c r="E94" i="102"/>
  <c r="C94" i="102"/>
  <c r="H94" i="102"/>
  <c r="N94" i="102"/>
  <c r="C95" i="102"/>
  <c r="H95" i="102"/>
  <c r="N95" i="102"/>
  <c r="C96" i="102"/>
  <c r="H96" i="102"/>
  <c r="N96" i="102"/>
  <c r="C97" i="102"/>
  <c r="H97" i="102"/>
  <c r="N97" i="102"/>
  <c r="C101" i="102"/>
  <c r="H101" i="102"/>
  <c r="N101" i="102"/>
  <c r="C102" i="102"/>
  <c r="H102" i="102"/>
  <c r="N102" i="102"/>
  <c r="C103" i="102"/>
  <c r="H103" i="102"/>
  <c r="N103" i="102"/>
  <c r="C104" i="102"/>
  <c r="H104" i="102"/>
  <c r="N104" i="102"/>
  <c r="Q13" i="105"/>
  <c r="M13" i="105"/>
  <c r="I13" i="105"/>
  <c r="E13" i="105"/>
  <c r="Q12" i="105"/>
  <c r="M12" i="105"/>
  <c r="I12" i="105"/>
  <c r="E12" i="105"/>
  <c r="Q11" i="105"/>
  <c r="M11" i="105"/>
  <c r="I11" i="105"/>
  <c r="E11" i="105"/>
  <c r="Q10" i="105"/>
  <c r="M10" i="105"/>
  <c r="I10" i="105"/>
  <c r="E10" i="105"/>
  <c r="C10" i="105"/>
  <c r="H10" i="105"/>
  <c r="N10" i="105"/>
  <c r="C11" i="105"/>
  <c r="H11" i="105"/>
  <c r="N11" i="105"/>
  <c r="C12" i="105"/>
  <c r="H12" i="105"/>
  <c r="N12" i="105"/>
  <c r="C13" i="105"/>
  <c r="H13" i="105"/>
  <c r="N13" i="105"/>
  <c r="Q20" i="105"/>
  <c r="M20" i="105"/>
  <c r="I20" i="105"/>
  <c r="E20" i="105"/>
  <c r="Q19" i="105"/>
  <c r="M19" i="105"/>
  <c r="I19" i="105"/>
  <c r="E19" i="105"/>
  <c r="Q18" i="105"/>
  <c r="M18" i="105"/>
  <c r="I18" i="105"/>
  <c r="E18" i="105"/>
  <c r="Q17" i="105"/>
  <c r="M17" i="105"/>
  <c r="I17" i="105"/>
  <c r="E17" i="105"/>
  <c r="C17" i="105"/>
  <c r="H17" i="105"/>
  <c r="N17" i="105"/>
  <c r="C18" i="105"/>
  <c r="H18" i="105"/>
  <c r="N18" i="105"/>
  <c r="C19" i="105"/>
  <c r="H19" i="105"/>
  <c r="N19" i="105"/>
  <c r="C20" i="105"/>
  <c r="H20" i="105"/>
  <c r="N20" i="105"/>
  <c r="Q27" i="105"/>
  <c r="M27" i="105"/>
  <c r="I27" i="105"/>
  <c r="E27" i="105"/>
  <c r="Q26" i="105"/>
  <c r="M26" i="105"/>
  <c r="I26" i="105"/>
  <c r="E26" i="105"/>
  <c r="Q25" i="105"/>
  <c r="M25" i="105"/>
  <c r="I25" i="105"/>
  <c r="E25" i="105"/>
  <c r="Q24" i="105"/>
  <c r="M24" i="105"/>
  <c r="I24" i="105"/>
  <c r="E24" i="105"/>
  <c r="C24" i="105"/>
  <c r="H24" i="105"/>
  <c r="N24" i="105"/>
  <c r="C25" i="105"/>
  <c r="H25" i="105"/>
  <c r="N25" i="105"/>
  <c r="C26" i="105"/>
  <c r="H26" i="105"/>
  <c r="N26" i="105"/>
  <c r="C27" i="105"/>
  <c r="H27" i="105"/>
  <c r="N27" i="105"/>
  <c r="Q34" i="105"/>
  <c r="M34" i="105"/>
  <c r="I34" i="105"/>
  <c r="E34" i="105"/>
  <c r="Q33" i="105"/>
  <c r="M33" i="105"/>
  <c r="I33" i="105"/>
  <c r="E33" i="105"/>
  <c r="Q32" i="105"/>
  <c r="M32" i="105"/>
  <c r="I32" i="105"/>
  <c r="E32" i="105"/>
  <c r="Q31" i="105"/>
  <c r="M31" i="105"/>
  <c r="I31" i="105"/>
  <c r="E31" i="105"/>
  <c r="C31" i="105"/>
  <c r="H31" i="105"/>
  <c r="N31" i="105"/>
  <c r="C32" i="105"/>
  <c r="H32" i="105"/>
  <c r="N32" i="105"/>
  <c r="C33" i="105"/>
  <c r="H33" i="105"/>
  <c r="N33" i="105"/>
  <c r="C34" i="105"/>
  <c r="H34" i="105"/>
  <c r="N34" i="105"/>
  <c r="Q41" i="105"/>
  <c r="M41" i="105"/>
  <c r="I41" i="105"/>
  <c r="E41" i="105"/>
  <c r="Q40" i="105"/>
  <c r="M40" i="105"/>
  <c r="I40" i="105"/>
  <c r="E40" i="105"/>
  <c r="Q39" i="105"/>
  <c r="M39" i="105"/>
  <c r="I39" i="105"/>
  <c r="E39" i="105"/>
  <c r="Q38" i="105"/>
  <c r="M38" i="105"/>
  <c r="I38" i="105"/>
  <c r="E38" i="105"/>
  <c r="C38" i="105"/>
  <c r="H38" i="105"/>
  <c r="N38" i="105"/>
  <c r="C39" i="105"/>
  <c r="H39" i="105"/>
  <c r="N39" i="105"/>
  <c r="C40" i="105"/>
  <c r="H40" i="105"/>
  <c r="N40" i="105"/>
  <c r="C41" i="105"/>
  <c r="H41" i="105"/>
  <c r="N41" i="105"/>
  <c r="Q48" i="105"/>
  <c r="M48" i="105"/>
  <c r="I48" i="105"/>
  <c r="E48" i="105"/>
  <c r="Q47" i="105"/>
  <c r="M47" i="105"/>
  <c r="I47" i="105"/>
  <c r="E47" i="105"/>
  <c r="Q46" i="105"/>
  <c r="M46" i="105"/>
  <c r="I46" i="105"/>
  <c r="E46" i="105"/>
  <c r="Q45" i="105"/>
  <c r="M45" i="105"/>
  <c r="I45" i="105"/>
  <c r="E45" i="105"/>
  <c r="C45" i="105"/>
  <c r="H45" i="105"/>
  <c r="N45" i="105"/>
  <c r="C46" i="105"/>
  <c r="H46" i="105"/>
  <c r="N46" i="105"/>
  <c r="C47" i="105"/>
  <c r="H47" i="105"/>
  <c r="N47" i="105"/>
  <c r="C48" i="105"/>
  <c r="H48" i="105"/>
  <c r="N48" i="105"/>
  <c r="Q55" i="105"/>
  <c r="M55" i="105"/>
  <c r="I55" i="105"/>
  <c r="E55" i="105"/>
  <c r="Q54" i="105"/>
  <c r="M54" i="105"/>
  <c r="I54" i="105"/>
  <c r="E54" i="105"/>
  <c r="Q53" i="105"/>
  <c r="M53" i="105"/>
  <c r="I53" i="105"/>
  <c r="E53" i="105"/>
  <c r="Q52" i="105"/>
  <c r="M52" i="105"/>
  <c r="I52" i="105"/>
  <c r="E52" i="105"/>
  <c r="C52" i="105"/>
  <c r="H52" i="105"/>
  <c r="N52" i="105"/>
  <c r="C53" i="105"/>
  <c r="H53" i="105"/>
  <c r="N53" i="105"/>
  <c r="C54" i="105"/>
  <c r="H54" i="105"/>
  <c r="N54" i="105"/>
  <c r="C55" i="105"/>
  <c r="H55" i="105"/>
  <c r="N55" i="105"/>
  <c r="Q62" i="105"/>
  <c r="M62" i="105"/>
  <c r="I62" i="105"/>
  <c r="E62" i="105"/>
  <c r="Q61" i="105"/>
  <c r="M61" i="105"/>
  <c r="I61" i="105"/>
  <c r="E61" i="105"/>
  <c r="Q60" i="105"/>
  <c r="M60" i="105"/>
  <c r="I60" i="105"/>
  <c r="E60" i="105"/>
  <c r="Q59" i="105"/>
  <c r="M59" i="105"/>
  <c r="I59" i="105"/>
  <c r="E59" i="105"/>
  <c r="C59" i="105"/>
  <c r="H59" i="105"/>
  <c r="N59" i="105"/>
  <c r="C60" i="105"/>
  <c r="H60" i="105"/>
  <c r="N60" i="105"/>
  <c r="C61" i="105"/>
  <c r="H61" i="105"/>
  <c r="N61" i="105"/>
  <c r="C62" i="105"/>
  <c r="H62" i="105"/>
  <c r="N62" i="105"/>
  <c r="Q69" i="105"/>
  <c r="M69" i="105"/>
  <c r="I69" i="105"/>
  <c r="E69" i="105"/>
  <c r="Q68" i="105"/>
  <c r="M68" i="105"/>
  <c r="I68" i="105"/>
  <c r="E68" i="105"/>
  <c r="Q67" i="105"/>
  <c r="M67" i="105"/>
  <c r="I67" i="105"/>
  <c r="E67" i="105"/>
  <c r="Q66" i="105"/>
  <c r="M66" i="105"/>
  <c r="I66" i="105"/>
  <c r="E66" i="105"/>
  <c r="C66" i="105"/>
  <c r="H66" i="105"/>
  <c r="N66" i="105"/>
  <c r="C67" i="105"/>
  <c r="H67" i="105"/>
  <c r="N67" i="105"/>
  <c r="C68" i="105"/>
  <c r="H68" i="105"/>
  <c r="N68" i="105"/>
  <c r="C69" i="105"/>
  <c r="H69" i="105"/>
  <c r="N69" i="105"/>
  <c r="Q76" i="105"/>
  <c r="M76" i="105"/>
  <c r="I76" i="105"/>
  <c r="E76" i="105"/>
  <c r="Q75" i="105"/>
  <c r="M75" i="105"/>
  <c r="I75" i="105"/>
  <c r="E75" i="105"/>
  <c r="Q74" i="105"/>
  <c r="M74" i="105"/>
  <c r="I74" i="105"/>
  <c r="E74" i="105"/>
  <c r="Q73" i="105"/>
  <c r="M73" i="105"/>
  <c r="I73" i="105"/>
  <c r="E73" i="105"/>
  <c r="C73" i="105"/>
  <c r="H73" i="105"/>
  <c r="N73" i="105"/>
  <c r="C74" i="105"/>
  <c r="H74" i="105"/>
  <c r="N74" i="105"/>
  <c r="C75" i="105"/>
  <c r="H75" i="105"/>
  <c r="N75" i="105"/>
  <c r="C76" i="105"/>
  <c r="H76" i="105"/>
  <c r="N76" i="105"/>
  <c r="Q83" i="105"/>
  <c r="M83" i="105"/>
  <c r="I83" i="105"/>
  <c r="E83" i="105"/>
  <c r="Q82" i="105"/>
  <c r="M82" i="105"/>
  <c r="I82" i="105"/>
  <c r="E82" i="105"/>
  <c r="Q81" i="105"/>
  <c r="M81" i="105"/>
  <c r="I81" i="105"/>
  <c r="E81" i="105"/>
  <c r="Q80" i="105"/>
  <c r="M80" i="105"/>
  <c r="I80" i="105"/>
  <c r="E80" i="105"/>
  <c r="C80" i="105"/>
  <c r="H80" i="105"/>
  <c r="N80" i="105"/>
  <c r="C81" i="105"/>
  <c r="H81" i="105"/>
  <c r="N81" i="105"/>
  <c r="C82" i="105"/>
  <c r="H82" i="105"/>
  <c r="N82" i="105"/>
  <c r="C83" i="105"/>
  <c r="H83" i="105"/>
  <c r="N83" i="105"/>
  <c r="Q90" i="105"/>
  <c r="M90" i="105"/>
  <c r="I90" i="105"/>
  <c r="E90" i="105"/>
  <c r="Q89" i="105"/>
  <c r="M89" i="105"/>
  <c r="I89" i="105"/>
  <c r="E89" i="105"/>
  <c r="Q88" i="105"/>
  <c r="M88" i="105"/>
  <c r="I88" i="105"/>
  <c r="E88" i="105"/>
  <c r="Q87" i="105"/>
  <c r="M87" i="105"/>
  <c r="I87" i="105"/>
  <c r="E87" i="105"/>
  <c r="C87" i="105"/>
  <c r="H87" i="105"/>
  <c r="N87" i="105"/>
  <c r="C88" i="105"/>
  <c r="H88" i="105"/>
  <c r="N88" i="105"/>
  <c r="C89" i="105"/>
  <c r="H89" i="105"/>
  <c r="N89" i="105"/>
  <c r="C90" i="105"/>
  <c r="H90" i="105"/>
  <c r="N90" i="105"/>
  <c r="Q97" i="105"/>
  <c r="M97" i="105"/>
  <c r="I97" i="105"/>
  <c r="E97" i="105"/>
  <c r="Q96" i="105"/>
  <c r="M96" i="105"/>
  <c r="I96" i="105"/>
  <c r="E96" i="105"/>
  <c r="Q95" i="105"/>
  <c r="M95" i="105"/>
  <c r="I95" i="105"/>
  <c r="E95" i="105"/>
  <c r="Q94" i="105"/>
  <c r="M94" i="105"/>
  <c r="I94" i="105"/>
  <c r="E94" i="105"/>
  <c r="C94" i="105"/>
  <c r="H94" i="105"/>
  <c r="N94" i="105"/>
  <c r="C95" i="105"/>
  <c r="H95" i="105"/>
  <c r="N95" i="105"/>
  <c r="C96" i="105"/>
  <c r="H96" i="105"/>
  <c r="N96" i="105"/>
  <c r="C97" i="105"/>
  <c r="H97" i="105"/>
  <c r="N97" i="105"/>
  <c r="Q104" i="105"/>
  <c r="M104" i="105"/>
  <c r="I104" i="105"/>
  <c r="E104" i="105"/>
  <c r="Q103" i="105"/>
  <c r="M103" i="105"/>
  <c r="I103" i="105"/>
  <c r="E103" i="105"/>
  <c r="Q102" i="105"/>
  <c r="M102" i="105"/>
  <c r="I102" i="105"/>
  <c r="E102" i="105"/>
  <c r="Q101" i="105"/>
  <c r="M101" i="105"/>
  <c r="I101" i="105"/>
  <c r="E101" i="105"/>
  <c r="C101" i="105"/>
  <c r="H101" i="105"/>
  <c r="N101" i="105"/>
  <c r="C102" i="105"/>
  <c r="H102" i="105"/>
  <c r="N102" i="105"/>
  <c r="C103" i="105"/>
  <c r="H103" i="105"/>
  <c r="N103" i="105"/>
  <c r="C104" i="105"/>
  <c r="H104" i="105"/>
  <c r="N104" i="105"/>
  <c r="G70" i="81"/>
  <c r="G71" i="81"/>
  <c r="H71" i="81" s="1"/>
  <c r="C71" i="81"/>
  <c r="D74" i="81"/>
  <c r="J74" i="81"/>
  <c r="K74" i="81" s="1"/>
  <c r="J75" i="81"/>
  <c r="G78" i="81"/>
  <c r="G79" i="81"/>
  <c r="H79" i="81" s="1"/>
  <c r="C79" i="81"/>
  <c r="D82" i="81"/>
  <c r="J82" i="81"/>
  <c r="K82" i="81" s="1"/>
  <c r="J83" i="81"/>
  <c r="G86" i="81"/>
  <c r="G87" i="81"/>
  <c r="H87" i="81" s="1"/>
  <c r="C87" i="81"/>
  <c r="D90" i="81"/>
  <c r="J90" i="81"/>
  <c r="K90" i="81" s="1"/>
  <c r="J91" i="81"/>
  <c r="G94" i="81"/>
  <c r="E98" i="81"/>
  <c r="G99" i="81"/>
  <c r="H99" i="81" s="1"/>
  <c r="E100" i="81"/>
  <c r="G101" i="81"/>
  <c r="H101" i="81" s="1"/>
  <c r="E102" i="81"/>
  <c r="G103" i="81"/>
  <c r="H103" i="81" s="1"/>
  <c r="E104" i="81"/>
  <c r="G105" i="81"/>
  <c r="H105" i="81" s="1"/>
  <c r="E106" i="81"/>
  <c r="G107" i="81"/>
  <c r="H107" i="81" s="1"/>
  <c r="E108" i="81"/>
  <c r="G109" i="81"/>
  <c r="H109" i="81" s="1"/>
  <c r="E110" i="81"/>
  <c r="G111" i="81"/>
  <c r="H111" i="81" s="1"/>
  <c r="E112" i="81"/>
  <c r="G113" i="81"/>
  <c r="E114" i="81"/>
  <c r="G115" i="81"/>
  <c r="H115" i="81" s="1"/>
  <c r="E116" i="81"/>
  <c r="G117" i="81"/>
  <c r="H117" i="81" s="1"/>
  <c r="E118" i="81"/>
  <c r="G119" i="81"/>
  <c r="H119" i="81" s="1"/>
  <c r="E120" i="81"/>
  <c r="G121" i="81"/>
  <c r="E122" i="81"/>
  <c r="G123" i="81"/>
  <c r="H123" i="81" s="1"/>
  <c r="Q13" i="107"/>
  <c r="M13" i="107"/>
  <c r="I13" i="107"/>
  <c r="E13" i="107"/>
  <c r="Q12" i="107"/>
  <c r="M12" i="107"/>
  <c r="I12" i="107"/>
  <c r="E12" i="107"/>
  <c r="Q11" i="107"/>
  <c r="M11" i="107"/>
  <c r="I11" i="107"/>
  <c r="E11" i="107"/>
  <c r="Q10" i="107"/>
  <c r="M10" i="107"/>
  <c r="I10" i="107"/>
  <c r="E10" i="107"/>
  <c r="C10" i="107"/>
  <c r="H10" i="107"/>
  <c r="N10" i="107"/>
  <c r="C11" i="107"/>
  <c r="H11" i="107"/>
  <c r="N11" i="107"/>
  <c r="C12" i="107"/>
  <c r="H12" i="107"/>
  <c r="N12" i="107"/>
  <c r="C13" i="107"/>
  <c r="H13" i="107"/>
  <c r="N13" i="107"/>
  <c r="Q20" i="107"/>
  <c r="M20" i="107"/>
  <c r="I20" i="107"/>
  <c r="E20" i="107"/>
  <c r="Q19" i="107"/>
  <c r="M19" i="107"/>
  <c r="I19" i="107"/>
  <c r="E19" i="107"/>
  <c r="Q18" i="107"/>
  <c r="M18" i="107"/>
  <c r="I18" i="107"/>
  <c r="E18" i="107"/>
  <c r="Q17" i="107"/>
  <c r="M17" i="107"/>
  <c r="I17" i="107"/>
  <c r="E17" i="107"/>
  <c r="C17" i="107"/>
  <c r="H17" i="107"/>
  <c r="N17" i="107"/>
  <c r="C18" i="107"/>
  <c r="H18" i="107"/>
  <c r="N18" i="107"/>
  <c r="C19" i="107"/>
  <c r="H19" i="107"/>
  <c r="N19" i="107"/>
  <c r="C20" i="107"/>
  <c r="H20" i="107"/>
  <c r="N20" i="107"/>
  <c r="Q27" i="107"/>
  <c r="M27" i="107"/>
  <c r="I27" i="107"/>
  <c r="E27" i="107"/>
  <c r="Q26" i="107"/>
  <c r="M26" i="107"/>
  <c r="I26" i="107"/>
  <c r="E26" i="107"/>
  <c r="Q25" i="107"/>
  <c r="M25" i="107"/>
  <c r="I25" i="107"/>
  <c r="E25" i="107"/>
  <c r="Q24" i="107"/>
  <c r="M24" i="107"/>
  <c r="I24" i="107"/>
  <c r="E24" i="107"/>
  <c r="C24" i="107"/>
  <c r="H24" i="107"/>
  <c r="N24" i="107"/>
  <c r="C25" i="107"/>
  <c r="H25" i="107"/>
  <c r="N25" i="107"/>
  <c r="C26" i="107"/>
  <c r="H26" i="107"/>
  <c r="N26" i="107"/>
  <c r="C27" i="107"/>
  <c r="H27" i="107"/>
  <c r="N27" i="107"/>
  <c r="Q34" i="107"/>
  <c r="M34" i="107"/>
  <c r="I34" i="107"/>
  <c r="E34" i="107"/>
  <c r="Q33" i="107"/>
  <c r="M33" i="107"/>
  <c r="I33" i="107"/>
  <c r="E33" i="107"/>
  <c r="Q32" i="107"/>
  <c r="M32" i="107"/>
  <c r="I32" i="107"/>
  <c r="E32" i="107"/>
  <c r="Q31" i="107"/>
  <c r="M31" i="107"/>
  <c r="I31" i="107"/>
  <c r="E31" i="107"/>
  <c r="C31" i="107"/>
  <c r="H31" i="107"/>
  <c r="N31" i="107"/>
  <c r="C32" i="107"/>
  <c r="H32" i="107"/>
  <c r="N32" i="107"/>
  <c r="C33" i="107"/>
  <c r="H33" i="107"/>
  <c r="N33" i="107"/>
  <c r="C34" i="107"/>
  <c r="H34" i="107"/>
  <c r="N34" i="107"/>
  <c r="Q41" i="107"/>
  <c r="M41" i="107"/>
  <c r="I41" i="107"/>
  <c r="E41" i="107"/>
  <c r="Q40" i="107"/>
  <c r="M40" i="107"/>
  <c r="I40" i="107"/>
  <c r="E40" i="107"/>
  <c r="Q39" i="107"/>
  <c r="M39" i="107"/>
  <c r="I39" i="107"/>
  <c r="E39" i="107"/>
  <c r="Q38" i="107"/>
  <c r="M38" i="107"/>
  <c r="I38" i="107"/>
  <c r="E38" i="107"/>
  <c r="C38" i="107"/>
  <c r="H38" i="107"/>
  <c r="N38" i="107"/>
  <c r="C39" i="107"/>
  <c r="H39" i="107"/>
  <c r="N39" i="107"/>
  <c r="C40" i="107"/>
  <c r="H40" i="107"/>
  <c r="N40" i="107"/>
  <c r="C41" i="107"/>
  <c r="H41" i="107"/>
  <c r="N41" i="107"/>
  <c r="Q48" i="107"/>
  <c r="M48" i="107"/>
  <c r="I48" i="107"/>
  <c r="E48" i="107"/>
  <c r="Q47" i="107"/>
  <c r="M47" i="107"/>
  <c r="I47" i="107"/>
  <c r="E47" i="107"/>
  <c r="Q46" i="107"/>
  <c r="M46" i="107"/>
  <c r="I46" i="107"/>
  <c r="E46" i="107"/>
  <c r="Q45" i="107"/>
  <c r="M45" i="107"/>
  <c r="I45" i="107"/>
  <c r="E45" i="107"/>
  <c r="C45" i="107"/>
  <c r="H45" i="107"/>
  <c r="N45" i="107"/>
  <c r="C46" i="107"/>
  <c r="H46" i="107"/>
  <c r="N46" i="107"/>
  <c r="C47" i="107"/>
  <c r="H47" i="107"/>
  <c r="N47" i="107"/>
  <c r="C48" i="107"/>
  <c r="H48" i="107"/>
  <c r="N48" i="107"/>
  <c r="Q55" i="107"/>
  <c r="M55" i="107"/>
  <c r="I55" i="107"/>
  <c r="E55" i="107"/>
  <c r="Q54" i="107"/>
  <c r="M54" i="107"/>
  <c r="I54" i="107"/>
  <c r="E54" i="107"/>
  <c r="Q53" i="107"/>
  <c r="M53" i="107"/>
  <c r="I53" i="107"/>
  <c r="E53" i="107"/>
  <c r="Q52" i="107"/>
  <c r="M52" i="107"/>
  <c r="I52" i="107"/>
  <c r="E52" i="107"/>
  <c r="C52" i="107"/>
  <c r="H52" i="107"/>
  <c r="N52" i="107"/>
  <c r="C53" i="107"/>
  <c r="H53" i="107"/>
  <c r="N53" i="107"/>
  <c r="C54" i="107"/>
  <c r="H54" i="107"/>
  <c r="N54" i="107"/>
  <c r="C55" i="107"/>
  <c r="H55" i="107"/>
  <c r="N55" i="107"/>
  <c r="Q62" i="107"/>
  <c r="M62" i="107"/>
  <c r="I62" i="107"/>
  <c r="E62" i="107"/>
  <c r="Q61" i="107"/>
  <c r="M61" i="107"/>
  <c r="I61" i="107"/>
  <c r="E61" i="107"/>
  <c r="Q60" i="107"/>
  <c r="M60" i="107"/>
  <c r="I60" i="107"/>
  <c r="E60" i="107"/>
  <c r="Q59" i="107"/>
  <c r="M59" i="107"/>
  <c r="I59" i="107"/>
  <c r="E59" i="107"/>
  <c r="C59" i="107"/>
  <c r="H59" i="107"/>
  <c r="N59" i="107"/>
  <c r="C60" i="107"/>
  <c r="H60" i="107"/>
  <c r="N60" i="107"/>
  <c r="C61" i="107"/>
  <c r="H61" i="107"/>
  <c r="N61" i="107"/>
  <c r="C62" i="107"/>
  <c r="H62" i="107"/>
  <c r="N62" i="107"/>
  <c r="Q69" i="107"/>
  <c r="M69" i="107"/>
  <c r="I69" i="107"/>
  <c r="E69" i="107"/>
  <c r="Q68" i="107"/>
  <c r="M68" i="107"/>
  <c r="I68" i="107"/>
  <c r="E68" i="107"/>
  <c r="Q67" i="107"/>
  <c r="M67" i="107"/>
  <c r="I67" i="107"/>
  <c r="E67" i="107"/>
  <c r="Q66" i="107"/>
  <c r="M66" i="107"/>
  <c r="I66" i="107"/>
  <c r="E66" i="107"/>
  <c r="C66" i="107"/>
  <c r="H66" i="107"/>
  <c r="N66" i="107"/>
  <c r="C67" i="107"/>
  <c r="H67" i="107"/>
  <c r="N67" i="107"/>
  <c r="C68" i="107"/>
  <c r="H68" i="107"/>
  <c r="N68" i="107"/>
  <c r="C69" i="107"/>
  <c r="H69" i="107"/>
  <c r="N69" i="107"/>
  <c r="Q76" i="107"/>
  <c r="M76" i="107"/>
  <c r="I76" i="107"/>
  <c r="E76" i="107"/>
  <c r="Q75" i="107"/>
  <c r="M75" i="107"/>
  <c r="I75" i="107"/>
  <c r="E75" i="107"/>
  <c r="Q74" i="107"/>
  <c r="M74" i="107"/>
  <c r="I74" i="107"/>
  <c r="E74" i="107"/>
  <c r="Q73" i="107"/>
  <c r="M73" i="107"/>
  <c r="I73" i="107"/>
  <c r="E73" i="107"/>
  <c r="C73" i="107"/>
  <c r="H73" i="107"/>
  <c r="N73" i="107"/>
  <c r="C74" i="107"/>
  <c r="H74" i="107"/>
  <c r="N74" i="107"/>
  <c r="C75" i="107"/>
  <c r="H75" i="107"/>
  <c r="N75" i="107"/>
  <c r="C76" i="107"/>
  <c r="H76" i="107"/>
  <c r="N76" i="107"/>
  <c r="O83" i="107"/>
  <c r="K83" i="107"/>
  <c r="G83" i="107"/>
  <c r="C83" i="107"/>
  <c r="O82" i="107"/>
  <c r="K82" i="107"/>
  <c r="G82" i="107"/>
  <c r="C82" i="107"/>
  <c r="O81" i="107"/>
  <c r="K81" i="107"/>
  <c r="G81" i="107"/>
  <c r="C81" i="107"/>
  <c r="Q83" i="107"/>
  <c r="L83" i="107"/>
  <c r="F83" i="107"/>
  <c r="Q82" i="107"/>
  <c r="L82" i="107"/>
  <c r="F82" i="107"/>
  <c r="Q81" i="107"/>
  <c r="L81" i="107"/>
  <c r="F81" i="107"/>
  <c r="Q80" i="107"/>
  <c r="M80" i="107"/>
  <c r="I80" i="107"/>
  <c r="E80" i="107"/>
  <c r="C80" i="107"/>
  <c r="H80" i="107"/>
  <c r="N80" i="107"/>
  <c r="I81" i="107"/>
  <c r="P81" i="107"/>
  <c r="E82" i="107"/>
  <c r="M82" i="107"/>
  <c r="I83" i="107"/>
  <c r="P83" i="107"/>
  <c r="J48" i="81"/>
  <c r="J50" i="81"/>
  <c r="J52" i="81"/>
  <c r="J54" i="81"/>
  <c r="J56" i="81"/>
  <c r="J58" i="81"/>
  <c r="J60" i="81"/>
  <c r="J62" i="81"/>
  <c r="J64" i="81"/>
  <c r="G68" i="81"/>
  <c r="H68" i="81" s="1"/>
  <c r="G69" i="81"/>
  <c r="C69" i="81"/>
  <c r="E69" i="81" s="1"/>
  <c r="C70" i="81"/>
  <c r="E70" i="81" s="1"/>
  <c r="D71" i="81"/>
  <c r="I71" i="81"/>
  <c r="K71" i="81" s="1"/>
  <c r="D72" i="81"/>
  <c r="E72" i="81" s="1"/>
  <c r="J72" i="81"/>
  <c r="K72" i="81" s="1"/>
  <c r="J73" i="81"/>
  <c r="K73" i="81" s="1"/>
  <c r="F74" i="81"/>
  <c r="F75" i="81"/>
  <c r="G76" i="81"/>
  <c r="H76" i="81" s="1"/>
  <c r="G77" i="81"/>
  <c r="H77" i="81" s="1"/>
  <c r="C77" i="81"/>
  <c r="C78" i="81"/>
  <c r="E78" i="81" s="1"/>
  <c r="D79" i="81"/>
  <c r="I79" i="81"/>
  <c r="D80" i="81"/>
  <c r="E80" i="81" s="1"/>
  <c r="J80" i="81"/>
  <c r="K80" i="81" s="1"/>
  <c r="J81" i="81"/>
  <c r="K81" i="81" s="1"/>
  <c r="F82" i="81"/>
  <c r="F83" i="81"/>
  <c r="G84" i="81"/>
  <c r="G85" i="81"/>
  <c r="H85" i="81" s="1"/>
  <c r="C85" i="81"/>
  <c r="E85" i="81" s="1"/>
  <c r="C86" i="81"/>
  <c r="E86" i="81" s="1"/>
  <c r="D87" i="81"/>
  <c r="I87" i="81"/>
  <c r="K87" i="81" s="1"/>
  <c r="D88" i="81"/>
  <c r="E88" i="81" s="1"/>
  <c r="J88" i="81"/>
  <c r="K88" i="81" s="1"/>
  <c r="J89" i="81"/>
  <c r="K89" i="81" s="1"/>
  <c r="F90" i="81"/>
  <c r="F91" i="81"/>
  <c r="G92" i="81"/>
  <c r="H92" i="81" s="1"/>
  <c r="G93" i="81"/>
  <c r="H93" i="81" s="1"/>
  <c r="C93" i="81"/>
  <c r="E93" i="81" s="1"/>
  <c r="C94" i="81"/>
  <c r="E94" i="81" s="1"/>
  <c r="C99" i="81"/>
  <c r="F99" i="81" s="1"/>
  <c r="C101" i="81"/>
  <c r="F101" i="81" s="1"/>
  <c r="C103" i="81"/>
  <c r="F103" i="81" s="1"/>
  <c r="C105" i="81"/>
  <c r="F105" i="81" s="1"/>
  <c r="C107" i="81"/>
  <c r="F107" i="81" s="1"/>
  <c r="C109" i="81"/>
  <c r="F109" i="81" s="1"/>
  <c r="C111" i="81"/>
  <c r="F111" i="81" s="1"/>
  <c r="C113" i="81"/>
  <c r="C115" i="81"/>
  <c r="F115" i="81" s="1"/>
  <c r="C117" i="81"/>
  <c r="F117" i="81" s="1"/>
  <c r="C119" i="81"/>
  <c r="F119" i="81" s="1"/>
  <c r="C121" i="81"/>
  <c r="C123" i="81"/>
  <c r="F123" i="81" s="1"/>
  <c r="P8" i="107"/>
  <c r="D10" i="107"/>
  <c r="J10" i="107"/>
  <c r="O10" i="107"/>
  <c r="D11" i="107"/>
  <c r="J11" i="107"/>
  <c r="O11" i="107"/>
  <c r="D12" i="107"/>
  <c r="J12" i="107"/>
  <c r="O12" i="107"/>
  <c r="D13" i="107"/>
  <c r="J13" i="107"/>
  <c r="O13" i="107"/>
  <c r="P15" i="107"/>
  <c r="D17" i="107"/>
  <c r="J17" i="107"/>
  <c r="O17" i="107"/>
  <c r="D18" i="107"/>
  <c r="J18" i="107"/>
  <c r="O18" i="107"/>
  <c r="D19" i="107"/>
  <c r="J19" i="107"/>
  <c r="O19" i="107"/>
  <c r="D20" i="107"/>
  <c r="J20" i="107"/>
  <c r="O20" i="107"/>
  <c r="P22" i="107"/>
  <c r="D24" i="107"/>
  <c r="J24" i="107"/>
  <c r="O24" i="107"/>
  <c r="D25" i="107"/>
  <c r="J25" i="107"/>
  <c r="O25" i="107"/>
  <c r="D26" i="107"/>
  <c r="J26" i="107"/>
  <c r="O26" i="107"/>
  <c r="D27" i="107"/>
  <c r="J27" i="107"/>
  <c r="O27" i="107"/>
  <c r="P29" i="107"/>
  <c r="D31" i="107"/>
  <c r="J31" i="107"/>
  <c r="O31" i="107"/>
  <c r="D32" i="107"/>
  <c r="J32" i="107"/>
  <c r="O32" i="107"/>
  <c r="D33" i="107"/>
  <c r="J33" i="107"/>
  <c r="O33" i="107"/>
  <c r="D34" i="107"/>
  <c r="J34" i="107"/>
  <c r="O34" i="107"/>
  <c r="P36" i="107"/>
  <c r="D38" i="107"/>
  <c r="J38" i="107"/>
  <c r="O38" i="107"/>
  <c r="D39" i="107"/>
  <c r="J39" i="107"/>
  <c r="O39" i="107"/>
  <c r="D40" i="107"/>
  <c r="J40" i="107"/>
  <c r="O40" i="107"/>
  <c r="D41" i="107"/>
  <c r="J41" i="107"/>
  <c r="O41" i="107"/>
  <c r="P43" i="107"/>
  <c r="D45" i="107"/>
  <c r="J45" i="107"/>
  <c r="O45" i="107"/>
  <c r="D46" i="107"/>
  <c r="J46" i="107"/>
  <c r="O46" i="107"/>
  <c r="D47" i="107"/>
  <c r="J47" i="107"/>
  <c r="O47" i="107"/>
  <c r="D48" i="107"/>
  <c r="J48" i="107"/>
  <c r="O48" i="107"/>
  <c r="P50" i="107"/>
  <c r="D52" i="107"/>
  <c r="J52" i="107"/>
  <c r="O52" i="107"/>
  <c r="D53" i="107"/>
  <c r="J53" i="107"/>
  <c r="O53" i="107"/>
  <c r="D54" i="107"/>
  <c r="J54" i="107"/>
  <c r="O54" i="107"/>
  <c r="D55" i="107"/>
  <c r="J55" i="107"/>
  <c r="O55" i="107"/>
  <c r="P57" i="107"/>
  <c r="D59" i="107"/>
  <c r="J59" i="107"/>
  <c r="O59" i="107"/>
  <c r="D60" i="107"/>
  <c r="J60" i="107"/>
  <c r="O60" i="107"/>
  <c r="D61" i="107"/>
  <c r="J61" i="107"/>
  <c r="O61" i="107"/>
  <c r="D62" i="107"/>
  <c r="J62" i="107"/>
  <c r="O62" i="107"/>
  <c r="P64" i="107"/>
  <c r="D66" i="107"/>
  <c r="J66" i="107"/>
  <c r="O66" i="107"/>
  <c r="D67" i="107"/>
  <c r="J67" i="107"/>
  <c r="O67" i="107"/>
  <c r="D68" i="107"/>
  <c r="J68" i="107"/>
  <c r="O68" i="107"/>
  <c r="D69" i="107"/>
  <c r="J69" i="107"/>
  <c r="O69" i="107"/>
  <c r="P71" i="107"/>
  <c r="D73" i="107"/>
  <c r="J73" i="107"/>
  <c r="O73" i="107"/>
  <c r="D74" i="107"/>
  <c r="J74" i="107"/>
  <c r="O74" i="107"/>
  <c r="D75" i="107"/>
  <c r="J75" i="107"/>
  <c r="O75" i="107"/>
  <c r="D76" i="107"/>
  <c r="J76" i="107"/>
  <c r="O76" i="107"/>
  <c r="P78" i="107"/>
  <c r="D80" i="107"/>
  <c r="J80" i="107"/>
  <c r="O80" i="107"/>
  <c r="D81" i="107"/>
  <c r="J81" i="107"/>
  <c r="R81" i="107"/>
  <c r="H82" i="107"/>
  <c r="N82" i="107"/>
  <c r="D83" i="107"/>
  <c r="J83" i="107"/>
  <c r="R83" i="107"/>
  <c r="W66" i="102"/>
  <c r="AA66" i="102"/>
  <c r="AE66" i="102"/>
  <c r="AI66" i="102"/>
  <c r="W67" i="102"/>
  <c r="AA67" i="102"/>
  <c r="AE67" i="102"/>
  <c r="AI67" i="102"/>
  <c r="W68" i="102"/>
  <c r="AA68" i="102"/>
  <c r="AE68" i="102"/>
  <c r="AI68" i="102"/>
  <c r="W69" i="102"/>
  <c r="AA69" i="102"/>
  <c r="AE69" i="102"/>
  <c r="AI69" i="102"/>
  <c r="W73" i="102"/>
  <c r="AA73" i="102"/>
  <c r="AE73" i="102"/>
  <c r="AI73" i="102"/>
  <c r="W74" i="102"/>
  <c r="AA74" i="102"/>
  <c r="AE74" i="102"/>
  <c r="AI74" i="102"/>
  <c r="W75" i="102"/>
  <c r="AA75" i="102"/>
  <c r="AE75" i="102"/>
  <c r="AI75" i="102"/>
  <c r="W76" i="102"/>
  <c r="AA76" i="102"/>
  <c r="AE76" i="102"/>
  <c r="W80" i="102"/>
  <c r="AA80" i="102"/>
  <c r="AE80" i="102"/>
  <c r="AI80" i="102"/>
  <c r="W81" i="102"/>
  <c r="AA81" i="102"/>
  <c r="AE81" i="102"/>
  <c r="AI81" i="102"/>
  <c r="W82" i="102"/>
  <c r="AA82" i="102"/>
  <c r="AE82" i="102"/>
  <c r="AI82" i="102"/>
  <c r="W83" i="102"/>
  <c r="AA83" i="102"/>
  <c r="AE83" i="102"/>
  <c r="AI83" i="102"/>
  <c r="W87" i="102"/>
  <c r="AA87" i="102"/>
  <c r="AE87" i="102"/>
  <c r="AI87" i="102"/>
  <c r="W88" i="102"/>
  <c r="AA88" i="102"/>
  <c r="AE88" i="102"/>
  <c r="AI88" i="102"/>
  <c r="W89" i="102"/>
  <c r="AA89" i="102"/>
  <c r="AE89" i="102"/>
  <c r="AI89" i="102"/>
  <c r="W90" i="102"/>
  <c r="AA90" i="102"/>
  <c r="AE90" i="102"/>
  <c r="AI90" i="102"/>
  <c r="W94" i="102"/>
  <c r="AA94" i="102"/>
  <c r="AE94" i="102"/>
  <c r="AI94" i="102"/>
  <c r="W95" i="102"/>
  <c r="AA95" i="102"/>
  <c r="AE95" i="102"/>
  <c r="AI95" i="102"/>
  <c r="W96" i="102"/>
  <c r="AA96" i="102"/>
  <c r="AE96" i="102"/>
  <c r="AI96" i="102"/>
  <c r="W97" i="102"/>
  <c r="AA97" i="102"/>
  <c r="AE97" i="102"/>
  <c r="W101" i="102"/>
  <c r="AA101" i="102"/>
  <c r="AE101" i="102"/>
  <c r="AI101" i="102"/>
  <c r="W102" i="102"/>
  <c r="AA102" i="102"/>
  <c r="AE102" i="102"/>
  <c r="AI102" i="102"/>
  <c r="W103" i="102"/>
  <c r="AA103" i="102"/>
  <c r="AE103" i="102"/>
  <c r="AI103" i="102"/>
  <c r="W104" i="102"/>
  <c r="AA104" i="102"/>
  <c r="AE104" i="102"/>
  <c r="W10" i="105"/>
  <c r="AA10" i="105"/>
  <c r="AE10" i="105"/>
  <c r="AI10" i="105"/>
  <c r="W11" i="105"/>
  <c r="AA11" i="105"/>
  <c r="AE11" i="105"/>
  <c r="AI11" i="105"/>
  <c r="W12" i="105"/>
  <c r="AA12" i="105"/>
  <c r="AE12" i="105"/>
  <c r="AI12" i="105"/>
  <c r="W13" i="105"/>
  <c r="AA13" i="105"/>
  <c r="AE13" i="105"/>
  <c r="W17" i="105"/>
  <c r="AA17" i="105"/>
  <c r="AE17" i="105"/>
  <c r="AI17" i="105"/>
  <c r="W18" i="105"/>
  <c r="AA18" i="105"/>
  <c r="AE18" i="105"/>
  <c r="AI18" i="105"/>
  <c r="W19" i="105"/>
  <c r="AA19" i="105"/>
  <c r="AE19" i="105"/>
  <c r="AI19" i="105"/>
  <c r="W20" i="105"/>
  <c r="AA20" i="105"/>
  <c r="AE20" i="105"/>
  <c r="W24" i="105"/>
  <c r="AA24" i="105"/>
  <c r="AE24" i="105"/>
  <c r="AI24" i="105"/>
  <c r="W25" i="105"/>
  <c r="AA25" i="105"/>
  <c r="AE25" i="105"/>
  <c r="AI25" i="105"/>
  <c r="W26" i="105"/>
  <c r="AA26" i="105"/>
  <c r="AE26" i="105"/>
  <c r="AI26" i="105"/>
  <c r="W27" i="105"/>
  <c r="AA27" i="105"/>
  <c r="AE27" i="105"/>
  <c r="W31" i="105"/>
  <c r="AA31" i="105"/>
  <c r="AE31" i="105"/>
  <c r="AI31" i="105"/>
  <c r="W32" i="105"/>
  <c r="AA32" i="105"/>
  <c r="AE32" i="105"/>
  <c r="AI32" i="105"/>
  <c r="W33" i="105"/>
  <c r="AA33" i="105"/>
  <c r="AE33" i="105"/>
  <c r="AI33" i="105"/>
  <c r="W34" i="105"/>
  <c r="AA34" i="105"/>
  <c r="AE34" i="105"/>
  <c r="W38" i="105"/>
  <c r="AA38" i="105"/>
  <c r="AE38" i="105"/>
  <c r="AI38" i="105"/>
  <c r="W39" i="105"/>
  <c r="AA39" i="105"/>
  <c r="AE39" i="105"/>
  <c r="AI39" i="105"/>
  <c r="W40" i="105"/>
  <c r="AA40" i="105"/>
  <c r="AE40" i="105"/>
  <c r="AI40" i="105"/>
  <c r="W41" i="105"/>
  <c r="AA41" i="105"/>
  <c r="AE41" i="105"/>
  <c r="W45" i="105"/>
  <c r="AA45" i="105"/>
  <c r="AE45" i="105"/>
  <c r="AI45" i="105"/>
  <c r="W46" i="105"/>
  <c r="AA46" i="105"/>
  <c r="AE46" i="105"/>
  <c r="AI46" i="105"/>
  <c r="W47" i="105"/>
  <c r="AA47" i="105"/>
  <c r="AE47" i="105"/>
  <c r="AI47" i="105"/>
  <c r="W48" i="105"/>
  <c r="AA48" i="105"/>
  <c r="AE48" i="105"/>
  <c r="W52" i="105"/>
  <c r="AA52" i="105"/>
  <c r="AE52" i="105"/>
  <c r="AI52" i="105"/>
  <c r="W53" i="105"/>
  <c r="AA53" i="105"/>
  <c r="AE53" i="105"/>
  <c r="AI53" i="105"/>
  <c r="W54" i="105"/>
  <c r="AA54" i="105"/>
  <c r="AE54" i="105"/>
  <c r="AI54" i="105"/>
  <c r="W55" i="105"/>
  <c r="AA55" i="105"/>
  <c r="AE55" i="105"/>
  <c r="W59" i="105"/>
  <c r="AA59" i="105"/>
  <c r="AE59" i="105"/>
  <c r="AI59" i="105"/>
  <c r="W60" i="105"/>
  <c r="AA60" i="105"/>
  <c r="AE60" i="105"/>
  <c r="AI60" i="105"/>
  <c r="W61" i="105"/>
  <c r="AA61" i="105"/>
  <c r="AE61" i="105"/>
  <c r="AI61" i="105"/>
  <c r="W62" i="105"/>
  <c r="AA62" i="105"/>
  <c r="AE62" i="105"/>
  <c r="W66" i="105"/>
  <c r="AA66" i="105"/>
  <c r="AE66" i="105"/>
  <c r="AI66" i="105"/>
  <c r="W67" i="105"/>
  <c r="AA67" i="105"/>
  <c r="AE67" i="105"/>
  <c r="AI67" i="105"/>
  <c r="W68" i="105"/>
  <c r="AA68" i="105"/>
  <c r="AE68" i="105"/>
  <c r="AI68" i="105"/>
  <c r="W69" i="105"/>
  <c r="AA69" i="105"/>
  <c r="AE69" i="105"/>
  <c r="W73" i="105"/>
  <c r="AA73" i="105"/>
  <c r="AE73" i="105"/>
  <c r="AI73" i="105"/>
  <c r="W74" i="105"/>
  <c r="AA74" i="105"/>
  <c r="AE74" i="105"/>
  <c r="AI74" i="105"/>
  <c r="W75" i="105"/>
  <c r="AA75" i="105"/>
  <c r="AE75" i="105"/>
  <c r="AI75" i="105"/>
  <c r="W76" i="105"/>
  <c r="AA76" i="105"/>
  <c r="AE76" i="105"/>
  <c r="W80" i="105"/>
  <c r="AA80" i="105"/>
  <c r="AE80" i="105"/>
  <c r="AI80" i="105"/>
  <c r="W81" i="105"/>
  <c r="AA81" i="105"/>
  <c r="AE81" i="105"/>
  <c r="AI81" i="105"/>
  <c r="W82" i="105"/>
  <c r="AA82" i="105"/>
  <c r="AE82" i="105"/>
  <c r="AI82" i="105"/>
  <c r="W83" i="105"/>
  <c r="AA83" i="105"/>
  <c r="AE83" i="105"/>
  <c r="W87" i="105"/>
  <c r="AA87" i="105"/>
  <c r="AE87" i="105"/>
  <c r="AI87" i="105"/>
  <c r="W88" i="105"/>
  <c r="AA88" i="105"/>
  <c r="AE88" i="105"/>
  <c r="AI88" i="105"/>
  <c r="W89" i="105"/>
  <c r="AA89" i="105"/>
  <c r="AE89" i="105"/>
  <c r="AI89" i="105"/>
  <c r="W90" i="105"/>
  <c r="AA90" i="105"/>
  <c r="AE90" i="105"/>
  <c r="W94" i="105"/>
  <c r="AA94" i="105"/>
  <c r="AE94" i="105"/>
  <c r="AI94" i="105"/>
  <c r="W95" i="105"/>
  <c r="AA95" i="105"/>
  <c r="AE95" i="105"/>
  <c r="AI95" i="105"/>
  <c r="W96" i="105"/>
  <c r="AA96" i="105"/>
  <c r="AE96" i="105"/>
  <c r="AI96" i="105"/>
  <c r="W97" i="105"/>
  <c r="AA97" i="105"/>
  <c r="AE97" i="105"/>
  <c r="W101" i="105"/>
  <c r="AA101" i="105"/>
  <c r="AE101" i="105"/>
  <c r="AI101" i="105"/>
  <c r="W102" i="105"/>
  <c r="AA102" i="105"/>
  <c r="AE102" i="105"/>
  <c r="AI102" i="105"/>
  <c r="W103" i="105"/>
  <c r="AA103" i="105"/>
  <c r="AE103" i="105"/>
  <c r="AI103" i="105"/>
  <c r="W104" i="105"/>
  <c r="AA104" i="105"/>
  <c r="AE104" i="105"/>
  <c r="W10" i="107"/>
  <c r="AA10" i="107"/>
  <c r="AE10" i="107"/>
  <c r="AI10" i="107"/>
  <c r="W11" i="107"/>
  <c r="AA11" i="107"/>
  <c r="AE11" i="107"/>
  <c r="AI11" i="107"/>
  <c r="W12" i="107"/>
  <c r="AA12" i="107"/>
  <c r="AE12" i="107"/>
  <c r="AI12" i="107"/>
  <c r="W13" i="107"/>
  <c r="AA13" i="107"/>
  <c r="AE13" i="107"/>
  <c r="W17" i="107"/>
  <c r="AA17" i="107"/>
  <c r="AE17" i="107"/>
  <c r="AI17" i="107"/>
  <c r="W18" i="107"/>
  <c r="AA18" i="107"/>
  <c r="AE18" i="107"/>
  <c r="AI18" i="107"/>
  <c r="W19" i="107"/>
  <c r="AA19" i="107"/>
  <c r="AE19" i="107"/>
  <c r="AI19" i="107"/>
  <c r="W20" i="107"/>
  <c r="AA20" i="107"/>
  <c r="AE20" i="107"/>
  <c r="W24" i="107"/>
  <c r="AA24" i="107"/>
  <c r="AE24" i="107"/>
  <c r="AI24" i="107"/>
  <c r="W25" i="107"/>
  <c r="AA25" i="107"/>
  <c r="AE25" i="107"/>
  <c r="AI25" i="107"/>
  <c r="W26" i="107"/>
  <c r="AA26" i="107"/>
  <c r="AE26" i="107"/>
  <c r="AI26" i="107"/>
  <c r="W27" i="107"/>
  <c r="AA27" i="107"/>
  <c r="AE27" i="107"/>
  <c r="W31" i="107"/>
  <c r="AA31" i="107"/>
  <c r="AE31" i="107"/>
  <c r="AI31" i="107"/>
  <c r="W32" i="107"/>
  <c r="AA32" i="107"/>
  <c r="AE32" i="107"/>
  <c r="AI32" i="107"/>
  <c r="W33" i="107"/>
  <c r="AA33" i="107"/>
  <c r="AE33" i="107"/>
  <c r="AI33" i="107"/>
  <c r="W34" i="107"/>
  <c r="AA34" i="107"/>
  <c r="AE34" i="107"/>
  <c r="W38" i="107"/>
  <c r="AA38" i="107"/>
  <c r="AE38" i="107"/>
  <c r="AI38" i="107"/>
  <c r="W39" i="107"/>
  <c r="AA39" i="107"/>
  <c r="AE39" i="107"/>
  <c r="AI39" i="107"/>
  <c r="W40" i="107"/>
  <c r="AA40" i="107"/>
  <c r="AE40" i="107"/>
  <c r="AI40" i="107"/>
  <c r="W41" i="107"/>
  <c r="AA41" i="107"/>
  <c r="AE41" i="107"/>
  <c r="W45" i="107"/>
  <c r="AA45" i="107"/>
  <c r="AE45" i="107"/>
  <c r="AI45" i="107"/>
  <c r="W46" i="107"/>
  <c r="AA46" i="107"/>
  <c r="AE46" i="107"/>
  <c r="AI46" i="107"/>
  <c r="W47" i="107"/>
  <c r="AA47" i="107"/>
  <c r="AE47" i="107"/>
  <c r="AI47" i="107"/>
  <c r="W48" i="107"/>
  <c r="AA48" i="107"/>
  <c r="AE48" i="107"/>
  <c r="W52" i="107"/>
  <c r="AA52" i="107"/>
  <c r="AE52" i="107"/>
  <c r="AI52" i="107"/>
  <c r="W53" i="107"/>
  <c r="AA53" i="107"/>
  <c r="AE53" i="107"/>
  <c r="AI53" i="107"/>
  <c r="W54" i="107"/>
  <c r="AA54" i="107"/>
  <c r="AE54" i="107"/>
  <c r="AI54" i="107"/>
  <c r="W55" i="107"/>
  <c r="AA55" i="107"/>
  <c r="AE55" i="107"/>
  <c r="W59" i="107"/>
  <c r="AA59" i="107"/>
  <c r="AE59" i="107"/>
  <c r="AI59" i="107"/>
  <c r="W60" i="107"/>
  <c r="AA60" i="107"/>
  <c r="AE60" i="107"/>
  <c r="AI60" i="107"/>
  <c r="W61" i="107"/>
  <c r="AA61" i="107"/>
  <c r="AE61" i="107"/>
  <c r="AI61" i="107"/>
  <c r="W62" i="107"/>
  <c r="AA62" i="107"/>
  <c r="AE62" i="107"/>
  <c r="W66" i="107"/>
  <c r="AA66" i="107"/>
  <c r="AE66" i="107"/>
  <c r="AI66" i="107"/>
  <c r="W67" i="107"/>
  <c r="AA67" i="107"/>
  <c r="AE67" i="107"/>
  <c r="AI67" i="107"/>
  <c r="W68" i="107"/>
  <c r="AA68" i="107"/>
  <c r="AE68" i="107"/>
  <c r="AI68" i="107"/>
  <c r="W69" i="107"/>
  <c r="AA69" i="107"/>
  <c r="AE69" i="107"/>
  <c r="W73" i="107"/>
  <c r="AA73" i="107"/>
  <c r="AE73" i="107"/>
  <c r="AI73" i="107"/>
  <c r="W74" i="107"/>
  <c r="AA74" i="107"/>
  <c r="AE74" i="107"/>
  <c r="AI74" i="107"/>
  <c r="W75" i="107"/>
  <c r="AA75" i="107"/>
  <c r="AE75" i="107"/>
  <c r="AI75" i="107"/>
  <c r="W76" i="107"/>
  <c r="AA76" i="107"/>
  <c r="AE76" i="107"/>
  <c r="AG83" i="107"/>
  <c r="AC83" i="107"/>
  <c r="Y83" i="107"/>
  <c r="U83" i="107"/>
  <c r="AG82" i="107"/>
  <c r="AC82" i="107"/>
  <c r="Y82" i="107"/>
  <c r="U82" i="107"/>
  <c r="AG81" i="107"/>
  <c r="AC81" i="107"/>
  <c r="Y81" i="107"/>
  <c r="U81" i="107"/>
  <c r="AG80" i="107"/>
  <c r="AC80" i="107"/>
  <c r="Y80" i="107"/>
  <c r="U80" i="107"/>
  <c r="X80" i="107"/>
  <c r="AD80" i="107"/>
  <c r="AI80" i="107"/>
  <c r="X81" i="107"/>
  <c r="AD81" i="107"/>
  <c r="AI81" i="107"/>
  <c r="X82" i="107"/>
  <c r="AD82" i="107"/>
  <c r="AI82" i="107"/>
  <c r="X83" i="107"/>
  <c r="AD83" i="107"/>
  <c r="AI83" i="107"/>
  <c r="AG90" i="107"/>
  <c r="AC90" i="107"/>
  <c r="Y90" i="107"/>
  <c r="U90" i="107"/>
  <c r="AG89" i="107"/>
  <c r="AC89" i="107"/>
  <c r="Y89" i="107"/>
  <c r="U89" i="107"/>
  <c r="AG88" i="107"/>
  <c r="AC88" i="107"/>
  <c r="Y88" i="107"/>
  <c r="U88" i="107"/>
  <c r="AG87" i="107"/>
  <c r="AC87" i="107"/>
  <c r="Y87" i="107"/>
  <c r="U87" i="107"/>
  <c r="X87" i="107"/>
  <c r="AD87" i="107"/>
  <c r="AI87" i="107"/>
  <c r="X88" i="107"/>
  <c r="AD88" i="107"/>
  <c r="AI88" i="107"/>
  <c r="X89" i="107"/>
  <c r="AD89" i="107"/>
  <c r="AI89" i="107"/>
  <c r="X90" i="107"/>
  <c r="AD90" i="107"/>
  <c r="AI90" i="107"/>
  <c r="AG97" i="107"/>
  <c r="AC97" i="107"/>
  <c r="Y97" i="107"/>
  <c r="U97" i="107"/>
  <c r="AG96" i="107"/>
  <c r="AC96" i="107"/>
  <c r="Y96" i="107"/>
  <c r="U96" i="107"/>
  <c r="AG95" i="107"/>
  <c r="AC95" i="107"/>
  <c r="Y95" i="107"/>
  <c r="U95" i="107"/>
  <c r="AG94" i="107"/>
  <c r="AC94" i="107"/>
  <c r="Y94" i="107"/>
  <c r="U94" i="107"/>
  <c r="X94" i="107"/>
  <c r="AD94" i="107"/>
  <c r="AI94" i="107"/>
  <c r="X95" i="107"/>
  <c r="AD95" i="107"/>
  <c r="AI95" i="107"/>
  <c r="X96" i="107"/>
  <c r="AD96" i="107"/>
  <c r="AI96" i="107"/>
  <c r="X97" i="107"/>
  <c r="AD97" i="107"/>
  <c r="AI97" i="107"/>
  <c r="AG104" i="107"/>
  <c r="AC104" i="107"/>
  <c r="Y104" i="107"/>
  <c r="U104" i="107"/>
  <c r="AG103" i="107"/>
  <c r="AC103" i="107"/>
  <c r="Y103" i="107"/>
  <c r="U103" i="107"/>
  <c r="AG102" i="107"/>
  <c r="AC102" i="107"/>
  <c r="Y102" i="107"/>
  <c r="U102" i="107"/>
  <c r="AG101" i="107"/>
  <c r="AC101" i="107"/>
  <c r="Y101" i="107"/>
  <c r="U101" i="107"/>
  <c r="X101" i="107"/>
  <c r="AD101" i="107"/>
  <c r="AI101" i="107"/>
  <c r="X102" i="107"/>
  <c r="AD102" i="107"/>
  <c r="AI102" i="107"/>
  <c r="X103" i="107"/>
  <c r="AD103" i="107"/>
  <c r="AI103" i="107"/>
  <c r="X104" i="107"/>
  <c r="AD104" i="107"/>
  <c r="AI104" i="107"/>
  <c r="AE13" i="109"/>
  <c r="AA13" i="109"/>
  <c r="W13" i="109"/>
  <c r="AG12" i="109"/>
  <c r="AC12" i="109"/>
  <c r="Y12" i="109"/>
  <c r="U12" i="109"/>
  <c r="AE11" i="109"/>
  <c r="AA11" i="109"/>
  <c r="W11" i="109"/>
  <c r="AG10" i="109"/>
  <c r="AC10" i="109"/>
  <c r="Y10" i="109"/>
  <c r="U10" i="109"/>
  <c r="X10" i="109"/>
  <c r="AD10" i="109"/>
  <c r="U11" i="109"/>
  <c r="Z11" i="109"/>
  <c r="AF11" i="109"/>
  <c r="W12" i="109"/>
  <c r="AB12" i="109"/>
  <c r="AH12" i="109"/>
  <c r="Y13" i="109"/>
  <c r="AD13" i="109"/>
  <c r="V17" i="109"/>
  <c r="AA17" i="109"/>
  <c r="AF17" i="109"/>
  <c r="X18" i="109"/>
  <c r="AC18" i="109"/>
  <c r="AH18" i="109"/>
  <c r="Z19" i="109"/>
  <c r="AE19" i="109"/>
  <c r="V20" i="109"/>
  <c r="AB20" i="109"/>
  <c r="AE27" i="109"/>
  <c r="AA27" i="109"/>
  <c r="W27" i="109"/>
  <c r="AG26" i="109"/>
  <c r="AC26" i="109"/>
  <c r="Y26" i="109"/>
  <c r="U26" i="109"/>
  <c r="AE25" i="109"/>
  <c r="AA25" i="109"/>
  <c r="W25" i="109"/>
  <c r="AG24" i="109"/>
  <c r="AC24" i="109"/>
  <c r="Y24" i="109"/>
  <c r="U24" i="109"/>
  <c r="AF27" i="109"/>
  <c r="Z27" i="109"/>
  <c r="X24" i="109"/>
  <c r="AD24" i="109"/>
  <c r="U25" i="109"/>
  <c r="Z25" i="109"/>
  <c r="AF25" i="109"/>
  <c r="W26" i="109"/>
  <c r="AB26" i="109"/>
  <c r="AH26" i="109"/>
  <c r="Y27" i="109"/>
  <c r="AG27" i="109"/>
  <c r="AE34" i="109"/>
  <c r="AA34" i="109"/>
  <c r="W34" i="109"/>
  <c r="AG33" i="109"/>
  <c r="AC33" i="109"/>
  <c r="Y33" i="109"/>
  <c r="U33" i="109"/>
  <c r="AE32" i="109"/>
  <c r="AA32" i="109"/>
  <c r="W32" i="109"/>
  <c r="AG31" i="109"/>
  <c r="AC31" i="109"/>
  <c r="Y31" i="109"/>
  <c r="U31" i="109"/>
  <c r="AH34" i="109"/>
  <c r="AC34" i="109"/>
  <c r="X34" i="109"/>
  <c r="AF33" i="109"/>
  <c r="AA33" i="109"/>
  <c r="V33" i="109"/>
  <c r="AD32" i="109"/>
  <c r="Y32" i="109"/>
  <c r="AH31" i="109"/>
  <c r="AB31" i="109"/>
  <c r="W31" i="109"/>
  <c r="Z31" i="109"/>
  <c r="AF31" i="109"/>
  <c r="Z32" i="109"/>
  <c r="AG32" i="109"/>
  <c r="Z33" i="109"/>
  <c r="AH33" i="109"/>
  <c r="Z34" i="109"/>
  <c r="AG34" i="109"/>
  <c r="V38" i="109"/>
  <c r="AB38" i="109"/>
  <c r="U39" i="109"/>
  <c r="AC39" i="109"/>
  <c r="V40" i="109"/>
  <c r="AB40" i="109"/>
  <c r="V41" i="109"/>
  <c r="AC41" i="109"/>
  <c r="V45" i="109"/>
  <c r="AD45" i="109"/>
  <c r="V46" i="109"/>
  <c r="AC46" i="109"/>
  <c r="W47" i="109"/>
  <c r="AD47" i="109"/>
  <c r="V48" i="109"/>
  <c r="AA52" i="109"/>
  <c r="X53" i="109"/>
  <c r="AH53" i="109"/>
  <c r="AE54" i="109"/>
  <c r="AA59" i="109"/>
  <c r="X60" i="109"/>
  <c r="AH60" i="109"/>
  <c r="AE61" i="109"/>
  <c r="AA66" i="109"/>
  <c r="X67" i="109"/>
  <c r="AH67" i="109"/>
  <c r="AE68" i="109"/>
  <c r="AA73" i="109"/>
  <c r="X74" i="109"/>
  <c r="AH74" i="109"/>
  <c r="AE75" i="109"/>
  <c r="AA80" i="109"/>
  <c r="AC81" i="109"/>
  <c r="U88" i="109"/>
  <c r="X41" i="109"/>
  <c r="AD41" i="109"/>
  <c r="AE55" i="109"/>
  <c r="AA55" i="109"/>
  <c r="W55" i="109"/>
  <c r="AG54" i="109"/>
  <c r="AC54" i="109"/>
  <c r="Y54" i="109"/>
  <c r="U54" i="109"/>
  <c r="AE53" i="109"/>
  <c r="AA53" i="109"/>
  <c r="W53" i="109"/>
  <c r="AG52" i="109"/>
  <c r="AC52" i="109"/>
  <c r="Y52" i="109"/>
  <c r="U52" i="109"/>
  <c r="AF55" i="109"/>
  <c r="Z55" i="109"/>
  <c r="U55" i="109"/>
  <c r="AD54" i="109"/>
  <c r="X54" i="109"/>
  <c r="AG53" i="109"/>
  <c r="AB53" i="109"/>
  <c r="V53" i="109"/>
  <c r="AE52" i="109"/>
  <c r="Z52" i="109"/>
  <c r="AF50" i="109"/>
  <c r="AH55" i="109"/>
  <c r="AC55" i="109"/>
  <c r="X55" i="109"/>
  <c r="AF54" i="109"/>
  <c r="AA54" i="109"/>
  <c r="V54" i="109"/>
  <c r="AD53" i="109"/>
  <c r="Y53" i="109"/>
  <c r="AH52" i="109"/>
  <c r="AB52" i="109"/>
  <c r="W52" i="109"/>
  <c r="AD52" i="109"/>
  <c r="Z53" i="109"/>
  <c r="W54" i="109"/>
  <c r="AH54" i="109"/>
  <c r="AD55" i="109"/>
  <c r="AE62" i="109"/>
  <c r="AA62" i="109"/>
  <c r="W62" i="109"/>
  <c r="AG61" i="109"/>
  <c r="AC61" i="109"/>
  <c r="Y61" i="109"/>
  <c r="U61" i="109"/>
  <c r="AE60" i="109"/>
  <c r="AA60" i="109"/>
  <c r="W60" i="109"/>
  <c r="AG59" i="109"/>
  <c r="AC59" i="109"/>
  <c r="Y59" i="109"/>
  <c r="U59" i="109"/>
  <c r="AH62" i="109"/>
  <c r="AC62" i="109"/>
  <c r="X62" i="109"/>
  <c r="AF61" i="109"/>
  <c r="AA61" i="109"/>
  <c r="V61" i="109"/>
  <c r="AD60" i="109"/>
  <c r="Y60" i="109"/>
  <c r="AH59" i="109"/>
  <c r="AB59" i="109"/>
  <c r="W59" i="109"/>
  <c r="AF62" i="109"/>
  <c r="Z62" i="109"/>
  <c r="U62" i="109"/>
  <c r="AD61" i="109"/>
  <c r="X61" i="109"/>
  <c r="AG60" i="109"/>
  <c r="AB60" i="109"/>
  <c r="V60" i="109"/>
  <c r="AE59" i="109"/>
  <c r="Z59" i="109"/>
  <c r="AF57" i="109"/>
  <c r="AD59" i="109"/>
  <c r="Z60" i="109"/>
  <c r="W61" i="109"/>
  <c r="AH61" i="109"/>
  <c r="AD62" i="109"/>
  <c r="AE69" i="109"/>
  <c r="AA69" i="109"/>
  <c r="W69" i="109"/>
  <c r="AG68" i="109"/>
  <c r="AC68" i="109"/>
  <c r="Y68" i="109"/>
  <c r="U68" i="109"/>
  <c r="AE67" i="109"/>
  <c r="AA67" i="109"/>
  <c r="W67" i="109"/>
  <c r="AG66" i="109"/>
  <c r="AC66" i="109"/>
  <c r="Y66" i="109"/>
  <c r="U66" i="109"/>
  <c r="AF69" i="109"/>
  <c r="Z69" i="109"/>
  <c r="U69" i="109"/>
  <c r="AD68" i="109"/>
  <c r="X68" i="109"/>
  <c r="AG67" i="109"/>
  <c r="AB67" i="109"/>
  <c r="V67" i="109"/>
  <c r="AE66" i="109"/>
  <c r="Z66" i="109"/>
  <c r="AF64" i="109"/>
  <c r="AH69" i="109"/>
  <c r="AC69" i="109"/>
  <c r="X69" i="109"/>
  <c r="AF68" i="109"/>
  <c r="AA68" i="109"/>
  <c r="V68" i="109"/>
  <c r="AD67" i="109"/>
  <c r="Y67" i="109"/>
  <c r="AH66" i="109"/>
  <c r="AB66" i="109"/>
  <c r="W66" i="109"/>
  <c r="AD66" i="109"/>
  <c r="Z67" i="109"/>
  <c r="W68" i="109"/>
  <c r="AH68" i="109"/>
  <c r="AD69" i="109"/>
  <c r="AE76" i="109"/>
  <c r="AA76" i="109"/>
  <c r="W76" i="109"/>
  <c r="AG75" i="109"/>
  <c r="AC75" i="109"/>
  <c r="Y75" i="109"/>
  <c r="U75" i="109"/>
  <c r="AE74" i="109"/>
  <c r="AA74" i="109"/>
  <c r="W74" i="109"/>
  <c r="AG73" i="109"/>
  <c r="AC73" i="109"/>
  <c r="Y73" i="109"/>
  <c r="U73" i="109"/>
  <c r="AH76" i="109"/>
  <c r="AC76" i="109"/>
  <c r="X76" i="109"/>
  <c r="AF75" i="109"/>
  <c r="AA75" i="109"/>
  <c r="V75" i="109"/>
  <c r="AD74" i="109"/>
  <c r="Y74" i="109"/>
  <c r="AH73" i="109"/>
  <c r="AB73" i="109"/>
  <c r="W73" i="109"/>
  <c r="AF76" i="109"/>
  <c r="Z76" i="109"/>
  <c r="U76" i="109"/>
  <c r="AD75" i="109"/>
  <c r="X75" i="109"/>
  <c r="AG74" i="109"/>
  <c r="AB74" i="109"/>
  <c r="V74" i="109"/>
  <c r="AE73" i="109"/>
  <c r="Z73" i="109"/>
  <c r="AF71" i="109"/>
  <c r="AD73" i="109"/>
  <c r="Z74" i="109"/>
  <c r="W75" i="109"/>
  <c r="AH75" i="109"/>
  <c r="AD76" i="109"/>
  <c r="AE83" i="109"/>
  <c r="AA83" i="109"/>
  <c r="W83" i="109"/>
  <c r="AG82" i="109"/>
  <c r="AC82" i="109"/>
  <c r="Y82" i="109"/>
  <c r="U82" i="109"/>
  <c r="AE81" i="109"/>
  <c r="AA81" i="109"/>
  <c r="W81" i="109"/>
  <c r="AG80" i="109"/>
  <c r="AC80" i="109"/>
  <c r="Y80" i="109"/>
  <c r="U80" i="109"/>
  <c r="AF83" i="109"/>
  <c r="Z83" i="109"/>
  <c r="U83" i="109"/>
  <c r="AD82" i="109"/>
  <c r="X82" i="109"/>
  <c r="AG81" i="109"/>
  <c r="AB81" i="109"/>
  <c r="V81" i="109"/>
  <c r="AE80" i="109"/>
  <c r="Z80" i="109"/>
  <c r="AF78" i="109"/>
  <c r="AD83" i="109"/>
  <c r="Y83" i="109"/>
  <c r="AH82" i="109"/>
  <c r="AB82" i="109"/>
  <c r="W82" i="109"/>
  <c r="AF81" i="109"/>
  <c r="Z81" i="109"/>
  <c r="U81" i="109"/>
  <c r="AH83" i="109"/>
  <c r="AC83" i="109"/>
  <c r="X83" i="109"/>
  <c r="AF82" i="109"/>
  <c r="AA82" i="109"/>
  <c r="V82" i="109"/>
  <c r="AD81" i="109"/>
  <c r="Y81" i="109"/>
  <c r="AH80" i="109"/>
  <c r="AB80" i="109"/>
  <c r="W80" i="109"/>
  <c r="AD80" i="109"/>
  <c r="AH81" i="109"/>
  <c r="AB83" i="109"/>
  <c r="AE90" i="109"/>
  <c r="AA90" i="109"/>
  <c r="W90" i="109"/>
  <c r="AG89" i="109"/>
  <c r="AC89" i="109"/>
  <c r="Y89" i="109"/>
  <c r="U89" i="109"/>
  <c r="AE88" i="109"/>
  <c r="AA88" i="109"/>
  <c r="W88" i="109"/>
  <c r="AG87" i="109"/>
  <c r="AC87" i="109"/>
  <c r="Y87" i="109"/>
  <c r="U87" i="109"/>
  <c r="AH90" i="109"/>
  <c r="AC90" i="109"/>
  <c r="X90" i="109"/>
  <c r="AF89" i="109"/>
  <c r="AA89" i="109"/>
  <c r="V89" i="109"/>
  <c r="AD88" i="109"/>
  <c r="Y88" i="109"/>
  <c r="AH87" i="109"/>
  <c r="AB87" i="109"/>
  <c r="W87" i="109"/>
  <c r="AG90" i="109"/>
  <c r="AB90" i="109"/>
  <c r="V90" i="109"/>
  <c r="AE89" i="109"/>
  <c r="Z89" i="109"/>
  <c r="AH88" i="109"/>
  <c r="AC88" i="109"/>
  <c r="X88" i="109"/>
  <c r="AF87" i="109"/>
  <c r="AA87" i="109"/>
  <c r="V87" i="109"/>
  <c r="AF90" i="109"/>
  <c r="Z90" i="109"/>
  <c r="U90" i="109"/>
  <c r="AD89" i="109"/>
  <c r="X89" i="109"/>
  <c r="AG88" i="109"/>
  <c r="AB88" i="109"/>
  <c r="V88" i="109"/>
  <c r="AE87" i="109"/>
  <c r="Z87" i="109"/>
  <c r="AF85" i="109"/>
  <c r="Z88" i="109"/>
  <c r="AH89" i="109"/>
  <c r="AE20" i="109"/>
  <c r="AA20" i="109"/>
  <c r="W20" i="109"/>
  <c r="AG19" i="109"/>
  <c r="AC19" i="109"/>
  <c r="Y19" i="109"/>
  <c r="U19" i="109"/>
  <c r="AE18" i="109"/>
  <c r="AA18" i="109"/>
  <c r="W18" i="109"/>
  <c r="AG17" i="109"/>
  <c r="AC17" i="109"/>
  <c r="Y17" i="109"/>
  <c r="U17" i="109"/>
  <c r="X17" i="109"/>
  <c r="AD17" i="109"/>
  <c r="U18" i="109"/>
  <c r="Z18" i="109"/>
  <c r="AF18" i="109"/>
  <c r="W19" i="109"/>
  <c r="AB19" i="109"/>
  <c r="AH19" i="109"/>
  <c r="Y20" i="109"/>
  <c r="AD20" i="109"/>
  <c r="Z26" i="109"/>
  <c r="AE26" i="109"/>
  <c r="V27" i="109"/>
  <c r="AC27" i="109"/>
  <c r="V32" i="109"/>
  <c r="AC32" i="109"/>
  <c r="W33" i="109"/>
  <c r="AD33" i="109"/>
  <c r="V34" i="109"/>
  <c r="AD34" i="109"/>
  <c r="X38" i="109"/>
  <c r="AF38" i="109"/>
  <c r="Y39" i="109"/>
  <c r="AF39" i="109"/>
  <c r="Z40" i="109"/>
  <c r="AF40" i="109"/>
  <c r="Y41" i="109"/>
  <c r="AE48" i="109"/>
  <c r="AA48" i="109"/>
  <c r="W48" i="109"/>
  <c r="AG47" i="109"/>
  <c r="AC47" i="109"/>
  <c r="Y47" i="109"/>
  <c r="U47" i="109"/>
  <c r="AE46" i="109"/>
  <c r="AA46" i="109"/>
  <c r="W46" i="109"/>
  <c r="AG45" i="109"/>
  <c r="AC45" i="109"/>
  <c r="Y45" i="109"/>
  <c r="U45" i="109"/>
  <c r="AH48" i="109"/>
  <c r="AC48" i="109"/>
  <c r="X48" i="109"/>
  <c r="AF47" i="109"/>
  <c r="AA47" i="109"/>
  <c r="V47" i="109"/>
  <c r="AD46" i="109"/>
  <c r="Y46" i="109"/>
  <c r="AH45" i="109"/>
  <c r="AB45" i="109"/>
  <c r="W45" i="109"/>
  <c r="Z45" i="109"/>
  <c r="AF45" i="109"/>
  <c r="Z46" i="109"/>
  <c r="AG46" i="109"/>
  <c r="Z47" i="109"/>
  <c r="AH47" i="109"/>
  <c r="Z48" i="109"/>
  <c r="AG48" i="109"/>
  <c r="V52" i="109"/>
  <c r="AF52" i="109"/>
  <c r="AC53" i="109"/>
  <c r="Z54" i="109"/>
  <c r="V55" i="109"/>
  <c r="AG55" i="109"/>
  <c r="V59" i="109"/>
  <c r="AF59" i="109"/>
  <c r="AC60" i="109"/>
  <c r="Z61" i="109"/>
  <c r="V62" i="109"/>
  <c r="AG62" i="109"/>
  <c r="V66" i="109"/>
  <c r="AF66" i="109"/>
  <c r="AC67" i="109"/>
  <c r="Z68" i="109"/>
  <c r="V69" i="109"/>
  <c r="AG69" i="109"/>
  <c r="V73" i="109"/>
  <c r="AF73" i="109"/>
  <c r="AC74" i="109"/>
  <c r="Z75" i="109"/>
  <c r="V76" i="109"/>
  <c r="AG76" i="109"/>
  <c r="V80" i="109"/>
  <c r="AF80" i="109"/>
  <c r="Z82" i="109"/>
  <c r="AG83" i="109"/>
  <c r="X87" i="109"/>
  <c r="AF88" i="109"/>
  <c r="Y90" i="109"/>
  <c r="AE41" i="109"/>
  <c r="AA41" i="109"/>
  <c r="W41" i="109"/>
  <c r="AG40" i="109"/>
  <c r="AC40" i="109"/>
  <c r="Y40" i="109"/>
  <c r="U40" i="109"/>
  <c r="AE39" i="109"/>
  <c r="AA39" i="109"/>
  <c r="W39" i="109"/>
  <c r="AG38" i="109"/>
  <c r="AC38" i="109"/>
  <c r="Y38" i="109"/>
  <c r="U38" i="109"/>
  <c r="AF41" i="109"/>
  <c r="Z41" i="109"/>
  <c r="U41" i="109"/>
  <c r="AD40" i="109"/>
  <c r="X40" i="109"/>
  <c r="AG39" i="109"/>
  <c r="AB39" i="109"/>
  <c r="V39" i="109"/>
  <c r="AE38" i="109"/>
  <c r="Z38" i="109"/>
  <c r="AF36" i="109"/>
  <c r="AA38" i="109"/>
  <c r="AH38" i="109"/>
  <c r="Z39" i="109"/>
  <c r="AH39" i="109"/>
  <c r="AA40" i="109"/>
  <c r="AH40" i="109"/>
  <c r="AB41" i="109"/>
  <c r="AH41" i="109"/>
  <c r="AB47" i="109"/>
  <c r="U48" i="109"/>
  <c r="AB48" i="109"/>
  <c r="X52" i="109"/>
  <c r="U53" i="109"/>
  <c r="AF53" i="109"/>
  <c r="AB54" i="109"/>
  <c r="Y55" i="109"/>
  <c r="X59" i="109"/>
  <c r="U60" i="109"/>
  <c r="AF60" i="109"/>
  <c r="AB61" i="109"/>
  <c r="Y62" i="109"/>
  <c r="X66" i="109"/>
  <c r="U67" i="109"/>
  <c r="AF67" i="109"/>
  <c r="AB68" i="109"/>
  <c r="Y69" i="109"/>
  <c r="X73" i="109"/>
  <c r="U74" i="109"/>
  <c r="AF74" i="109"/>
  <c r="AB75" i="109"/>
  <c r="Y76" i="109"/>
  <c r="X80" i="109"/>
  <c r="X81" i="109"/>
  <c r="AE82" i="109"/>
  <c r="AD87" i="109"/>
  <c r="W89" i="109"/>
  <c r="AD90" i="109"/>
  <c r="X95" i="109"/>
  <c r="AC95" i="109"/>
  <c r="AH95" i="109"/>
  <c r="Z96" i="109"/>
  <c r="AE96" i="109"/>
  <c r="V97" i="109"/>
  <c r="AB97" i="109"/>
  <c r="AG97" i="109"/>
  <c r="O13" i="108"/>
  <c r="K13" i="108"/>
  <c r="G13" i="108"/>
  <c r="C13" i="108"/>
  <c r="R12" i="108"/>
  <c r="N12" i="108"/>
  <c r="J12" i="108"/>
  <c r="F12" i="108"/>
  <c r="Q11" i="108"/>
  <c r="M11" i="108"/>
  <c r="I11" i="108"/>
  <c r="E11" i="108"/>
  <c r="P10" i="108"/>
  <c r="L10" i="108"/>
  <c r="H10" i="108"/>
  <c r="D10" i="108"/>
  <c r="P8" i="108"/>
  <c r="Q13" i="108"/>
  <c r="L13" i="108"/>
  <c r="F13" i="108"/>
  <c r="M12" i="108"/>
  <c r="H12" i="108"/>
  <c r="C12" i="108"/>
  <c r="O11" i="108"/>
  <c r="J11" i="108"/>
  <c r="D11" i="108"/>
  <c r="Q10" i="108"/>
  <c r="K10" i="108"/>
  <c r="F10" i="108"/>
  <c r="E10" i="108"/>
  <c r="M10" i="108"/>
  <c r="C11" i="108"/>
  <c r="K11" i="108"/>
  <c r="R11" i="108"/>
  <c r="I12" i="108"/>
  <c r="P12" i="108"/>
  <c r="H13" i="108"/>
  <c r="N13" i="108"/>
  <c r="W94" i="109"/>
  <c r="AB94" i="109"/>
  <c r="AH94" i="109"/>
  <c r="Y95" i="109"/>
  <c r="AD95" i="109"/>
  <c r="V96" i="109"/>
  <c r="AA96" i="109"/>
  <c r="AF96" i="109"/>
  <c r="X97" i="109"/>
  <c r="AC97" i="109"/>
  <c r="G10" i="108"/>
  <c r="N10" i="108"/>
  <c r="F11" i="108"/>
  <c r="L11" i="108"/>
  <c r="D12" i="108"/>
  <c r="K12" i="108"/>
  <c r="Q12" i="108"/>
  <c r="I13" i="108"/>
  <c r="P13" i="108"/>
  <c r="AJ20" i="108"/>
  <c r="AF20" i="108"/>
  <c r="AI19" i="108"/>
  <c r="AE19" i="108"/>
  <c r="AH18" i="108"/>
  <c r="U18" i="108"/>
  <c r="AG17" i="108"/>
  <c r="AI20" i="108"/>
  <c r="U20" i="108"/>
  <c r="AF19" i="108"/>
  <c r="AG18" i="108"/>
  <c r="AI17" i="108"/>
  <c r="U17" i="108"/>
  <c r="AE17" i="108"/>
  <c r="AJ18" i="108"/>
  <c r="AH19" i="108"/>
  <c r="AG20" i="108"/>
  <c r="R34" i="108"/>
  <c r="N34" i="108"/>
  <c r="J34" i="108"/>
  <c r="F34" i="108"/>
  <c r="R33" i="108"/>
  <c r="N33" i="108"/>
  <c r="J33" i="108"/>
  <c r="F33" i="108"/>
  <c r="R32" i="108"/>
  <c r="N32" i="108"/>
  <c r="J32" i="108"/>
  <c r="F32" i="108"/>
  <c r="R31" i="108"/>
  <c r="N31" i="108"/>
  <c r="J31" i="108"/>
  <c r="F31" i="108"/>
  <c r="P29" i="108"/>
  <c r="M34" i="108"/>
  <c r="H34" i="108"/>
  <c r="C34" i="108"/>
  <c r="M33" i="108"/>
  <c r="H33" i="108"/>
  <c r="C33" i="108"/>
  <c r="M32" i="108"/>
  <c r="H32" i="108"/>
  <c r="C32" i="108"/>
  <c r="M31" i="108"/>
  <c r="H31" i="108"/>
  <c r="C31" i="108"/>
  <c r="I31" i="108"/>
  <c r="P31" i="108"/>
  <c r="E32" i="108"/>
  <c r="L32" i="108"/>
  <c r="I33" i="108"/>
  <c r="P33" i="108"/>
  <c r="E34" i="108"/>
  <c r="L34" i="108"/>
  <c r="R55" i="108"/>
  <c r="N55" i="108"/>
  <c r="J55" i="108"/>
  <c r="F55" i="108"/>
  <c r="R54" i="108"/>
  <c r="N54" i="108"/>
  <c r="J54" i="108"/>
  <c r="F54" i="108"/>
  <c r="R53" i="108"/>
  <c r="N53" i="108"/>
  <c r="J53" i="108"/>
  <c r="F53" i="108"/>
  <c r="R52" i="108"/>
  <c r="N52" i="108"/>
  <c r="J52" i="108"/>
  <c r="F52" i="108"/>
  <c r="O55" i="108"/>
  <c r="I55" i="108"/>
  <c r="D55" i="108"/>
  <c r="O54" i="108"/>
  <c r="I54" i="108"/>
  <c r="D54" i="108"/>
  <c r="O53" i="108"/>
  <c r="I53" i="108"/>
  <c r="D53" i="108"/>
  <c r="O52" i="108"/>
  <c r="I52" i="108"/>
  <c r="D52" i="108"/>
  <c r="P55" i="108"/>
  <c r="H55" i="108"/>
  <c r="L54" i="108"/>
  <c r="E54" i="108"/>
  <c r="P53" i="108"/>
  <c r="H53" i="108"/>
  <c r="L52" i="108"/>
  <c r="E52" i="108"/>
  <c r="L55" i="108"/>
  <c r="E55" i="108"/>
  <c r="P54" i="108"/>
  <c r="H54" i="108"/>
  <c r="L53" i="108"/>
  <c r="E53" i="108"/>
  <c r="P52" i="108"/>
  <c r="H52" i="108"/>
  <c r="M52" i="108"/>
  <c r="G53" i="108"/>
  <c r="M54" i="108"/>
  <c r="G55" i="108"/>
  <c r="K59" i="108"/>
  <c r="J60" i="108"/>
  <c r="I61" i="108"/>
  <c r="AE97" i="109"/>
  <c r="AA97" i="109"/>
  <c r="W97" i="109"/>
  <c r="AG96" i="109"/>
  <c r="AC96" i="109"/>
  <c r="Y96" i="109"/>
  <c r="U96" i="109"/>
  <c r="AE95" i="109"/>
  <c r="AA95" i="109"/>
  <c r="W95" i="109"/>
  <c r="AG94" i="109"/>
  <c r="AC94" i="109"/>
  <c r="Y94" i="109"/>
  <c r="U94" i="109"/>
  <c r="X94" i="109"/>
  <c r="AD94" i="109"/>
  <c r="U95" i="109"/>
  <c r="Z95" i="109"/>
  <c r="AF95" i="109"/>
  <c r="W96" i="109"/>
  <c r="AB96" i="109"/>
  <c r="AH96" i="109"/>
  <c r="Y97" i="109"/>
  <c r="AD97" i="109"/>
  <c r="I10" i="108"/>
  <c r="O10" i="108"/>
  <c r="G11" i="108"/>
  <c r="N11" i="108"/>
  <c r="E12" i="108"/>
  <c r="L12" i="108"/>
  <c r="D13" i="108"/>
  <c r="J13" i="108"/>
  <c r="R13" i="108"/>
  <c r="P62" i="108"/>
  <c r="L62" i="108"/>
  <c r="H62" i="108"/>
  <c r="D62" i="108"/>
  <c r="P61" i="108"/>
  <c r="L61" i="108"/>
  <c r="H61" i="108"/>
  <c r="D61" i="108"/>
  <c r="P60" i="108"/>
  <c r="L60" i="108"/>
  <c r="H60" i="108"/>
  <c r="D60" i="108"/>
  <c r="P59" i="108"/>
  <c r="L59" i="108"/>
  <c r="H59" i="108"/>
  <c r="D59" i="108"/>
  <c r="R62" i="108"/>
  <c r="M62" i="108"/>
  <c r="G62" i="108"/>
  <c r="R61" i="108"/>
  <c r="M61" i="108"/>
  <c r="G61" i="108"/>
  <c r="R60" i="108"/>
  <c r="M60" i="108"/>
  <c r="G60" i="108"/>
  <c r="R59" i="108"/>
  <c r="M59" i="108"/>
  <c r="G59" i="108"/>
  <c r="K62" i="108"/>
  <c r="E62" i="108"/>
  <c r="N61" i="108"/>
  <c r="F61" i="108"/>
  <c r="O60" i="108"/>
  <c r="I60" i="108"/>
  <c r="Q59" i="108"/>
  <c r="J59" i="108"/>
  <c r="C59" i="108"/>
  <c r="O62" i="108"/>
  <c r="I62" i="108"/>
  <c r="Q61" i="108"/>
  <c r="J61" i="108"/>
  <c r="C61" i="108"/>
  <c r="K60" i="108"/>
  <c r="E60" i="108"/>
  <c r="N59" i="108"/>
  <c r="F59" i="108"/>
  <c r="O59" i="108"/>
  <c r="N60" i="108"/>
  <c r="K61" i="108"/>
  <c r="J62" i="108"/>
  <c r="AF92" i="109"/>
  <c r="Z94" i="109"/>
  <c r="AE94" i="109"/>
  <c r="V95" i="109"/>
  <c r="AB95" i="109"/>
  <c r="AG95" i="109"/>
  <c r="X96" i="109"/>
  <c r="AD96" i="109"/>
  <c r="U97" i="109"/>
  <c r="Z97" i="109"/>
  <c r="AF97" i="109"/>
  <c r="C10" i="108"/>
  <c r="J10" i="108"/>
  <c r="R10" i="108"/>
  <c r="H11" i="108"/>
  <c r="P11" i="108"/>
  <c r="G12" i="108"/>
  <c r="O12" i="108"/>
  <c r="E13" i="108"/>
  <c r="M13" i="108"/>
  <c r="Q20" i="108"/>
  <c r="M20" i="108"/>
  <c r="I20" i="108"/>
  <c r="E20" i="108"/>
  <c r="P19" i="108"/>
  <c r="L19" i="108"/>
  <c r="H19" i="108"/>
  <c r="D19" i="108"/>
  <c r="O18" i="108"/>
  <c r="K18" i="108"/>
  <c r="G18" i="108"/>
  <c r="C18" i="108"/>
  <c r="R17" i="108"/>
  <c r="N17" i="108"/>
  <c r="J17" i="108"/>
  <c r="F17" i="108"/>
  <c r="P15" i="108"/>
  <c r="N20" i="108"/>
  <c r="H20" i="108"/>
  <c r="C20" i="108"/>
  <c r="O19" i="108"/>
  <c r="J19" i="108"/>
  <c r="E19" i="108"/>
  <c r="Q18" i="108"/>
  <c r="L18" i="108"/>
  <c r="F18" i="108"/>
  <c r="M17" i="108"/>
  <c r="H17" i="108"/>
  <c r="C17" i="108"/>
  <c r="I17" i="108"/>
  <c r="P17" i="108"/>
  <c r="AH17" i="108"/>
  <c r="H18" i="108"/>
  <c r="N18" i="108"/>
  <c r="AF18" i="108"/>
  <c r="F19" i="108"/>
  <c r="M19" i="108"/>
  <c r="U19" i="108"/>
  <c r="D20" i="108"/>
  <c r="K20" i="108"/>
  <c r="R20" i="108"/>
  <c r="P27" i="108"/>
  <c r="L27" i="108"/>
  <c r="H27" i="108"/>
  <c r="D27" i="108"/>
  <c r="P26" i="108"/>
  <c r="L26" i="108"/>
  <c r="H26" i="108"/>
  <c r="D26" i="108"/>
  <c r="P25" i="108"/>
  <c r="L25" i="108"/>
  <c r="H25" i="108"/>
  <c r="D25" i="108"/>
  <c r="P24" i="108"/>
  <c r="L24" i="108"/>
  <c r="H24" i="108"/>
  <c r="D24" i="108"/>
  <c r="O27" i="108"/>
  <c r="J27" i="108"/>
  <c r="E27" i="108"/>
  <c r="O26" i="108"/>
  <c r="J26" i="108"/>
  <c r="E26" i="108"/>
  <c r="O25" i="108"/>
  <c r="J25" i="108"/>
  <c r="E25" i="108"/>
  <c r="O24" i="108"/>
  <c r="J24" i="108"/>
  <c r="E24" i="108"/>
  <c r="G24" i="108"/>
  <c r="N24" i="108"/>
  <c r="F25" i="108"/>
  <c r="M25" i="108"/>
  <c r="C26" i="108"/>
  <c r="K26" i="108"/>
  <c r="R26" i="108"/>
  <c r="I27" i="108"/>
  <c r="Q27" i="108"/>
  <c r="AJ34" i="108"/>
  <c r="AF34" i="108"/>
  <c r="AB34" i="108"/>
  <c r="X34" i="108"/>
  <c r="AJ33" i="108"/>
  <c r="AF33" i="108"/>
  <c r="AB33" i="108"/>
  <c r="X33" i="108"/>
  <c r="AJ32" i="108"/>
  <c r="AF32" i="108"/>
  <c r="AB32" i="108"/>
  <c r="X32" i="108"/>
  <c r="AJ31" i="108"/>
  <c r="AF31" i="108"/>
  <c r="AB31" i="108"/>
  <c r="X31" i="108"/>
  <c r="AE34" i="108"/>
  <c r="Z34" i="108"/>
  <c r="U34" i="108"/>
  <c r="AE33" i="108"/>
  <c r="Z33" i="108"/>
  <c r="U33" i="108"/>
  <c r="AE32" i="108"/>
  <c r="Z32" i="108"/>
  <c r="U32" i="108"/>
  <c r="AE31" i="108"/>
  <c r="Z31" i="108"/>
  <c r="U31" i="108"/>
  <c r="E31" i="108"/>
  <c r="L31" i="108"/>
  <c r="V31" i="108"/>
  <c r="AC31" i="108"/>
  <c r="AI31" i="108"/>
  <c r="I32" i="108"/>
  <c r="P32" i="108"/>
  <c r="Y32" i="108"/>
  <c r="AG32" i="108"/>
  <c r="E33" i="108"/>
  <c r="L33" i="108"/>
  <c r="V33" i="108"/>
  <c r="AC33" i="108"/>
  <c r="AI33" i="108"/>
  <c r="I34" i="108"/>
  <c r="P34" i="108"/>
  <c r="Y34" i="108"/>
  <c r="AG34" i="108"/>
  <c r="G52" i="108"/>
  <c r="M53" i="108"/>
  <c r="G54" i="108"/>
  <c r="M55" i="108"/>
  <c r="E59" i="108"/>
  <c r="C60" i="108"/>
  <c r="Q60" i="108"/>
  <c r="O61" i="108"/>
  <c r="N62" i="108"/>
  <c r="C87" i="107"/>
  <c r="G87" i="107"/>
  <c r="K87" i="107"/>
  <c r="O87" i="107"/>
  <c r="C88" i="107"/>
  <c r="G88" i="107"/>
  <c r="K88" i="107"/>
  <c r="O88" i="107"/>
  <c r="C89" i="107"/>
  <c r="G89" i="107"/>
  <c r="K89" i="107"/>
  <c r="O89" i="107"/>
  <c r="C90" i="107"/>
  <c r="G90" i="107"/>
  <c r="K90" i="107"/>
  <c r="C94" i="107"/>
  <c r="G94" i="107"/>
  <c r="K94" i="107"/>
  <c r="O94" i="107"/>
  <c r="C95" i="107"/>
  <c r="G95" i="107"/>
  <c r="K95" i="107"/>
  <c r="O95" i="107"/>
  <c r="C96" i="107"/>
  <c r="G96" i="107"/>
  <c r="K96" i="107"/>
  <c r="O96" i="107"/>
  <c r="C97" i="107"/>
  <c r="G97" i="107"/>
  <c r="K97" i="107"/>
  <c r="C101" i="107"/>
  <c r="G101" i="107"/>
  <c r="K101" i="107"/>
  <c r="O101" i="107"/>
  <c r="C102" i="107"/>
  <c r="G102" i="107"/>
  <c r="K102" i="107"/>
  <c r="O102" i="107"/>
  <c r="C103" i="107"/>
  <c r="G103" i="107"/>
  <c r="K103" i="107"/>
  <c r="O103" i="107"/>
  <c r="C104" i="107"/>
  <c r="G104" i="107"/>
  <c r="K104" i="107"/>
  <c r="C10" i="109"/>
  <c r="G10" i="109"/>
  <c r="K10" i="109"/>
  <c r="O10" i="109"/>
  <c r="E11" i="109"/>
  <c r="I11" i="109"/>
  <c r="M11" i="109"/>
  <c r="Q11" i="109"/>
  <c r="C12" i="109"/>
  <c r="G12" i="109"/>
  <c r="K12" i="109"/>
  <c r="O12" i="109"/>
  <c r="E13" i="109"/>
  <c r="I13" i="109"/>
  <c r="M13" i="109"/>
  <c r="C17" i="109"/>
  <c r="G17" i="109"/>
  <c r="K17" i="109"/>
  <c r="O17" i="109"/>
  <c r="E18" i="109"/>
  <c r="I18" i="109"/>
  <c r="M18" i="109"/>
  <c r="Q18" i="109"/>
  <c r="C19" i="109"/>
  <c r="G19" i="109"/>
  <c r="K19" i="109"/>
  <c r="O19" i="109"/>
  <c r="E20" i="109"/>
  <c r="I20" i="109"/>
  <c r="M20" i="109"/>
  <c r="C24" i="109"/>
  <c r="G24" i="109"/>
  <c r="K24" i="109"/>
  <c r="O24" i="109"/>
  <c r="E25" i="109"/>
  <c r="I25" i="109"/>
  <c r="M25" i="109"/>
  <c r="Q25" i="109"/>
  <c r="C26" i="109"/>
  <c r="G26" i="109"/>
  <c r="K26" i="109"/>
  <c r="O26" i="109"/>
  <c r="E27" i="109"/>
  <c r="I27" i="109"/>
  <c r="M27" i="109"/>
  <c r="C31" i="109"/>
  <c r="G31" i="109"/>
  <c r="K31" i="109"/>
  <c r="O31" i="109"/>
  <c r="E32" i="109"/>
  <c r="I32" i="109"/>
  <c r="M32" i="109"/>
  <c r="Q32" i="109"/>
  <c r="C33" i="109"/>
  <c r="G33" i="109"/>
  <c r="K33" i="109"/>
  <c r="O33" i="109"/>
  <c r="E34" i="109"/>
  <c r="I34" i="109"/>
  <c r="M34" i="109"/>
  <c r="C38" i="109"/>
  <c r="G38" i="109"/>
  <c r="K38" i="109"/>
  <c r="O38" i="109"/>
  <c r="E39" i="109"/>
  <c r="I39" i="109"/>
  <c r="M39" i="109"/>
  <c r="Q39" i="109"/>
  <c r="C40" i="109"/>
  <c r="G40" i="109"/>
  <c r="K40" i="109"/>
  <c r="O40" i="109"/>
  <c r="E41" i="109"/>
  <c r="I41" i="109"/>
  <c r="M41" i="109"/>
  <c r="C45" i="109"/>
  <c r="G45" i="109"/>
  <c r="K45" i="109"/>
  <c r="O45" i="109"/>
  <c r="E46" i="109"/>
  <c r="I46" i="109"/>
  <c r="M46" i="109"/>
  <c r="Q46" i="109"/>
  <c r="C47" i="109"/>
  <c r="G47" i="109"/>
  <c r="K47" i="109"/>
  <c r="O47" i="109"/>
  <c r="E48" i="109"/>
  <c r="I48" i="109"/>
  <c r="M48" i="109"/>
  <c r="C52" i="109"/>
  <c r="G52" i="109"/>
  <c r="K52" i="109"/>
  <c r="O52" i="109"/>
  <c r="E53" i="109"/>
  <c r="I53" i="109"/>
  <c r="M53" i="109"/>
  <c r="Q53" i="109"/>
  <c r="C54" i="109"/>
  <c r="G54" i="109"/>
  <c r="K54" i="109"/>
  <c r="O54" i="109"/>
  <c r="E55" i="109"/>
  <c r="I55" i="109"/>
  <c r="M55" i="109"/>
  <c r="C59" i="109"/>
  <c r="G59" i="109"/>
  <c r="K59" i="109"/>
  <c r="O59" i="109"/>
  <c r="E60" i="109"/>
  <c r="I60" i="109"/>
  <c r="M60" i="109"/>
  <c r="Q60" i="109"/>
  <c r="C61" i="109"/>
  <c r="G61" i="109"/>
  <c r="K61" i="109"/>
  <c r="O61" i="109"/>
  <c r="E62" i="109"/>
  <c r="I62" i="109"/>
  <c r="M62" i="109"/>
  <c r="C66" i="109"/>
  <c r="G66" i="109"/>
  <c r="K66" i="109"/>
  <c r="O66" i="109"/>
  <c r="E67" i="109"/>
  <c r="I67" i="109"/>
  <c r="M67" i="109"/>
  <c r="Q67" i="109"/>
  <c r="C68" i="109"/>
  <c r="G68" i="109"/>
  <c r="K68" i="109"/>
  <c r="O68" i="109"/>
  <c r="E69" i="109"/>
  <c r="I69" i="109"/>
  <c r="M69" i="109"/>
  <c r="C73" i="109"/>
  <c r="G73" i="109"/>
  <c r="K73" i="109"/>
  <c r="O73" i="109"/>
  <c r="E74" i="109"/>
  <c r="I74" i="109"/>
  <c r="M74" i="109"/>
  <c r="Q74" i="109"/>
  <c r="C75" i="109"/>
  <c r="G75" i="109"/>
  <c r="K75" i="109"/>
  <c r="O75" i="109"/>
  <c r="E76" i="109"/>
  <c r="I76" i="109"/>
  <c r="M76" i="109"/>
  <c r="C80" i="109"/>
  <c r="G80" i="109"/>
  <c r="K80" i="109"/>
  <c r="O80" i="109"/>
  <c r="E81" i="109"/>
  <c r="I81" i="109"/>
  <c r="M81" i="109"/>
  <c r="Q81" i="109"/>
  <c r="C82" i="109"/>
  <c r="G82" i="109"/>
  <c r="K82" i="109"/>
  <c r="O82" i="109"/>
  <c r="E83" i="109"/>
  <c r="I83" i="109"/>
  <c r="M83" i="109"/>
  <c r="C87" i="109"/>
  <c r="G87" i="109"/>
  <c r="K87" i="109"/>
  <c r="O87" i="109"/>
  <c r="E88" i="109"/>
  <c r="I88" i="109"/>
  <c r="M88" i="109"/>
  <c r="Q88" i="109"/>
  <c r="C89" i="109"/>
  <c r="G89" i="109"/>
  <c r="K89" i="109"/>
  <c r="O89" i="109"/>
  <c r="E90" i="109"/>
  <c r="I90" i="109"/>
  <c r="M90" i="109"/>
  <c r="C94" i="109"/>
  <c r="G94" i="109"/>
  <c r="K94" i="109"/>
  <c r="O94" i="109"/>
  <c r="E95" i="109"/>
  <c r="I95" i="109"/>
  <c r="M95" i="109"/>
  <c r="Q95" i="109"/>
  <c r="C96" i="109"/>
  <c r="G96" i="109"/>
  <c r="K96" i="109"/>
  <c r="O96" i="109"/>
  <c r="E97" i="109"/>
  <c r="I97" i="109"/>
  <c r="M97" i="109"/>
  <c r="P104" i="109"/>
  <c r="L104" i="109"/>
  <c r="H104" i="109"/>
  <c r="D104" i="109"/>
  <c r="P103" i="109"/>
  <c r="L103" i="109"/>
  <c r="H103" i="109"/>
  <c r="D103" i="109"/>
  <c r="P102" i="109"/>
  <c r="L102" i="109"/>
  <c r="H102" i="109"/>
  <c r="E101" i="109"/>
  <c r="I101" i="109"/>
  <c r="M101" i="109"/>
  <c r="Q101" i="109"/>
  <c r="E102" i="109"/>
  <c r="J102" i="109"/>
  <c r="O102" i="109"/>
  <c r="E103" i="109"/>
  <c r="J103" i="109"/>
  <c r="O103" i="109"/>
  <c r="E104" i="109"/>
  <c r="J104" i="109"/>
  <c r="O104" i="109"/>
  <c r="AH13" i="108"/>
  <c r="U13" i="108"/>
  <c r="AG12" i="108"/>
  <c r="AJ11" i="108"/>
  <c r="AF11" i="108"/>
  <c r="AI10" i="108"/>
  <c r="AE10" i="108"/>
  <c r="AG10" i="108"/>
  <c r="AE11" i="108"/>
  <c r="U12" i="108"/>
  <c r="AI12" i="108"/>
  <c r="AG13" i="108"/>
  <c r="P41" i="108"/>
  <c r="L41" i="108"/>
  <c r="H41" i="108"/>
  <c r="D41" i="108"/>
  <c r="P40" i="108"/>
  <c r="L40" i="108"/>
  <c r="H40" i="108"/>
  <c r="D40" i="108"/>
  <c r="P39" i="108"/>
  <c r="L39" i="108"/>
  <c r="H39" i="108"/>
  <c r="D39" i="108"/>
  <c r="P38" i="108"/>
  <c r="L38" i="108"/>
  <c r="H38" i="108"/>
  <c r="D38" i="108"/>
  <c r="F38" i="108"/>
  <c r="K38" i="108"/>
  <c r="Q38" i="108"/>
  <c r="F39" i="108"/>
  <c r="K39" i="108"/>
  <c r="Q39" i="108"/>
  <c r="F40" i="108"/>
  <c r="K40" i="108"/>
  <c r="Q40" i="108"/>
  <c r="F41" i="108"/>
  <c r="K41" i="108"/>
  <c r="Q41" i="108"/>
  <c r="AJ48" i="108"/>
  <c r="AF48" i="108"/>
  <c r="AB48" i="108"/>
  <c r="X48" i="108"/>
  <c r="AJ47" i="108"/>
  <c r="AF47" i="108"/>
  <c r="AB47" i="108"/>
  <c r="X47" i="108"/>
  <c r="AJ46" i="108"/>
  <c r="AF46" i="108"/>
  <c r="AB46" i="108"/>
  <c r="X46" i="108"/>
  <c r="AJ45" i="108"/>
  <c r="AF45" i="108"/>
  <c r="AB45" i="108"/>
  <c r="X45" i="108"/>
  <c r="D45" i="108"/>
  <c r="I45" i="108"/>
  <c r="O45" i="108"/>
  <c r="V45" i="108"/>
  <c r="AA45" i="108"/>
  <c r="AG45" i="108"/>
  <c r="D46" i="108"/>
  <c r="I46" i="108"/>
  <c r="O46" i="108"/>
  <c r="V46" i="108"/>
  <c r="AA46" i="108"/>
  <c r="AG46" i="108"/>
  <c r="D47" i="108"/>
  <c r="I47" i="108"/>
  <c r="O47" i="108"/>
  <c r="V47" i="108"/>
  <c r="AA47" i="108"/>
  <c r="AG47" i="108"/>
  <c r="D48" i="108"/>
  <c r="I48" i="108"/>
  <c r="V48" i="108"/>
  <c r="AA48" i="108"/>
  <c r="AG48" i="108"/>
  <c r="AJ69" i="108"/>
  <c r="AF69" i="108"/>
  <c r="AB69" i="108"/>
  <c r="X69" i="108"/>
  <c r="AJ68" i="108"/>
  <c r="AF68" i="108"/>
  <c r="AB68" i="108"/>
  <c r="X68" i="108"/>
  <c r="AJ67" i="108"/>
  <c r="AF67" i="108"/>
  <c r="AB67" i="108"/>
  <c r="X67" i="108"/>
  <c r="AJ66" i="108"/>
  <c r="AF66" i="108"/>
  <c r="AB66" i="108"/>
  <c r="X66" i="108"/>
  <c r="AH69" i="108"/>
  <c r="AC69" i="108"/>
  <c r="W69" i="108"/>
  <c r="AH68" i="108"/>
  <c r="AC68" i="108"/>
  <c r="W68" i="108"/>
  <c r="AH67" i="108"/>
  <c r="AC67" i="108"/>
  <c r="W67" i="108"/>
  <c r="AH66" i="108"/>
  <c r="AC66" i="108"/>
  <c r="W66" i="108"/>
  <c r="AH64" i="108"/>
  <c r="G66" i="108"/>
  <c r="M66" i="108"/>
  <c r="V66" i="108"/>
  <c r="AD66" i="108"/>
  <c r="C67" i="108"/>
  <c r="I67" i="108"/>
  <c r="Q67" i="108"/>
  <c r="Z67" i="108"/>
  <c r="AG67" i="108"/>
  <c r="G68" i="108"/>
  <c r="M68" i="108"/>
  <c r="V68" i="108"/>
  <c r="AD68" i="108"/>
  <c r="C69" i="108"/>
  <c r="I69" i="108"/>
  <c r="Z69" i="108"/>
  <c r="AG69" i="108"/>
  <c r="E73" i="108"/>
  <c r="K73" i="108"/>
  <c r="R73" i="108"/>
  <c r="J74" i="108"/>
  <c r="Q74" i="108"/>
  <c r="G75" i="108"/>
  <c r="O75" i="108"/>
  <c r="F76" i="108"/>
  <c r="I90" i="108"/>
  <c r="R90" i="108"/>
  <c r="P90" i="108"/>
  <c r="N90" i="108"/>
  <c r="L90" i="108"/>
  <c r="J90" i="108"/>
  <c r="D90" i="108"/>
  <c r="D87" i="108"/>
  <c r="H87" i="108"/>
  <c r="J87" i="108"/>
  <c r="L87" i="108"/>
  <c r="N87" i="108"/>
  <c r="P87" i="108"/>
  <c r="D88" i="108"/>
  <c r="H88" i="108"/>
  <c r="L88" i="108"/>
  <c r="N88" i="108"/>
  <c r="D89" i="108"/>
  <c r="F89" i="108"/>
  <c r="J89" i="108"/>
  <c r="L89" i="108"/>
  <c r="N89" i="108"/>
  <c r="P89" i="108"/>
  <c r="R89" i="108"/>
  <c r="O90" i="108"/>
  <c r="R48" i="108"/>
  <c r="N48" i="108"/>
  <c r="J48" i="108"/>
  <c r="F48" i="108"/>
  <c r="R47" i="108"/>
  <c r="N47" i="108"/>
  <c r="J47" i="108"/>
  <c r="F47" i="108"/>
  <c r="R46" i="108"/>
  <c r="N46" i="108"/>
  <c r="J46" i="108"/>
  <c r="F46" i="108"/>
  <c r="R45" i="108"/>
  <c r="N45" i="108"/>
  <c r="J45" i="108"/>
  <c r="F45" i="108"/>
  <c r="P43" i="108"/>
  <c r="G45" i="108"/>
  <c r="L45" i="108"/>
  <c r="Q45" i="108"/>
  <c r="G46" i="108"/>
  <c r="L46" i="108"/>
  <c r="Q46" i="108"/>
  <c r="G47" i="108"/>
  <c r="L47" i="108"/>
  <c r="Q47" i="108"/>
  <c r="G48" i="108"/>
  <c r="L48" i="108"/>
  <c r="Q48" i="108"/>
  <c r="R69" i="108"/>
  <c r="N69" i="108"/>
  <c r="J69" i="108"/>
  <c r="F69" i="108"/>
  <c r="R68" i="108"/>
  <c r="N68" i="108"/>
  <c r="J68" i="108"/>
  <c r="F68" i="108"/>
  <c r="R67" i="108"/>
  <c r="N67" i="108"/>
  <c r="J67" i="108"/>
  <c r="F67" i="108"/>
  <c r="R66" i="108"/>
  <c r="N66" i="108"/>
  <c r="J66" i="108"/>
  <c r="F66" i="108"/>
  <c r="P64" i="108"/>
  <c r="P69" i="108"/>
  <c r="K69" i="108"/>
  <c r="E69" i="108"/>
  <c r="P68" i="108"/>
  <c r="K68" i="108"/>
  <c r="E68" i="108"/>
  <c r="P67" i="108"/>
  <c r="K67" i="108"/>
  <c r="E67" i="108"/>
  <c r="P66" i="108"/>
  <c r="K66" i="108"/>
  <c r="E66" i="108"/>
  <c r="C66" i="108"/>
  <c r="I66" i="108"/>
  <c r="Q66" i="108"/>
  <c r="G67" i="108"/>
  <c r="M67" i="108"/>
  <c r="C68" i="108"/>
  <c r="I68" i="108"/>
  <c r="Q68" i="108"/>
  <c r="G69" i="108"/>
  <c r="M69" i="108"/>
  <c r="P76" i="108"/>
  <c r="L76" i="108"/>
  <c r="H76" i="108"/>
  <c r="D76" i="108"/>
  <c r="P75" i="108"/>
  <c r="L75" i="108"/>
  <c r="H75" i="108"/>
  <c r="D75" i="108"/>
  <c r="P74" i="108"/>
  <c r="L74" i="108"/>
  <c r="H74" i="108"/>
  <c r="D74" i="108"/>
  <c r="P73" i="108"/>
  <c r="L73" i="108"/>
  <c r="H73" i="108"/>
  <c r="D73" i="108"/>
  <c r="N76" i="108"/>
  <c r="I76" i="108"/>
  <c r="C76" i="108"/>
  <c r="N75" i="108"/>
  <c r="I75" i="108"/>
  <c r="C75" i="108"/>
  <c r="N74" i="108"/>
  <c r="I74" i="108"/>
  <c r="C74" i="108"/>
  <c r="N73" i="108"/>
  <c r="I73" i="108"/>
  <c r="C73" i="108"/>
  <c r="G73" i="108"/>
  <c r="O73" i="108"/>
  <c r="F74" i="108"/>
  <c r="M74" i="108"/>
  <c r="E75" i="108"/>
  <c r="K75" i="108"/>
  <c r="R75" i="108"/>
  <c r="J76" i="108"/>
  <c r="Q76" i="108"/>
  <c r="E90" i="108"/>
  <c r="M90" i="108"/>
  <c r="C89" i="108"/>
  <c r="E89" i="108"/>
  <c r="G89" i="108"/>
  <c r="I89" i="108"/>
  <c r="K89" i="108"/>
  <c r="M89" i="108"/>
  <c r="Q89" i="108"/>
  <c r="C90" i="108"/>
  <c r="F101" i="108"/>
  <c r="N101" i="108"/>
  <c r="F102" i="108"/>
  <c r="N102" i="108"/>
  <c r="N103" i="108"/>
  <c r="F104" i="108"/>
  <c r="Q104" i="108"/>
  <c r="K104" i="108"/>
  <c r="I104" i="108"/>
  <c r="G104" i="108"/>
  <c r="E104" i="108"/>
  <c r="C104" i="108"/>
  <c r="Q103" i="108"/>
  <c r="M103" i="108"/>
  <c r="K103" i="108"/>
  <c r="I103" i="108"/>
  <c r="E103" i="108"/>
  <c r="C103" i="108"/>
  <c r="O102" i="108"/>
  <c r="M102" i="108"/>
  <c r="K102" i="108"/>
  <c r="I102" i="108"/>
  <c r="G102" i="108"/>
  <c r="C102" i="108"/>
  <c r="Q101" i="108"/>
  <c r="O101" i="108"/>
  <c r="M101" i="108"/>
  <c r="K101" i="108"/>
  <c r="I101" i="108"/>
  <c r="G101" i="108"/>
  <c r="E101" i="108"/>
  <c r="C101" i="108"/>
  <c r="L101" i="108"/>
  <c r="D102" i="108"/>
  <c r="L102" i="108"/>
  <c r="L103" i="108"/>
  <c r="D104" i="108"/>
  <c r="L104" i="108"/>
  <c r="V24" i="108"/>
  <c r="Z24" i="108"/>
  <c r="AD24" i="108"/>
  <c r="AH24" i="108"/>
  <c r="V25" i="108"/>
  <c r="Z25" i="108"/>
  <c r="AD25" i="108"/>
  <c r="AH25" i="108"/>
  <c r="V26" i="108"/>
  <c r="Z26" i="108"/>
  <c r="AD26" i="108"/>
  <c r="AH26" i="108"/>
  <c r="V27" i="108"/>
  <c r="Z27" i="108"/>
  <c r="AD27" i="108"/>
  <c r="V38" i="108"/>
  <c r="Z38" i="108"/>
  <c r="AD38" i="108"/>
  <c r="AH38" i="108"/>
  <c r="V39" i="108"/>
  <c r="Z39" i="108"/>
  <c r="AD39" i="108"/>
  <c r="AH39" i="108"/>
  <c r="V40" i="108"/>
  <c r="Z40" i="108"/>
  <c r="AD40" i="108"/>
  <c r="AH40" i="108"/>
  <c r="V41" i="108"/>
  <c r="Z41" i="108"/>
  <c r="AD41" i="108"/>
  <c r="AJ55" i="108"/>
  <c r="AF55" i="108"/>
  <c r="AB55" i="108"/>
  <c r="X55" i="108"/>
  <c r="AJ54" i="108"/>
  <c r="AF54" i="108"/>
  <c r="AB54" i="108"/>
  <c r="X54" i="108"/>
  <c r="AJ53" i="108"/>
  <c r="AF53" i="108"/>
  <c r="AB53" i="108"/>
  <c r="X53" i="108"/>
  <c r="AJ52" i="108"/>
  <c r="AF52" i="108"/>
  <c r="AB52" i="108"/>
  <c r="X52" i="108"/>
  <c r="V52" i="108"/>
  <c r="AA52" i="108"/>
  <c r="AG52" i="108"/>
  <c r="V53" i="108"/>
  <c r="AA53" i="108"/>
  <c r="AG53" i="108"/>
  <c r="V54" i="108"/>
  <c r="AA54" i="108"/>
  <c r="AG54" i="108"/>
  <c r="V55" i="108"/>
  <c r="AA55" i="108"/>
  <c r="AG55" i="108"/>
  <c r="C94" i="108"/>
  <c r="E94" i="108"/>
  <c r="I94" i="108"/>
  <c r="K94" i="108"/>
  <c r="M94" i="108"/>
  <c r="O94" i="108"/>
  <c r="Q94" i="108"/>
  <c r="U94" i="108"/>
  <c r="W94" i="108"/>
  <c r="AA94" i="108"/>
  <c r="AE94" i="108"/>
  <c r="AG94" i="108"/>
  <c r="C95" i="108"/>
  <c r="E95" i="108"/>
  <c r="G95" i="108"/>
  <c r="I95" i="108"/>
  <c r="K95" i="108"/>
  <c r="M95" i="108"/>
  <c r="O95" i="108"/>
  <c r="Q95" i="108"/>
  <c r="U95" i="108"/>
  <c r="W95" i="108"/>
  <c r="AA95" i="108"/>
  <c r="AE95" i="108"/>
  <c r="AG95" i="108"/>
  <c r="C96" i="108"/>
  <c r="E96" i="108"/>
  <c r="G96" i="108"/>
  <c r="I96" i="108"/>
  <c r="M96" i="108"/>
  <c r="O96" i="108"/>
  <c r="Q96" i="108"/>
  <c r="U96" i="108"/>
  <c r="Y96" i="108"/>
  <c r="AE96" i="108"/>
  <c r="AG96" i="108"/>
  <c r="C97" i="108"/>
  <c r="E97" i="108"/>
  <c r="I97" i="108"/>
  <c r="K97" i="108"/>
  <c r="M97" i="108"/>
  <c r="O97" i="108"/>
  <c r="Q97" i="108"/>
  <c r="U97" i="108"/>
  <c r="W97" i="108"/>
  <c r="Y97" i="108"/>
  <c r="AC97" i="108"/>
  <c r="P99" i="108"/>
  <c r="J101" i="108"/>
  <c r="R101" i="108"/>
  <c r="J102" i="108"/>
  <c r="R102" i="108"/>
  <c r="J104" i="108"/>
  <c r="R104" i="108"/>
  <c r="AG13" i="110"/>
  <c r="AC13" i="110"/>
  <c r="Y13" i="110"/>
  <c r="U13" i="110"/>
  <c r="AG12" i="110"/>
  <c r="AC12" i="110"/>
  <c r="Y12" i="110"/>
  <c r="U12" i="110"/>
  <c r="AG11" i="110"/>
  <c r="AC11" i="110"/>
  <c r="Y11" i="110"/>
  <c r="U11" i="110"/>
  <c r="AG10" i="110"/>
  <c r="AC10" i="110"/>
  <c r="Y10" i="110"/>
  <c r="U10" i="110"/>
  <c r="AH13" i="110"/>
  <c r="AB13" i="110"/>
  <c r="W13" i="110"/>
  <c r="AJ13" i="110"/>
  <c r="AD13" i="110"/>
  <c r="V13" i="110"/>
  <c r="AJ12" i="110"/>
  <c r="AE12" i="110"/>
  <c r="Z12" i="110"/>
  <c r="AJ11" i="110"/>
  <c r="AE11" i="110"/>
  <c r="Z11" i="110"/>
  <c r="AJ10" i="110"/>
  <c r="AE10" i="110"/>
  <c r="Z10" i="110"/>
  <c r="AH8" i="110"/>
  <c r="AE13" i="110"/>
  <c r="AD12" i="110"/>
  <c r="W12" i="110"/>
  <c r="AH11" i="110"/>
  <c r="AA11" i="110"/>
  <c r="AD10" i="110"/>
  <c r="W10" i="110"/>
  <c r="AA10" i="110"/>
  <c r="AI10" i="110"/>
  <c r="W11" i="110"/>
  <c r="AF11" i="110"/>
  <c r="AB12" i="110"/>
  <c r="AA13" i="110"/>
  <c r="AH97" i="108"/>
  <c r="AF97" i="108"/>
  <c r="AG97" i="108"/>
  <c r="H101" i="108"/>
  <c r="H102" i="108"/>
  <c r="H103" i="108"/>
  <c r="P103" i="108"/>
  <c r="H104" i="108"/>
  <c r="V59" i="108"/>
  <c r="Z59" i="108"/>
  <c r="AD59" i="108"/>
  <c r="AH59" i="108"/>
  <c r="V60" i="108"/>
  <c r="Z60" i="108"/>
  <c r="AD60" i="108"/>
  <c r="AH60" i="108"/>
  <c r="V61" i="108"/>
  <c r="Z61" i="108"/>
  <c r="AD61" i="108"/>
  <c r="AH61" i="108"/>
  <c r="V62" i="108"/>
  <c r="Z62" i="108"/>
  <c r="AD62" i="108"/>
  <c r="O13" i="110"/>
  <c r="K13" i="110"/>
  <c r="G13" i="110"/>
  <c r="C13" i="110"/>
  <c r="O12" i="110"/>
  <c r="K12" i="110"/>
  <c r="G12" i="110"/>
  <c r="C12" i="110"/>
  <c r="O11" i="110"/>
  <c r="K11" i="110"/>
  <c r="G11" i="110"/>
  <c r="C11" i="110"/>
  <c r="P13" i="110"/>
  <c r="M13" i="110"/>
  <c r="H13" i="110"/>
  <c r="R12" i="110"/>
  <c r="M12" i="110"/>
  <c r="H12" i="110"/>
  <c r="R11" i="110"/>
  <c r="M11" i="110"/>
  <c r="H11" i="110"/>
  <c r="R10" i="110"/>
  <c r="N10" i="110"/>
  <c r="J10" i="110"/>
  <c r="F10" i="110"/>
  <c r="D10" i="110"/>
  <c r="I10" i="110"/>
  <c r="O10" i="110"/>
  <c r="D11" i="110"/>
  <c r="J11" i="110"/>
  <c r="Q11" i="110"/>
  <c r="F12" i="110"/>
  <c r="N12" i="110"/>
  <c r="D13" i="110"/>
  <c r="J13" i="110"/>
  <c r="R13" i="110"/>
  <c r="AG27" i="110"/>
  <c r="AC27" i="110"/>
  <c r="Y27" i="110"/>
  <c r="U27" i="110"/>
  <c r="AG26" i="110"/>
  <c r="AC26" i="110"/>
  <c r="Y26" i="110"/>
  <c r="U26" i="110"/>
  <c r="AG25" i="110"/>
  <c r="AC25" i="110"/>
  <c r="Y25" i="110"/>
  <c r="U25" i="110"/>
  <c r="AG24" i="110"/>
  <c r="AC24" i="110"/>
  <c r="Y24" i="110"/>
  <c r="U24" i="110"/>
  <c r="AI27" i="110"/>
  <c r="AD27" i="110"/>
  <c r="X27" i="110"/>
  <c r="AI26" i="110"/>
  <c r="AD26" i="110"/>
  <c r="X26" i="110"/>
  <c r="AI25" i="110"/>
  <c r="AD25" i="110"/>
  <c r="X25" i="110"/>
  <c r="AI24" i="110"/>
  <c r="AD24" i="110"/>
  <c r="X24" i="110"/>
  <c r="AH22" i="110"/>
  <c r="AF27" i="110"/>
  <c r="Z27" i="110"/>
  <c r="AJ26" i="110"/>
  <c r="AB26" i="110"/>
  <c r="V26" i="110"/>
  <c r="AF25" i="110"/>
  <c r="Z25" i="110"/>
  <c r="AJ24" i="110"/>
  <c r="AB24" i="110"/>
  <c r="V24" i="110"/>
  <c r="AJ27" i="110"/>
  <c r="AB27" i="110"/>
  <c r="V27" i="110"/>
  <c r="AF26" i="110"/>
  <c r="Z26" i="110"/>
  <c r="AJ25" i="110"/>
  <c r="AB25" i="110"/>
  <c r="V25" i="110"/>
  <c r="AF24" i="110"/>
  <c r="Z24" i="110"/>
  <c r="AA24" i="110"/>
  <c r="W25" i="110"/>
  <c r="AH26" i="110"/>
  <c r="AE27" i="110"/>
  <c r="AH27" i="110"/>
  <c r="AI62" i="110"/>
  <c r="AE62" i="110"/>
  <c r="AA62" i="110"/>
  <c r="W62" i="110"/>
  <c r="AI61" i="110"/>
  <c r="AE61" i="110"/>
  <c r="AA61" i="110"/>
  <c r="W61" i="110"/>
  <c r="AI60" i="110"/>
  <c r="AE60" i="110"/>
  <c r="AA60" i="110"/>
  <c r="W60" i="110"/>
  <c r="AI59" i="110"/>
  <c r="AE59" i="110"/>
  <c r="AA59" i="110"/>
  <c r="W59" i="110"/>
  <c r="AH57" i="110"/>
  <c r="AJ62" i="110"/>
  <c r="AD62" i="110"/>
  <c r="Y62" i="110"/>
  <c r="AJ61" i="110"/>
  <c r="AD61" i="110"/>
  <c r="Y61" i="110"/>
  <c r="AJ60" i="110"/>
  <c r="AD60" i="110"/>
  <c r="Y60" i="110"/>
  <c r="AJ59" i="110"/>
  <c r="AD59" i="110"/>
  <c r="Y59" i="110"/>
  <c r="AG62" i="110"/>
  <c r="AB62" i="110"/>
  <c r="V62" i="110"/>
  <c r="AG61" i="110"/>
  <c r="AB61" i="110"/>
  <c r="V61" i="110"/>
  <c r="AG60" i="110"/>
  <c r="AB60" i="110"/>
  <c r="V60" i="110"/>
  <c r="AG59" i="110"/>
  <c r="AB59" i="110"/>
  <c r="V59" i="110"/>
  <c r="Z59" i="110"/>
  <c r="U60" i="110"/>
  <c r="AF60" i="110"/>
  <c r="Z61" i="110"/>
  <c r="U62" i="110"/>
  <c r="AF62" i="110"/>
  <c r="F66" i="110"/>
  <c r="Q66" i="110"/>
  <c r="I67" i="110"/>
  <c r="L68" i="110"/>
  <c r="D69" i="110"/>
  <c r="N69" i="110"/>
  <c r="X20" i="110"/>
  <c r="AI34" i="110"/>
  <c r="AE34" i="110"/>
  <c r="AA34" i="110"/>
  <c r="W34" i="110"/>
  <c r="AI33" i="110"/>
  <c r="AE33" i="110"/>
  <c r="AA33" i="110"/>
  <c r="W33" i="110"/>
  <c r="AI32" i="110"/>
  <c r="AE32" i="110"/>
  <c r="AA32" i="110"/>
  <c r="W32" i="110"/>
  <c r="AI31" i="110"/>
  <c r="AE31" i="110"/>
  <c r="AA31" i="110"/>
  <c r="W31" i="110"/>
  <c r="AG34" i="110"/>
  <c r="AB34" i="110"/>
  <c r="V34" i="110"/>
  <c r="AG33" i="110"/>
  <c r="AB33" i="110"/>
  <c r="V33" i="110"/>
  <c r="AG32" i="110"/>
  <c r="AB32" i="110"/>
  <c r="V32" i="110"/>
  <c r="AG31" i="110"/>
  <c r="AB31" i="110"/>
  <c r="V31" i="110"/>
  <c r="AJ34" i="110"/>
  <c r="AD34" i="110"/>
  <c r="Y34" i="110"/>
  <c r="AJ33" i="110"/>
  <c r="AD33" i="110"/>
  <c r="Y33" i="110"/>
  <c r="Y31" i="110"/>
  <c r="AF31" i="110"/>
  <c r="X32" i="110"/>
  <c r="AD32" i="110"/>
  <c r="U33" i="110"/>
  <c r="AF33" i="110"/>
  <c r="Z34" i="110"/>
  <c r="O41" i="110"/>
  <c r="K41" i="110"/>
  <c r="G41" i="110"/>
  <c r="C41" i="110"/>
  <c r="O40" i="110"/>
  <c r="K40" i="110"/>
  <c r="G40" i="110"/>
  <c r="C40" i="110"/>
  <c r="O39" i="110"/>
  <c r="K39" i="110"/>
  <c r="G39" i="110"/>
  <c r="C39" i="110"/>
  <c r="O38" i="110"/>
  <c r="K38" i="110"/>
  <c r="G38" i="110"/>
  <c r="C38" i="110"/>
  <c r="R41" i="110"/>
  <c r="M41" i="110"/>
  <c r="H41" i="110"/>
  <c r="R40" i="110"/>
  <c r="M40" i="110"/>
  <c r="H40" i="110"/>
  <c r="R39" i="110"/>
  <c r="M39" i="110"/>
  <c r="H39" i="110"/>
  <c r="R38" i="110"/>
  <c r="M38" i="110"/>
  <c r="H38" i="110"/>
  <c r="P36" i="110"/>
  <c r="P41" i="110"/>
  <c r="J41" i="110"/>
  <c r="E41" i="110"/>
  <c r="P40" i="110"/>
  <c r="J40" i="110"/>
  <c r="E40" i="110"/>
  <c r="P39" i="110"/>
  <c r="J39" i="110"/>
  <c r="E39" i="110"/>
  <c r="P38" i="110"/>
  <c r="J38" i="110"/>
  <c r="E38" i="110"/>
  <c r="L38" i="110"/>
  <c r="L39" i="110"/>
  <c r="L40" i="110"/>
  <c r="L41" i="110"/>
  <c r="AB53" i="110"/>
  <c r="AB54" i="110"/>
  <c r="AC59" i="110"/>
  <c r="X60" i="110"/>
  <c r="AH60" i="110"/>
  <c r="AC61" i="110"/>
  <c r="X62" i="110"/>
  <c r="AH62" i="110"/>
  <c r="I66" i="110"/>
  <c r="L67" i="110"/>
  <c r="D68" i="110"/>
  <c r="N68" i="110"/>
  <c r="F69" i="110"/>
  <c r="Z62" i="110"/>
  <c r="O69" i="110"/>
  <c r="K69" i="110"/>
  <c r="G69" i="110"/>
  <c r="C69" i="110"/>
  <c r="O68" i="110"/>
  <c r="K68" i="110"/>
  <c r="G68" i="110"/>
  <c r="C68" i="110"/>
  <c r="O67" i="110"/>
  <c r="K67" i="110"/>
  <c r="G67" i="110"/>
  <c r="C67" i="110"/>
  <c r="O66" i="110"/>
  <c r="K66" i="110"/>
  <c r="G66" i="110"/>
  <c r="C66" i="110"/>
  <c r="P69" i="110"/>
  <c r="J69" i="110"/>
  <c r="E69" i="110"/>
  <c r="P68" i="110"/>
  <c r="J68" i="110"/>
  <c r="E68" i="110"/>
  <c r="P67" i="110"/>
  <c r="J67" i="110"/>
  <c r="E67" i="110"/>
  <c r="P66" i="110"/>
  <c r="J66" i="110"/>
  <c r="E66" i="110"/>
  <c r="R69" i="110"/>
  <c r="M69" i="110"/>
  <c r="H69" i="110"/>
  <c r="R68" i="110"/>
  <c r="M68" i="110"/>
  <c r="H68" i="110"/>
  <c r="R67" i="110"/>
  <c r="M67" i="110"/>
  <c r="H67" i="110"/>
  <c r="R66" i="110"/>
  <c r="M66" i="110"/>
  <c r="H66" i="110"/>
  <c r="P64" i="110"/>
  <c r="L66" i="110"/>
  <c r="D67" i="110"/>
  <c r="N67" i="110"/>
  <c r="F68" i="110"/>
  <c r="Q68" i="110"/>
  <c r="I69" i="110"/>
  <c r="AI20" i="110"/>
  <c r="AE20" i="110"/>
  <c r="AA20" i="110"/>
  <c r="W20" i="110"/>
  <c r="AI19" i="110"/>
  <c r="AE19" i="110"/>
  <c r="AA19" i="110"/>
  <c r="W19" i="110"/>
  <c r="AI18" i="110"/>
  <c r="AE18" i="110"/>
  <c r="AA18" i="110"/>
  <c r="W18" i="110"/>
  <c r="AI17" i="110"/>
  <c r="AE17" i="110"/>
  <c r="AA17" i="110"/>
  <c r="W17" i="110"/>
  <c r="AF20" i="110"/>
  <c r="Z20" i="110"/>
  <c r="U20" i="110"/>
  <c r="AF19" i="110"/>
  <c r="Z19" i="110"/>
  <c r="U19" i="110"/>
  <c r="AF18" i="110"/>
  <c r="Z18" i="110"/>
  <c r="U18" i="110"/>
  <c r="AF17" i="110"/>
  <c r="Z17" i="110"/>
  <c r="U17" i="110"/>
  <c r="Y17" i="110"/>
  <c r="AG17" i="110"/>
  <c r="X18" i="110"/>
  <c r="AD18" i="110"/>
  <c r="V19" i="110"/>
  <c r="AC19" i="110"/>
  <c r="AJ19" i="110"/>
  <c r="AB20" i="110"/>
  <c r="AH20" i="110"/>
  <c r="U31" i="110"/>
  <c r="AC31" i="110"/>
  <c r="AJ31" i="110"/>
  <c r="Z32" i="110"/>
  <c r="AH32" i="110"/>
  <c r="Z33" i="110"/>
  <c r="U34" i="110"/>
  <c r="AF34" i="110"/>
  <c r="F38" i="110"/>
  <c r="Q38" i="110"/>
  <c r="F39" i="110"/>
  <c r="Q39" i="110"/>
  <c r="F40" i="110"/>
  <c r="Q40" i="110"/>
  <c r="F41" i="110"/>
  <c r="Q41" i="110"/>
  <c r="AG55" i="110"/>
  <c r="AC55" i="110"/>
  <c r="Y55" i="110"/>
  <c r="U55" i="110"/>
  <c r="AG54" i="110"/>
  <c r="AC54" i="110"/>
  <c r="Y54" i="110"/>
  <c r="U54" i="110"/>
  <c r="AG53" i="110"/>
  <c r="AC53" i="110"/>
  <c r="Y53" i="110"/>
  <c r="U53" i="110"/>
  <c r="AG52" i="110"/>
  <c r="AC52" i="110"/>
  <c r="Y52" i="110"/>
  <c r="U52" i="110"/>
  <c r="AF55" i="110"/>
  <c r="AA55" i="110"/>
  <c r="V55" i="110"/>
  <c r="AF54" i="110"/>
  <c r="AA54" i="110"/>
  <c r="V54" i="110"/>
  <c r="AF53" i="110"/>
  <c r="AA53" i="110"/>
  <c r="V53" i="110"/>
  <c r="AF52" i="110"/>
  <c r="AA52" i="110"/>
  <c r="V52" i="110"/>
  <c r="AI55" i="110"/>
  <c r="AD55" i="110"/>
  <c r="X55" i="110"/>
  <c r="AI54" i="110"/>
  <c r="AD54" i="110"/>
  <c r="X54" i="110"/>
  <c r="AI53" i="110"/>
  <c r="AD53" i="110"/>
  <c r="X53" i="110"/>
  <c r="AI52" i="110"/>
  <c r="AD52" i="110"/>
  <c r="X52" i="110"/>
  <c r="AH50" i="110"/>
  <c r="W52" i="110"/>
  <c r="AH52" i="110"/>
  <c r="W53" i="110"/>
  <c r="AH53" i="110"/>
  <c r="W54" i="110"/>
  <c r="AH54" i="110"/>
  <c r="W55" i="110"/>
  <c r="AH55" i="110"/>
  <c r="X59" i="110"/>
  <c r="AH59" i="110"/>
  <c r="AC60" i="110"/>
  <c r="X61" i="110"/>
  <c r="AH61" i="110"/>
  <c r="AC62" i="110"/>
  <c r="D66" i="110"/>
  <c r="N66" i="110"/>
  <c r="F67" i="110"/>
  <c r="Q67" i="110"/>
  <c r="I68" i="110"/>
  <c r="L69" i="110"/>
  <c r="AG41" i="110"/>
  <c r="AC41" i="110"/>
  <c r="Y41" i="110"/>
  <c r="U41" i="110"/>
  <c r="AG40" i="110"/>
  <c r="AC40" i="110"/>
  <c r="Y40" i="110"/>
  <c r="U40" i="110"/>
  <c r="AG39" i="110"/>
  <c r="AC39" i="110"/>
  <c r="Y39" i="110"/>
  <c r="U39" i="110"/>
  <c r="AG38" i="110"/>
  <c r="AC38" i="110"/>
  <c r="Y38" i="110"/>
  <c r="U38" i="110"/>
  <c r="W38" i="110"/>
  <c r="AB38" i="110"/>
  <c r="AH38" i="110"/>
  <c r="W39" i="110"/>
  <c r="AB39" i="110"/>
  <c r="AH39" i="110"/>
  <c r="W40" i="110"/>
  <c r="AB40" i="110"/>
  <c r="AH40" i="110"/>
  <c r="W41" i="110"/>
  <c r="AB41" i="110"/>
  <c r="AH41" i="110"/>
  <c r="U48" i="110"/>
  <c r="Z48" i="110"/>
  <c r="O55" i="110"/>
  <c r="K55" i="110"/>
  <c r="G55" i="110"/>
  <c r="C55" i="110"/>
  <c r="O54" i="110"/>
  <c r="K54" i="110"/>
  <c r="G54" i="110"/>
  <c r="C54" i="110"/>
  <c r="O53" i="110"/>
  <c r="K53" i="110"/>
  <c r="G53" i="110"/>
  <c r="C53" i="110"/>
  <c r="O52" i="110"/>
  <c r="K52" i="110"/>
  <c r="G52" i="110"/>
  <c r="C52" i="110"/>
  <c r="F52" i="110"/>
  <c r="L52" i="110"/>
  <c r="Q52" i="110"/>
  <c r="F53" i="110"/>
  <c r="L53" i="110"/>
  <c r="Q53" i="110"/>
  <c r="F54" i="110"/>
  <c r="L54" i="110"/>
  <c r="Q54" i="110"/>
  <c r="F55" i="110"/>
  <c r="L55" i="110"/>
  <c r="Q55" i="110"/>
  <c r="AH76" i="110"/>
  <c r="AD76" i="110"/>
  <c r="AB76" i="110"/>
  <c r="Z76" i="110"/>
  <c r="X76" i="110"/>
  <c r="V76" i="110"/>
  <c r="AJ75" i="110"/>
  <c r="AF75" i="110"/>
  <c r="AB75" i="110"/>
  <c r="Z75" i="110"/>
  <c r="X75" i="110"/>
  <c r="AH74" i="110"/>
  <c r="AF74" i="110"/>
  <c r="X74" i="110"/>
  <c r="V74" i="110"/>
  <c r="AJ73" i="110"/>
  <c r="AH73" i="110"/>
  <c r="AF73" i="110"/>
  <c r="AA76" i="110"/>
  <c r="AI75" i="110"/>
  <c r="AI74" i="110"/>
  <c r="AA74" i="110"/>
  <c r="AD73" i="110"/>
  <c r="AB73" i="110"/>
  <c r="V73" i="110"/>
  <c r="AH71" i="110"/>
  <c r="Y73" i="110"/>
  <c r="AG73" i="110"/>
  <c r="Y74" i="110"/>
  <c r="AE74" i="110"/>
  <c r="W75" i="110"/>
  <c r="AI83" i="110"/>
  <c r="AE83" i="110"/>
  <c r="AC83" i="110"/>
  <c r="AA83" i="110"/>
  <c r="Y83" i="110"/>
  <c r="W83" i="110"/>
  <c r="U83" i="110"/>
  <c r="AI82" i="110"/>
  <c r="AE82" i="110"/>
  <c r="AC82" i="110"/>
  <c r="AA82" i="110"/>
  <c r="Y82" i="110"/>
  <c r="W82" i="110"/>
  <c r="U82" i="110"/>
  <c r="AI81" i="110"/>
  <c r="AG81" i="110"/>
  <c r="AC81" i="110"/>
  <c r="AA81" i="110"/>
  <c r="Y81" i="110"/>
  <c r="W81" i="110"/>
  <c r="AI80" i="110"/>
  <c r="AG80" i="110"/>
  <c r="AE80" i="110"/>
  <c r="AC80" i="110"/>
  <c r="AA80" i="110"/>
  <c r="Y80" i="110"/>
  <c r="U80" i="110"/>
  <c r="AH83" i="110"/>
  <c r="Z83" i="110"/>
  <c r="AH82" i="110"/>
  <c r="Z82" i="110"/>
  <c r="AH81" i="110"/>
  <c r="Z81" i="110"/>
  <c r="AH80" i="110"/>
  <c r="Z80" i="110"/>
  <c r="D80" i="110"/>
  <c r="J80" i="110"/>
  <c r="AF80" i="110"/>
  <c r="J81" i="110"/>
  <c r="AF81" i="110"/>
  <c r="D82" i="110"/>
  <c r="AF82" i="110"/>
  <c r="D83" i="110"/>
  <c r="AF83" i="110"/>
  <c r="O27" i="110"/>
  <c r="K27" i="110"/>
  <c r="G27" i="110"/>
  <c r="C27" i="110"/>
  <c r="O26" i="110"/>
  <c r="K26" i="110"/>
  <c r="G26" i="110"/>
  <c r="C26" i="110"/>
  <c r="O25" i="110"/>
  <c r="K25" i="110"/>
  <c r="G25" i="110"/>
  <c r="C25" i="110"/>
  <c r="O24" i="110"/>
  <c r="K24" i="110"/>
  <c r="G24" i="110"/>
  <c r="C24" i="110"/>
  <c r="F24" i="110"/>
  <c r="L24" i="110"/>
  <c r="Q24" i="110"/>
  <c r="F25" i="110"/>
  <c r="L25" i="110"/>
  <c r="Q25" i="110"/>
  <c r="F26" i="110"/>
  <c r="L26" i="110"/>
  <c r="Q26" i="110"/>
  <c r="F27" i="110"/>
  <c r="L27" i="110"/>
  <c r="Q27" i="110"/>
  <c r="Z38" i="110"/>
  <c r="AE38" i="110"/>
  <c r="AJ38" i="110"/>
  <c r="Z39" i="110"/>
  <c r="AE39" i="110"/>
  <c r="AJ39" i="110"/>
  <c r="Z40" i="110"/>
  <c r="AE40" i="110"/>
  <c r="AJ40" i="110"/>
  <c r="Z41" i="110"/>
  <c r="AE41" i="110"/>
  <c r="AJ41" i="110"/>
  <c r="AI48" i="110"/>
  <c r="AE48" i="110"/>
  <c r="AA48" i="110"/>
  <c r="W48" i="110"/>
  <c r="AI47" i="110"/>
  <c r="AE47" i="110"/>
  <c r="AA47" i="110"/>
  <c r="W47" i="110"/>
  <c r="AI46" i="110"/>
  <c r="AE46" i="110"/>
  <c r="AA46" i="110"/>
  <c r="W46" i="110"/>
  <c r="AI45" i="110"/>
  <c r="AE45" i="110"/>
  <c r="AA45" i="110"/>
  <c r="W45" i="110"/>
  <c r="AH43" i="110"/>
  <c r="X45" i="110"/>
  <c r="AC45" i="110"/>
  <c r="AH45" i="110"/>
  <c r="X46" i="110"/>
  <c r="AC46" i="110"/>
  <c r="AH46" i="110"/>
  <c r="X47" i="110"/>
  <c r="AC47" i="110"/>
  <c r="AH47" i="110"/>
  <c r="X48" i="110"/>
  <c r="AC48" i="110"/>
  <c r="AH48" i="110"/>
  <c r="D52" i="110"/>
  <c r="I52" i="110"/>
  <c r="N52" i="110"/>
  <c r="D53" i="110"/>
  <c r="I53" i="110"/>
  <c r="N53" i="110"/>
  <c r="D54" i="110"/>
  <c r="I54" i="110"/>
  <c r="N54" i="110"/>
  <c r="D55" i="110"/>
  <c r="I55" i="110"/>
  <c r="N55" i="110"/>
  <c r="AG69" i="110"/>
  <c r="AC69" i="110"/>
  <c r="Y69" i="110"/>
  <c r="U69" i="110"/>
  <c r="AG68" i="110"/>
  <c r="AC68" i="110"/>
  <c r="Y68" i="110"/>
  <c r="U68" i="110"/>
  <c r="AG67" i="110"/>
  <c r="AC67" i="110"/>
  <c r="Y67" i="110"/>
  <c r="U67" i="110"/>
  <c r="AG66" i="110"/>
  <c r="AC66" i="110"/>
  <c r="Y66" i="110"/>
  <c r="U66" i="110"/>
  <c r="W66" i="110"/>
  <c r="AB66" i="110"/>
  <c r="AH66" i="110"/>
  <c r="W67" i="110"/>
  <c r="AB67" i="110"/>
  <c r="AH67" i="110"/>
  <c r="W68" i="110"/>
  <c r="AB68" i="110"/>
  <c r="AH68" i="110"/>
  <c r="W69" i="110"/>
  <c r="AB69" i="110"/>
  <c r="AH69" i="110"/>
  <c r="AC73" i="110"/>
  <c r="U74" i="110"/>
  <c r="Y76" i="110"/>
  <c r="AE76" i="110"/>
  <c r="Q83" i="110"/>
  <c r="O83" i="110"/>
  <c r="M83" i="110"/>
  <c r="K83" i="110"/>
  <c r="I83" i="110"/>
  <c r="E83" i="110"/>
  <c r="C83" i="110"/>
  <c r="Q82" i="110"/>
  <c r="M82" i="110"/>
  <c r="K82" i="110"/>
  <c r="I82" i="110"/>
  <c r="G82" i="110"/>
  <c r="E82" i="110"/>
  <c r="C82" i="110"/>
  <c r="Q81" i="110"/>
  <c r="O81" i="110"/>
  <c r="M81" i="110"/>
  <c r="K81" i="110"/>
  <c r="I81" i="110"/>
  <c r="G81" i="110"/>
  <c r="E81" i="110"/>
  <c r="C81" i="110"/>
  <c r="Q80" i="110"/>
  <c r="M80" i="110"/>
  <c r="K80" i="110"/>
  <c r="I80" i="110"/>
  <c r="C80" i="110"/>
  <c r="H83" i="110"/>
  <c r="P82" i="110"/>
  <c r="H82" i="110"/>
  <c r="H81" i="110"/>
  <c r="P80" i="110"/>
  <c r="H80" i="110"/>
  <c r="P78" i="110"/>
  <c r="N80" i="110"/>
  <c r="V80" i="110"/>
  <c r="AB80" i="110"/>
  <c r="V81" i="110"/>
  <c r="AB81" i="110"/>
  <c r="N82" i="110"/>
  <c r="V82" i="110"/>
  <c r="AB82" i="110"/>
  <c r="N83" i="110"/>
  <c r="V83" i="110"/>
  <c r="AI97" i="110"/>
  <c r="AG97" i="110"/>
  <c r="AE97" i="110"/>
  <c r="U97" i="110"/>
  <c r="AI96" i="110"/>
  <c r="AG96" i="110"/>
  <c r="AE96" i="110"/>
  <c r="AC96" i="110"/>
  <c r="U96" i="110"/>
  <c r="AI95" i="110"/>
  <c r="AG95" i="110"/>
  <c r="AE95" i="110"/>
  <c r="AC95" i="110"/>
  <c r="Y95" i="110"/>
  <c r="U95" i="110"/>
  <c r="AJ97" i="110"/>
  <c r="AH97" i="110"/>
  <c r="AF97" i="110"/>
  <c r="AD97" i="110"/>
  <c r="AB97" i="110"/>
  <c r="X97" i="110"/>
  <c r="V97" i="110"/>
  <c r="AJ96" i="110"/>
  <c r="AH96" i="110"/>
  <c r="AF96" i="110"/>
  <c r="AD96" i="110"/>
  <c r="AB96" i="110"/>
  <c r="Z96" i="110"/>
  <c r="V96" i="110"/>
  <c r="AF95" i="110"/>
  <c r="AD95" i="110"/>
  <c r="AB95" i="110"/>
  <c r="Z95" i="110"/>
  <c r="X95" i="110"/>
  <c r="V95" i="110"/>
  <c r="AJ94" i="110"/>
  <c r="AH94" i="110"/>
  <c r="AD94" i="110"/>
  <c r="X94" i="110"/>
  <c r="V94" i="110"/>
  <c r="AH92" i="110"/>
  <c r="AE94" i="110"/>
  <c r="AI94" i="110"/>
  <c r="Y94" i="110"/>
  <c r="E17" i="110"/>
  <c r="I17" i="110"/>
  <c r="M17" i="110"/>
  <c r="Q17" i="110"/>
  <c r="E18" i="110"/>
  <c r="I18" i="110"/>
  <c r="M18" i="110"/>
  <c r="Q18" i="110"/>
  <c r="E19" i="110"/>
  <c r="I19" i="110"/>
  <c r="M19" i="110"/>
  <c r="Q19" i="110"/>
  <c r="E20" i="110"/>
  <c r="I20" i="110"/>
  <c r="M20" i="110"/>
  <c r="E31" i="110"/>
  <c r="I31" i="110"/>
  <c r="M31" i="110"/>
  <c r="Q31" i="110"/>
  <c r="E32" i="110"/>
  <c r="I32" i="110"/>
  <c r="M32" i="110"/>
  <c r="Q32" i="110"/>
  <c r="E33" i="110"/>
  <c r="I33" i="110"/>
  <c r="M33" i="110"/>
  <c r="Q33" i="110"/>
  <c r="E34" i="110"/>
  <c r="I34" i="110"/>
  <c r="M34" i="110"/>
  <c r="E45" i="110"/>
  <c r="I45" i="110"/>
  <c r="M45" i="110"/>
  <c r="Q45" i="110"/>
  <c r="E46" i="110"/>
  <c r="I46" i="110"/>
  <c r="M46" i="110"/>
  <c r="Q46" i="110"/>
  <c r="E47" i="110"/>
  <c r="I47" i="110"/>
  <c r="M47" i="110"/>
  <c r="Q47" i="110"/>
  <c r="E48" i="110"/>
  <c r="I48" i="110"/>
  <c r="M48" i="110"/>
  <c r="E59" i="110"/>
  <c r="I59" i="110"/>
  <c r="M59" i="110"/>
  <c r="Q59" i="110"/>
  <c r="E60" i="110"/>
  <c r="I60" i="110"/>
  <c r="M60" i="110"/>
  <c r="Q60" i="110"/>
  <c r="E61" i="110"/>
  <c r="I61" i="110"/>
  <c r="M61" i="110"/>
  <c r="Q61" i="110"/>
  <c r="E62" i="110"/>
  <c r="I62" i="110"/>
  <c r="M62" i="110"/>
  <c r="Q76" i="110"/>
  <c r="M76" i="110"/>
  <c r="I76" i="110"/>
  <c r="E76" i="110"/>
  <c r="Q75" i="110"/>
  <c r="M75" i="110"/>
  <c r="I75" i="110"/>
  <c r="E75" i="110"/>
  <c r="Q74" i="110"/>
  <c r="M74" i="110"/>
  <c r="I74" i="110"/>
  <c r="E74" i="110"/>
  <c r="E73" i="110"/>
  <c r="I73" i="110"/>
  <c r="M73" i="110"/>
  <c r="Q73" i="110"/>
  <c r="D74" i="110"/>
  <c r="J74" i="110"/>
  <c r="O74" i="110"/>
  <c r="D75" i="110"/>
  <c r="J75" i="110"/>
  <c r="O75" i="110"/>
  <c r="D76" i="110"/>
  <c r="J76" i="110"/>
  <c r="O76" i="110"/>
  <c r="AJ90" i="110"/>
  <c r="AF90" i="110"/>
  <c r="AD90" i="110"/>
  <c r="X90" i="110"/>
  <c r="V90" i="110"/>
  <c r="AJ89" i="110"/>
  <c r="AF89" i="110"/>
  <c r="AD89" i="110"/>
  <c r="X89" i="110"/>
  <c r="V89" i="110"/>
  <c r="AJ88" i="110"/>
  <c r="AF88" i="110"/>
  <c r="AD88" i="110"/>
  <c r="X88" i="110"/>
  <c r="V88" i="110"/>
  <c r="AJ87" i="110"/>
  <c r="AF87" i="110"/>
  <c r="AD87" i="110"/>
  <c r="Z87" i="110"/>
  <c r="X87" i="110"/>
  <c r="V87" i="110"/>
  <c r="AH85" i="110"/>
  <c r="AG87" i="110"/>
  <c r="AG88" i="110"/>
  <c r="AG89" i="110"/>
  <c r="AG90" i="110"/>
  <c r="U87" i="110"/>
  <c r="AC87" i="110"/>
  <c r="AC88" i="110"/>
  <c r="U90" i="110"/>
  <c r="D87" i="110"/>
  <c r="H87" i="110"/>
  <c r="J87" i="110"/>
  <c r="L87" i="110"/>
  <c r="N87" i="110"/>
  <c r="P87" i="110"/>
  <c r="R87" i="110"/>
  <c r="D88" i="110"/>
  <c r="H88" i="110"/>
  <c r="J88" i="110"/>
  <c r="L88" i="110"/>
  <c r="N88" i="110"/>
  <c r="R88" i="110"/>
  <c r="D89" i="110"/>
  <c r="H89" i="110"/>
  <c r="J89" i="110"/>
  <c r="L89" i="110"/>
  <c r="N89" i="110"/>
  <c r="P89" i="110"/>
  <c r="R89" i="110"/>
  <c r="D90" i="110"/>
  <c r="F90" i="110"/>
  <c r="L90" i="110"/>
  <c r="N90" i="110"/>
  <c r="P90" i="110"/>
  <c r="AI104" i="110"/>
  <c r="AG104" i="110"/>
  <c r="AE104" i="110"/>
  <c r="AA104" i="110"/>
  <c r="W104" i="110"/>
  <c r="U104" i="110"/>
  <c r="AG103" i="110"/>
  <c r="AE103" i="110"/>
  <c r="AC103" i="110"/>
  <c r="AA103" i="110"/>
  <c r="Y103" i="110"/>
  <c r="W103" i="110"/>
  <c r="U103" i="110"/>
  <c r="AI102" i="110"/>
  <c r="AG102" i="110"/>
  <c r="AE102" i="110"/>
  <c r="AC102" i="110"/>
  <c r="AA102" i="110"/>
  <c r="W102" i="110"/>
  <c r="U102" i="110"/>
  <c r="AJ104" i="110"/>
  <c r="AH104" i="110"/>
  <c r="AF104" i="110"/>
  <c r="AD104" i="110"/>
  <c r="AB104" i="110"/>
  <c r="X104" i="110"/>
  <c r="V104" i="110"/>
  <c r="AH103" i="110"/>
  <c r="AF103" i="110"/>
  <c r="AD103" i="110"/>
  <c r="AB103" i="110"/>
  <c r="X103" i="110"/>
  <c r="V103" i="110"/>
  <c r="AJ102" i="110"/>
  <c r="AH102" i="110"/>
  <c r="AF102" i="110"/>
  <c r="AD102" i="110"/>
  <c r="AB102" i="110"/>
  <c r="V102" i="110"/>
  <c r="AJ101" i="110"/>
  <c r="AH101" i="110"/>
  <c r="AF101" i="110"/>
  <c r="AD101" i="110"/>
  <c r="AB101" i="110"/>
  <c r="X101" i="110"/>
  <c r="V101" i="110"/>
  <c r="AH99" i="110"/>
  <c r="AG101" i="110"/>
  <c r="AE101" i="110"/>
  <c r="AC101" i="110"/>
  <c r="AA101" i="110"/>
  <c r="Y101" i="110"/>
  <c r="W101" i="110"/>
  <c r="U101" i="110"/>
  <c r="D94" i="110"/>
  <c r="F94" i="110"/>
  <c r="H94" i="110"/>
  <c r="J94" i="110"/>
  <c r="L94" i="110"/>
  <c r="N94" i="110"/>
  <c r="P94" i="110"/>
  <c r="R94" i="110"/>
  <c r="F95" i="110"/>
  <c r="H95" i="110"/>
  <c r="J95" i="110"/>
  <c r="L95" i="110"/>
  <c r="N95" i="110"/>
  <c r="P95" i="110"/>
  <c r="R95" i="110"/>
  <c r="D96" i="110"/>
  <c r="F96" i="110"/>
  <c r="H96" i="110"/>
  <c r="J96" i="110"/>
  <c r="L96" i="110"/>
  <c r="N96" i="110"/>
  <c r="P96" i="110"/>
  <c r="R96" i="110"/>
  <c r="D97" i="110"/>
  <c r="F97" i="110"/>
  <c r="H97" i="110"/>
  <c r="J97" i="110"/>
  <c r="L97" i="110"/>
  <c r="N97" i="110"/>
  <c r="P97" i="110"/>
  <c r="R97" i="110"/>
  <c r="C101" i="110"/>
  <c r="E101" i="110"/>
  <c r="G101" i="110"/>
  <c r="I101" i="110"/>
  <c r="O101" i="110"/>
  <c r="Q101" i="110"/>
  <c r="C102" i="110"/>
  <c r="E102" i="110"/>
  <c r="G102" i="110"/>
  <c r="I102" i="110"/>
  <c r="K102" i="110"/>
  <c r="M102" i="110"/>
  <c r="C96" i="110"/>
  <c r="E96" i="110"/>
  <c r="G96" i="110"/>
  <c r="K96" i="110"/>
  <c r="M96" i="110"/>
  <c r="O96" i="110"/>
  <c r="Q96" i="110"/>
  <c r="C97" i="110"/>
  <c r="E97" i="110"/>
  <c r="G97" i="110"/>
  <c r="K97" i="110"/>
  <c r="M97" i="110"/>
  <c r="O97" i="110"/>
  <c r="Q104" i="110"/>
  <c r="O104" i="110"/>
  <c r="M104" i="110"/>
  <c r="K104" i="110"/>
  <c r="G104" i="110"/>
  <c r="E104" i="110"/>
  <c r="M103" i="110"/>
  <c r="I103" i="110"/>
  <c r="G103" i="110"/>
  <c r="E103" i="110"/>
  <c r="Q102" i="110"/>
  <c r="R104" i="110"/>
  <c r="P104" i="110"/>
  <c r="N104" i="110"/>
  <c r="L104" i="110"/>
  <c r="J104" i="110"/>
  <c r="H104" i="110"/>
  <c r="R103" i="110"/>
  <c r="P103" i="110"/>
  <c r="N103" i="110"/>
  <c r="L103" i="110"/>
  <c r="J103" i="110"/>
  <c r="H103" i="110"/>
  <c r="F103" i="110"/>
  <c r="R102" i="110"/>
  <c r="F101" i="110"/>
  <c r="J101" i="110"/>
  <c r="L101" i="110"/>
  <c r="N101" i="110"/>
  <c r="P101" i="110"/>
  <c r="R101" i="110"/>
  <c r="F102" i="110"/>
  <c r="J102" i="110"/>
  <c r="L102" i="110"/>
  <c r="N102" i="110"/>
  <c r="P102" i="110"/>
  <c r="K6" i="95"/>
  <c r="K14" i="95"/>
  <c r="K10" i="95"/>
  <c r="AF127" i="98" l="1"/>
  <c r="AD120" i="98"/>
  <c r="AH134" i="98"/>
  <c r="AJ119" i="98"/>
  <c r="P103" i="101"/>
  <c r="I60" i="106"/>
  <c r="I56" i="106"/>
  <c r="I51" i="106"/>
  <c r="I47" i="106"/>
  <c r="I43" i="106"/>
  <c r="I39" i="106"/>
  <c r="I35" i="106"/>
  <c r="I31" i="106"/>
  <c r="I23" i="106"/>
  <c r="I24" i="106"/>
  <c r="I19" i="106"/>
  <c r="I16" i="106"/>
  <c r="I11" i="106"/>
  <c r="I7" i="106"/>
  <c r="I44" i="106"/>
  <c r="I28" i="106"/>
  <c r="I20" i="106"/>
  <c r="I8" i="106"/>
  <c r="I59" i="106"/>
  <c r="I55" i="106"/>
  <c r="I50" i="106"/>
  <c r="I46" i="106"/>
  <c r="I42" i="106"/>
  <c r="I38" i="106"/>
  <c r="I34" i="106"/>
  <c r="I30" i="106"/>
  <c r="I27" i="106"/>
  <c r="I22" i="106"/>
  <c r="I18" i="106"/>
  <c r="I15" i="106"/>
  <c r="I10" i="106"/>
  <c r="I6" i="106"/>
  <c r="I58" i="106"/>
  <c r="I54" i="106"/>
  <c r="I53" i="106"/>
  <c r="I49" i="106"/>
  <c r="I45" i="106"/>
  <c r="I41" i="106"/>
  <c r="I37" i="106"/>
  <c r="I33" i="106"/>
  <c r="I29" i="106"/>
  <c r="I26" i="106"/>
  <c r="I21" i="106"/>
  <c r="I17" i="106"/>
  <c r="I13" i="106"/>
  <c r="I9" i="106"/>
  <c r="I57" i="106"/>
  <c r="I52" i="106"/>
  <c r="I48" i="106"/>
  <c r="I40" i="106"/>
  <c r="I32" i="106"/>
  <c r="I25" i="106"/>
  <c r="I14" i="106"/>
  <c r="I12" i="106"/>
  <c r="I36" i="106"/>
  <c r="AB166" i="100"/>
  <c r="AA163" i="100"/>
  <c r="X127" i="98"/>
  <c r="V120" i="98"/>
  <c r="AA111" i="98"/>
  <c r="G47" i="98"/>
  <c r="J38" i="81"/>
  <c r="E55" i="81"/>
  <c r="H28" i="101"/>
  <c r="M53" i="81"/>
  <c r="M57" i="81"/>
  <c r="H30" i="114"/>
  <c r="AF113" i="98"/>
  <c r="D101" i="101"/>
  <c r="Z121" i="101"/>
  <c r="V121" i="101"/>
  <c r="X114" i="101"/>
  <c r="G14" i="87"/>
  <c r="E14" i="87" s="1"/>
  <c r="G18" i="87"/>
  <c r="H18" i="87" s="1"/>
  <c r="G16" i="87"/>
  <c r="H16" i="87" s="1"/>
  <c r="G20" i="87"/>
  <c r="H20" i="87" s="1"/>
  <c r="E62" i="81"/>
  <c r="H45" i="81"/>
  <c r="AG111" i="98"/>
  <c r="AG113" i="98"/>
  <c r="K102" i="101"/>
  <c r="R102" i="101"/>
  <c r="Q102" i="101"/>
  <c r="L102" i="101"/>
  <c r="N102" i="101"/>
  <c r="M102" i="101"/>
  <c r="H102" i="101"/>
  <c r="J102" i="101"/>
  <c r="I102" i="101"/>
  <c r="D102" i="101"/>
  <c r="E103" i="101"/>
  <c r="F102" i="101"/>
  <c r="D103" i="101"/>
  <c r="E102" i="101"/>
  <c r="P102" i="101"/>
  <c r="G15" i="87"/>
  <c r="H15" i="87" s="1"/>
  <c r="G17" i="87"/>
  <c r="H17" i="87" s="1"/>
  <c r="G19" i="87"/>
  <c r="H19" i="87" s="1"/>
  <c r="G22" i="87"/>
  <c r="G6" i="87"/>
  <c r="E6" i="87" s="1"/>
  <c r="G7" i="87"/>
  <c r="H7" i="87" s="1"/>
  <c r="G8" i="87"/>
  <c r="E8" i="87" s="1"/>
  <c r="G9" i="87"/>
  <c r="E9" i="87" s="1"/>
  <c r="G10" i="87"/>
  <c r="H10" i="87" s="1"/>
  <c r="G11" i="87"/>
  <c r="E11" i="87" s="1"/>
  <c r="G12" i="87"/>
  <c r="H12" i="87" s="1"/>
  <c r="G13" i="87"/>
  <c r="H13" i="87" s="1"/>
  <c r="E53" i="81"/>
  <c r="K30" i="114"/>
  <c r="E17" i="98"/>
  <c r="H121" i="81"/>
  <c r="I121" i="81" s="1"/>
  <c r="E43" i="81"/>
  <c r="H38" i="81"/>
  <c r="G23" i="98"/>
  <c r="F121" i="81"/>
  <c r="K79" i="81"/>
  <c r="H52" i="81"/>
  <c r="K30" i="98"/>
  <c r="H53" i="81"/>
  <c r="K75" i="81"/>
  <c r="E30" i="98"/>
  <c r="H113" i="81"/>
  <c r="I113" i="81" s="1"/>
  <c r="H78" i="81"/>
  <c r="H69" i="81"/>
  <c r="E77" i="81"/>
  <c r="F113" i="81"/>
  <c r="H84" i="81"/>
  <c r="M102" i="98"/>
  <c r="H100" i="101"/>
  <c r="V134" i="98"/>
  <c r="AJ126" i="98"/>
  <c r="Y134" i="101"/>
  <c r="V127" i="98"/>
  <c r="H86" i="81"/>
  <c r="AN163" i="100"/>
  <c r="AB134" i="98"/>
  <c r="I102" i="98"/>
  <c r="D100" i="101"/>
  <c r="O102" i="101"/>
  <c r="G102" i="101"/>
  <c r="E60" i="81"/>
  <c r="Y118" i="98"/>
  <c r="E102" i="98"/>
  <c r="AI167" i="100"/>
  <c r="E87" i="81"/>
  <c r="AE168" i="100"/>
  <c r="AJ133" i="98"/>
  <c r="AF128" i="101"/>
  <c r="AD121" i="101"/>
  <c r="AF114" i="101"/>
  <c r="I103" i="101"/>
  <c r="AJ134" i="101"/>
  <c r="M43" i="81"/>
  <c r="AG112" i="98"/>
  <c r="AM168" i="100"/>
  <c r="P100" i="101"/>
  <c r="AD134" i="98"/>
  <c r="AB127" i="98"/>
  <c r="Z120" i="98"/>
  <c r="AG134" i="101"/>
  <c r="X134" i="101"/>
  <c r="F37" i="117"/>
  <c r="I18" i="117"/>
  <c r="C37" i="117"/>
  <c r="D37" i="117"/>
  <c r="E37" i="117"/>
  <c r="J18" i="117"/>
  <c r="K18" i="117"/>
  <c r="H70" i="81"/>
  <c r="E74" i="81"/>
  <c r="M17" i="114"/>
  <c r="AA127" i="98"/>
  <c r="H30" i="101"/>
  <c r="AI161" i="100"/>
  <c r="AI163" i="100"/>
  <c r="AK161" i="100"/>
  <c r="AK163" i="100"/>
  <c r="AA161" i="100"/>
  <c r="AA162" i="100"/>
  <c r="AJ120" i="98"/>
  <c r="AB113" i="98"/>
  <c r="E103" i="98"/>
  <c r="V126" i="98"/>
  <c r="E100" i="101"/>
  <c r="H17" i="101"/>
  <c r="AA135" i="101"/>
  <c r="AC134" i="101"/>
  <c r="AB134" i="101"/>
  <c r="M17" i="101"/>
  <c r="AJ114" i="101"/>
  <c r="AH121" i="101"/>
  <c r="L100" i="101"/>
  <c r="H103" i="101"/>
  <c r="AB128" i="101"/>
  <c r="AH133" i="101"/>
  <c r="AB114" i="101"/>
  <c r="AK134" i="101"/>
  <c r="C102" i="101"/>
  <c r="W135" i="101"/>
  <c r="X128" i="101"/>
  <c r="AF134" i="101"/>
  <c r="AH113" i="98"/>
  <c r="V125" i="98"/>
  <c r="Q102" i="98"/>
  <c r="H101" i="98"/>
  <c r="AG134" i="98"/>
  <c r="C101" i="98"/>
  <c r="AC134" i="98"/>
  <c r="AI133" i="98"/>
  <c r="AE119" i="98"/>
  <c r="Y119" i="98"/>
  <c r="AF134" i="98"/>
  <c r="Y133" i="98"/>
  <c r="K101" i="98"/>
  <c r="AK134" i="98"/>
  <c r="AH127" i="98"/>
  <c r="AK120" i="98"/>
  <c r="AC111" i="98"/>
  <c r="Y120" i="98"/>
  <c r="AA125" i="98"/>
  <c r="AE117" i="98"/>
  <c r="AG124" i="98"/>
  <c r="AA113" i="98"/>
  <c r="V110" i="98"/>
  <c r="W111" i="98"/>
  <c r="X134" i="98"/>
  <c r="Z127" i="98"/>
  <c r="X120" i="98"/>
  <c r="Z113" i="98"/>
  <c r="AI126" i="98"/>
  <c r="AG119" i="98"/>
  <c r="AI112" i="98"/>
  <c r="AH111" i="98"/>
  <c r="AG127" i="98"/>
  <c r="AA126" i="98"/>
  <c r="AE118" i="98"/>
  <c r="V113" i="98"/>
  <c r="Y117" i="98"/>
  <c r="AG110" i="98"/>
  <c r="AA124" i="98"/>
  <c r="AJ117" i="98"/>
  <c r="AA110" i="98"/>
  <c r="AK127" i="98"/>
  <c r="AE126" i="98"/>
  <c r="AI120" i="98"/>
  <c r="AC119" i="98"/>
  <c r="AK113" i="98"/>
  <c r="AE112" i="98"/>
  <c r="W134" i="98"/>
  <c r="AD127" i="98"/>
  <c r="AB120" i="98"/>
  <c r="AD113" i="98"/>
  <c r="AC127" i="98"/>
  <c r="AF120" i="98"/>
  <c r="AC113" i="98"/>
  <c r="AG125" i="98"/>
  <c r="AE120" i="98"/>
  <c r="AA112" i="98"/>
  <c r="V111" i="98"/>
  <c r="V124" i="98"/>
  <c r="AE133" i="98"/>
  <c r="Y127" i="98"/>
  <c r="W120" i="98"/>
  <c r="Y113" i="98"/>
  <c r="W127" i="98"/>
  <c r="AA120" i="98"/>
  <c r="W113" i="98"/>
  <c r="AA133" i="98"/>
  <c r="AG126" i="98"/>
  <c r="V112" i="98"/>
  <c r="X113" i="98"/>
  <c r="Y134" i="98"/>
  <c r="Y132" i="98"/>
  <c r="AE127" i="98"/>
  <c r="Z126" i="98"/>
  <c r="AK124" i="98"/>
  <c r="AC120" i="98"/>
  <c r="X119" i="98"/>
  <c r="AI117" i="98"/>
  <c r="AE113" i="98"/>
  <c r="Z112" i="98"/>
  <c r="AK110" i="98"/>
  <c r="AE131" i="98"/>
  <c r="AI125" i="98"/>
  <c r="AD124" i="98"/>
  <c r="AG118" i="98"/>
  <c r="AB117" i="98"/>
  <c r="AI111" i="98"/>
  <c r="AD110" i="98"/>
  <c r="Q101" i="98"/>
  <c r="AK133" i="98"/>
  <c r="AK131" i="98"/>
  <c r="AH125" i="98"/>
  <c r="AC124" i="98"/>
  <c r="AK118" i="98"/>
  <c r="AF117" i="98"/>
  <c r="AC110" i="98"/>
  <c r="O101" i="98"/>
  <c r="AA131" i="98"/>
  <c r="C103" i="98"/>
  <c r="Z134" i="98"/>
  <c r="O102" i="98"/>
  <c r="AG133" i="98"/>
  <c r="AG131" i="98"/>
  <c r="AK125" i="98"/>
  <c r="AE124" i="98"/>
  <c r="AI118" i="98"/>
  <c r="AC117" i="98"/>
  <c r="AK111" i="98"/>
  <c r="AE110" i="98"/>
  <c r="W133" i="98"/>
  <c r="W131" i="98"/>
  <c r="AD125" i="98"/>
  <c r="Y124" i="98"/>
  <c r="AB118" i="98"/>
  <c r="W117" i="98"/>
  <c r="AD111" i="98"/>
  <c r="Y110" i="98"/>
  <c r="I101" i="98"/>
  <c r="AC133" i="98"/>
  <c r="AC131" i="98"/>
  <c r="AH126" i="98"/>
  <c r="AC125" i="98"/>
  <c r="W124" i="98"/>
  <c r="AK119" i="98"/>
  <c r="AF118" i="98"/>
  <c r="AA117" i="98"/>
  <c r="AH112" i="98"/>
  <c r="W110" i="98"/>
  <c r="G101" i="98"/>
  <c r="AI134" i="98"/>
  <c r="AI132" i="98"/>
  <c r="M101" i="98"/>
  <c r="K102" i="98"/>
  <c r="Y131" i="98"/>
  <c r="AK126" i="98"/>
  <c r="AE125" i="98"/>
  <c r="Z124" i="98"/>
  <c r="AI119" i="98"/>
  <c r="AC118" i="98"/>
  <c r="X117" i="98"/>
  <c r="AK112" i="98"/>
  <c r="AE111" i="98"/>
  <c r="Z110" i="98"/>
  <c r="AE134" i="98"/>
  <c r="AE132" i="98"/>
  <c r="AI127" i="98"/>
  <c r="AD126" i="98"/>
  <c r="Y125" i="98"/>
  <c r="AG120" i="98"/>
  <c r="AB119" i="98"/>
  <c r="W118" i="98"/>
  <c r="AI113" i="98"/>
  <c r="AD112" i="98"/>
  <c r="Y111" i="98"/>
  <c r="AK132" i="98"/>
  <c r="AC126" i="98"/>
  <c r="W125" i="98"/>
  <c r="AF119" i="98"/>
  <c r="AA118" i="98"/>
  <c r="AC112" i="98"/>
  <c r="AA134" i="98"/>
  <c r="AA132" i="98"/>
  <c r="G102" i="98"/>
  <c r="AG132" i="98"/>
  <c r="Z125" i="98"/>
  <c r="X118" i="98"/>
  <c r="Z111" i="98"/>
  <c r="W132" i="98"/>
  <c r="Y126" i="98"/>
  <c r="AI124" i="98"/>
  <c r="W119" i="98"/>
  <c r="AG117" i="98"/>
  <c r="Y112" i="98"/>
  <c r="AI110" i="98"/>
  <c r="AC132" i="98"/>
  <c r="W126" i="98"/>
  <c r="AH124" i="98"/>
  <c r="AA119" i="98"/>
  <c r="AK117" i="98"/>
  <c r="W112" i="98"/>
  <c r="AH110" i="98"/>
  <c r="AI131" i="98"/>
  <c r="E30" i="114"/>
  <c r="E83" i="81"/>
  <c r="E61" i="81"/>
  <c r="E79" i="81"/>
  <c r="I124" i="81"/>
  <c r="E38" i="81"/>
  <c r="H54" i="81"/>
  <c r="H46" i="81"/>
  <c r="E48" i="81"/>
  <c r="E71" i="81"/>
  <c r="K91" i="81"/>
  <c r="E82" i="81"/>
  <c r="E91" i="81"/>
  <c r="E44" i="81"/>
  <c r="I123" i="81"/>
  <c r="I115" i="81"/>
  <c r="I107" i="81"/>
  <c r="I99" i="81"/>
  <c r="M54" i="81"/>
  <c r="K17" i="115"/>
  <c r="J17" i="115"/>
  <c r="I17" i="115"/>
  <c r="AJ128" i="101"/>
  <c r="O100" i="101"/>
  <c r="G101" i="101"/>
  <c r="AI133" i="101"/>
  <c r="W128" i="101"/>
  <c r="AA121" i="101"/>
  <c r="W114" i="101"/>
  <c r="AI128" i="101"/>
  <c r="AD127" i="101"/>
  <c r="Y126" i="101"/>
  <c r="AG121" i="101"/>
  <c r="AB120" i="101"/>
  <c r="W119" i="101"/>
  <c r="AI114" i="101"/>
  <c r="AD113" i="101"/>
  <c r="Y112" i="101"/>
  <c r="AD135" i="101"/>
  <c r="O101" i="101"/>
  <c r="V135" i="101"/>
  <c r="AH128" i="101"/>
  <c r="AC127" i="101"/>
  <c r="AK121" i="101"/>
  <c r="AF120" i="101"/>
  <c r="AH114" i="101"/>
  <c r="AC113" i="101"/>
  <c r="Z134" i="101"/>
  <c r="K101" i="101"/>
  <c r="K100" i="101"/>
  <c r="AE133" i="101"/>
  <c r="V128" i="101"/>
  <c r="AG126" i="101"/>
  <c r="AA125" i="101"/>
  <c r="Y121" i="101"/>
  <c r="AJ119" i="101"/>
  <c r="AE118" i="101"/>
  <c r="V114" i="101"/>
  <c r="AG112" i="101"/>
  <c r="AA111" i="101"/>
  <c r="Z128" i="101"/>
  <c r="AK126" i="101"/>
  <c r="AE125" i="101"/>
  <c r="X121" i="101"/>
  <c r="AI119" i="101"/>
  <c r="AC118" i="101"/>
  <c r="Z114" i="101"/>
  <c r="AK112" i="101"/>
  <c r="AE111" i="101"/>
  <c r="AI132" i="101"/>
  <c r="AH127" i="101"/>
  <c r="AC126" i="101"/>
  <c r="W125" i="101"/>
  <c r="AK120" i="101"/>
  <c r="AF119" i="101"/>
  <c r="AA118" i="101"/>
  <c r="AH113" i="101"/>
  <c r="AC112" i="101"/>
  <c r="W111" i="101"/>
  <c r="AE135" i="101"/>
  <c r="AE132" i="101"/>
  <c r="AG127" i="101"/>
  <c r="AA126" i="101"/>
  <c r="V125" i="101"/>
  <c r="AJ120" i="101"/>
  <c r="AE119" i="101"/>
  <c r="Y118" i="101"/>
  <c r="AG113" i="101"/>
  <c r="AA112" i="101"/>
  <c r="V111" i="101"/>
  <c r="AA132" i="101"/>
  <c r="AK127" i="101"/>
  <c r="AE126" i="101"/>
  <c r="Z125" i="101"/>
  <c r="AI120" i="101"/>
  <c r="AC119" i="101"/>
  <c r="X118" i="101"/>
  <c r="AK113" i="101"/>
  <c r="AE112" i="101"/>
  <c r="Z111" i="101"/>
  <c r="W134" i="101"/>
  <c r="AD128" i="101"/>
  <c r="Y127" i="101"/>
  <c r="AI125" i="101"/>
  <c r="AB121" i="101"/>
  <c r="W120" i="101"/>
  <c r="AG118" i="101"/>
  <c r="AD114" i="101"/>
  <c r="Y113" i="101"/>
  <c r="AI111" i="101"/>
  <c r="W126" i="101"/>
  <c r="AA119" i="101"/>
  <c r="W112" i="101"/>
  <c r="AG128" i="101"/>
  <c r="AA127" i="101"/>
  <c r="V126" i="101"/>
  <c r="AJ121" i="101"/>
  <c r="AE120" i="101"/>
  <c r="Y119" i="101"/>
  <c r="AG114" i="101"/>
  <c r="AA113" i="101"/>
  <c r="V112" i="101"/>
  <c r="AK128" i="101"/>
  <c r="AE127" i="101"/>
  <c r="Z126" i="101"/>
  <c r="AI121" i="101"/>
  <c r="AC120" i="101"/>
  <c r="X119" i="101"/>
  <c r="AK114" i="101"/>
  <c r="AE113" i="101"/>
  <c r="Z112" i="101"/>
  <c r="W133" i="101"/>
  <c r="Y128" i="101"/>
  <c r="AI126" i="101"/>
  <c r="AD125" i="101"/>
  <c r="W121" i="101"/>
  <c r="AG119" i="101"/>
  <c r="AB118" i="101"/>
  <c r="Y114" i="101"/>
  <c r="AI112" i="101"/>
  <c r="AD111" i="101"/>
  <c r="AI134" i="101"/>
  <c r="AC128" i="101"/>
  <c r="W127" i="101"/>
  <c r="AH125" i="101"/>
  <c r="AF121" i="101"/>
  <c r="AA120" i="101"/>
  <c r="AK118" i="101"/>
  <c r="AC114" i="101"/>
  <c r="W113" i="101"/>
  <c r="AH111" i="101"/>
  <c r="AE134" i="101"/>
  <c r="AA128" i="101"/>
  <c r="V127" i="101"/>
  <c r="AG125" i="101"/>
  <c r="AE121" i="101"/>
  <c r="Y120" i="101"/>
  <c r="AJ118" i="101"/>
  <c r="AA114" i="101"/>
  <c r="V113" i="101"/>
  <c r="AG111" i="101"/>
  <c r="AA134" i="101"/>
  <c r="AE128" i="101"/>
  <c r="Z127" i="101"/>
  <c r="AK125" i="101"/>
  <c r="AC121" i="101"/>
  <c r="X120" i="101"/>
  <c r="AI118" i="101"/>
  <c r="AE114" i="101"/>
  <c r="Z113" i="101"/>
  <c r="AK111" i="101"/>
  <c r="W132" i="101"/>
  <c r="AI127" i="101"/>
  <c r="AD126" i="101"/>
  <c r="Y125" i="101"/>
  <c r="AG120" i="101"/>
  <c r="AB119" i="101"/>
  <c r="W118" i="101"/>
  <c r="AI113" i="101"/>
  <c r="AD112" i="101"/>
  <c r="Y111" i="101"/>
  <c r="AH126" i="101"/>
  <c r="AC125" i="101"/>
  <c r="AK119" i="101"/>
  <c r="AF118" i="101"/>
  <c r="AH112" i="101"/>
  <c r="AC111" i="101"/>
  <c r="AI135" i="101"/>
  <c r="AA133" i="101"/>
  <c r="M45" i="81"/>
  <c r="E54" i="81"/>
  <c r="I119" i="81"/>
  <c r="I111" i="81"/>
  <c r="I103" i="81"/>
  <c r="E50" i="81"/>
  <c r="E90" i="81"/>
  <c r="K83" i="81"/>
  <c r="E75" i="81"/>
  <c r="E63" i="81"/>
  <c r="E59" i="81"/>
  <c r="M41" i="81"/>
  <c r="M50" i="81"/>
  <c r="M42" i="81"/>
  <c r="I117" i="81"/>
  <c r="I109" i="81"/>
  <c r="I105" i="81"/>
  <c r="I101" i="81"/>
  <c r="H94" i="81"/>
  <c r="H50" i="81"/>
  <c r="E45" i="81"/>
  <c r="H82" i="81"/>
  <c r="H75" i="81"/>
  <c r="AL167" i="100"/>
  <c r="AL166" i="100"/>
  <c r="AD163" i="100"/>
  <c r="AD162" i="100"/>
  <c r="AN161" i="100"/>
  <c r="AN164" i="100"/>
  <c r="AN162" i="100"/>
  <c r="AD161" i="100"/>
  <c r="AB133" i="98"/>
  <c r="AB132" i="98"/>
  <c r="AB131" i="98"/>
  <c r="AE166" i="100"/>
  <c r="AA167" i="100"/>
  <c r="AH132" i="101"/>
  <c r="AJ127" i="101"/>
  <c r="AJ126" i="101"/>
  <c r="AJ125" i="101"/>
  <c r="AH120" i="101"/>
  <c r="AH119" i="101"/>
  <c r="AH118" i="101"/>
  <c r="AJ113" i="101"/>
  <c r="AJ112" i="101"/>
  <c r="AJ111" i="101"/>
  <c r="AL168" i="100"/>
  <c r="AH166" i="100"/>
  <c r="AJ162" i="100"/>
  <c r="AH133" i="98"/>
  <c r="AH132" i="98"/>
  <c r="AH131" i="98"/>
  <c r="AF126" i="98"/>
  <c r="AF125" i="98"/>
  <c r="AF124" i="98"/>
  <c r="AD119" i="98"/>
  <c r="AD118" i="98"/>
  <c r="AD117" i="98"/>
  <c r="AF112" i="98"/>
  <c r="AF111" i="98"/>
  <c r="AF110" i="98"/>
  <c r="AK133" i="101"/>
  <c r="AK132" i="101"/>
  <c r="R101" i="101"/>
  <c r="C100" i="101"/>
  <c r="AJ133" i="101"/>
  <c r="AJ132" i="101"/>
  <c r="C103" i="101"/>
  <c r="E101" i="101"/>
  <c r="F100" i="101"/>
  <c r="AH135" i="101"/>
  <c r="F22" i="82"/>
  <c r="G22" i="82"/>
  <c r="G25" i="82"/>
  <c r="F25" i="82"/>
  <c r="J23" i="82"/>
  <c r="K23" i="82"/>
  <c r="J28" i="82"/>
  <c r="K28" i="82"/>
  <c r="G24" i="82"/>
  <c r="F24" i="82"/>
  <c r="F103" i="101"/>
  <c r="N102" i="98"/>
  <c r="AH134" i="101"/>
  <c r="L102" i="98"/>
  <c r="N103" i="101"/>
  <c r="C36" i="82"/>
  <c r="B36" i="82"/>
  <c r="F43" i="82"/>
  <c r="G43" i="82"/>
  <c r="C39" i="82"/>
  <c r="B39" i="82"/>
  <c r="F37" i="82"/>
  <c r="G37" i="82"/>
  <c r="G38" i="82"/>
  <c r="F38" i="82"/>
  <c r="H120" i="81"/>
  <c r="I120" i="81" s="1"/>
  <c r="F120" i="81"/>
  <c r="H116" i="81"/>
  <c r="I116" i="81" s="1"/>
  <c r="F116" i="81"/>
  <c r="H112" i="81"/>
  <c r="I112" i="81" s="1"/>
  <c r="F112" i="81"/>
  <c r="H108" i="81"/>
  <c r="I108" i="81" s="1"/>
  <c r="F108" i="81"/>
  <c r="H104" i="81"/>
  <c r="I104" i="81" s="1"/>
  <c r="F104" i="81"/>
  <c r="H100" i="81"/>
  <c r="I100" i="81" s="1"/>
  <c r="F100" i="81"/>
  <c r="H74" i="81"/>
  <c r="AB164" i="100"/>
  <c r="AB162" i="100"/>
  <c r="AF167" i="100"/>
  <c r="AF166" i="100"/>
  <c r="AB161" i="100"/>
  <c r="X133" i="98"/>
  <c r="X132" i="98"/>
  <c r="X131" i="98"/>
  <c r="AM166" i="100"/>
  <c r="AM165" i="100"/>
  <c r="AE165" i="100"/>
  <c r="AD134" i="101"/>
  <c r="AD133" i="101"/>
  <c r="AD132" i="101"/>
  <c r="AF127" i="101"/>
  <c r="AF126" i="101"/>
  <c r="AF125" i="101"/>
  <c r="AD120" i="101"/>
  <c r="AD119" i="101"/>
  <c r="AD118" i="101"/>
  <c r="AF113" i="101"/>
  <c r="AF112" i="101"/>
  <c r="AF111" i="101"/>
  <c r="AH168" i="100"/>
  <c r="AD166" i="100"/>
  <c r="AD133" i="98"/>
  <c r="AD132" i="98"/>
  <c r="AD131" i="98"/>
  <c r="AB126" i="98"/>
  <c r="AB125" i="98"/>
  <c r="AB124" i="98"/>
  <c r="Z119" i="98"/>
  <c r="Z118" i="98"/>
  <c r="Z117" i="98"/>
  <c r="AB112" i="98"/>
  <c r="AB111" i="98"/>
  <c r="AB110" i="98"/>
  <c r="AG133" i="101"/>
  <c r="AG132" i="101"/>
  <c r="N101" i="101"/>
  <c r="AF133" i="101"/>
  <c r="AF132" i="101"/>
  <c r="O103" i="101"/>
  <c r="Q101" i="101"/>
  <c r="R100" i="101"/>
  <c r="AD164" i="100"/>
  <c r="J103" i="101"/>
  <c r="K24" i="82"/>
  <c r="J24" i="82"/>
  <c r="J27" i="82"/>
  <c r="K27" i="82"/>
  <c r="K26" i="82"/>
  <c r="J26" i="82"/>
  <c r="G29" i="82"/>
  <c r="F29" i="82"/>
  <c r="J25" i="82"/>
  <c r="K25" i="82"/>
  <c r="H101" i="101"/>
  <c r="F102" i="98"/>
  <c r="R103" i="101"/>
  <c r="D102" i="98"/>
  <c r="P101" i="101"/>
  <c r="F39" i="82"/>
  <c r="G39" i="82"/>
  <c r="C35" i="82"/>
  <c r="B35" i="82"/>
  <c r="B37" i="82"/>
  <c r="C37" i="82"/>
  <c r="B41" i="82"/>
  <c r="C41" i="82"/>
  <c r="F40" i="82"/>
  <c r="G40" i="82"/>
  <c r="H91" i="81"/>
  <c r="AN166" i="100"/>
  <c r="AN165" i="100"/>
  <c r="AL165" i="100"/>
  <c r="AF163" i="100"/>
  <c r="AJ132" i="98"/>
  <c r="AJ131" i="98"/>
  <c r="AA165" i="100"/>
  <c r="AA166" i="100"/>
  <c r="Z133" i="101"/>
  <c r="Z132" i="101"/>
  <c r="AB127" i="101"/>
  <c r="AB126" i="101"/>
  <c r="AB125" i="101"/>
  <c r="Z120" i="101"/>
  <c r="Z119" i="101"/>
  <c r="Z118" i="101"/>
  <c r="AB113" i="101"/>
  <c r="AB112" i="101"/>
  <c r="AB111" i="101"/>
  <c r="AD168" i="100"/>
  <c r="AJ164" i="100"/>
  <c r="Z133" i="98"/>
  <c r="Z132" i="98"/>
  <c r="Z131" i="98"/>
  <c r="X126" i="98"/>
  <c r="X125" i="98"/>
  <c r="X124" i="98"/>
  <c r="V119" i="98"/>
  <c r="V118" i="98"/>
  <c r="V117" i="98"/>
  <c r="X112" i="98"/>
  <c r="X111" i="98"/>
  <c r="X110" i="98"/>
  <c r="AC133" i="101"/>
  <c r="AC132" i="101"/>
  <c r="J101" i="101"/>
  <c r="AB133" i="101"/>
  <c r="AB132" i="101"/>
  <c r="K103" i="101"/>
  <c r="M101" i="101"/>
  <c r="N100" i="101"/>
  <c r="R102" i="98"/>
  <c r="AG135" i="101"/>
  <c r="L101" i="101"/>
  <c r="K22" i="82"/>
  <c r="J22" i="82"/>
  <c r="J20" i="82"/>
  <c r="K20" i="82"/>
  <c r="F23" i="82"/>
  <c r="G23" i="82"/>
  <c r="F20" i="82"/>
  <c r="G20" i="82"/>
  <c r="F28" i="82"/>
  <c r="G28" i="82"/>
  <c r="P102" i="98"/>
  <c r="AK135" i="101"/>
  <c r="I100" i="101"/>
  <c r="AJ135" i="101"/>
  <c r="AC135" i="101"/>
  <c r="Q100" i="101"/>
  <c r="C43" i="82"/>
  <c r="B43" i="82"/>
  <c r="C44" i="82"/>
  <c r="B44" i="82"/>
  <c r="C38" i="82"/>
  <c r="B38" i="82"/>
  <c r="C42" i="82"/>
  <c r="B42" i="82"/>
  <c r="G42" i="82"/>
  <c r="F42" i="82"/>
  <c r="H122" i="81"/>
  <c r="I122" i="81" s="1"/>
  <c r="F122" i="81"/>
  <c r="H118" i="81"/>
  <c r="I118" i="81" s="1"/>
  <c r="F118" i="81"/>
  <c r="H114" i="81"/>
  <c r="I114" i="81" s="1"/>
  <c r="F114" i="81"/>
  <c r="H110" i="81"/>
  <c r="I110" i="81" s="1"/>
  <c r="F110" i="81"/>
  <c r="H106" i="81"/>
  <c r="I106" i="81" s="1"/>
  <c r="F106" i="81"/>
  <c r="H102" i="81"/>
  <c r="I102" i="81" s="1"/>
  <c r="F102" i="81"/>
  <c r="H98" i="81"/>
  <c r="I98" i="81" s="1"/>
  <c r="F98" i="81"/>
  <c r="H90" i="81"/>
  <c r="H83" i="81"/>
  <c r="AH165" i="100"/>
  <c r="AF162" i="100"/>
  <c r="AF161" i="100"/>
  <c r="AF168" i="100"/>
  <c r="AF133" i="98"/>
  <c r="AF132" i="98"/>
  <c r="AF131" i="98"/>
  <c r="AM167" i="100"/>
  <c r="AI166" i="100"/>
  <c r="AI165" i="100"/>
  <c r="Z135" i="101"/>
  <c r="V134" i="101"/>
  <c r="V133" i="101"/>
  <c r="V132" i="101"/>
  <c r="X127" i="101"/>
  <c r="X126" i="101"/>
  <c r="X125" i="101"/>
  <c r="V120" i="101"/>
  <c r="V119" i="101"/>
  <c r="V118" i="101"/>
  <c r="X113" i="101"/>
  <c r="X112" i="101"/>
  <c r="X111" i="101"/>
  <c r="C101" i="101"/>
  <c r="AN168" i="100"/>
  <c r="AJ161" i="100"/>
  <c r="V133" i="98"/>
  <c r="V132" i="98"/>
  <c r="V131" i="98"/>
  <c r="AJ125" i="98"/>
  <c r="AJ124" i="98"/>
  <c r="AH119" i="98"/>
  <c r="AH118" i="98"/>
  <c r="AH117" i="98"/>
  <c r="AJ112" i="98"/>
  <c r="AJ111" i="98"/>
  <c r="AJ110" i="98"/>
  <c r="Y133" i="101"/>
  <c r="Y132" i="101"/>
  <c r="F101" i="101"/>
  <c r="G100" i="101"/>
  <c r="X133" i="101"/>
  <c r="X132" i="101"/>
  <c r="G103" i="101"/>
  <c r="I101" i="101"/>
  <c r="J100" i="101"/>
  <c r="J102" i="98"/>
  <c r="AB135" i="101"/>
  <c r="M100" i="101"/>
  <c r="G27" i="82"/>
  <c r="F27" i="82"/>
  <c r="G21" i="82"/>
  <c r="F21" i="82"/>
  <c r="F26" i="82"/>
  <c r="G26" i="82"/>
  <c r="K21" i="82"/>
  <c r="J21" i="82"/>
  <c r="K29" i="82"/>
  <c r="J29" i="82"/>
  <c r="B6" i="87"/>
  <c r="C21" i="87"/>
  <c r="D27" i="82"/>
  <c r="C27" i="82" s="1"/>
  <c r="B27" i="82" s="1"/>
  <c r="D23" i="82"/>
  <c r="C23" i="82" s="1"/>
  <c r="B23" i="82" s="1"/>
  <c r="D24" i="82"/>
  <c r="C24" i="82" s="1"/>
  <c r="B24" i="82" s="1"/>
  <c r="D21" i="82"/>
  <c r="C21" i="82" s="1"/>
  <c r="B21" i="82" s="1"/>
  <c r="D29" i="82"/>
  <c r="C29" i="82" s="1"/>
  <c r="B29" i="82" s="1"/>
  <c r="D26" i="82"/>
  <c r="C26" i="82" s="1"/>
  <c r="B26" i="82" s="1"/>
  <c r="D28" i="82"/>
  <c r="C28" i="82" s="1"/>
  <c r="B28" i="82" s="1"/>
  <c r="D22" i="82"/>
  <c r="C22" i="82" s="1"/>
  <c r="B22" i="82" s="1"/>
  <c r="D25" i="82"/>
  <c r="C25" i="82" s="1"/>
  <c r="B25" i="82" s="1"/>
  <c r="D20" i="82"/>
  <c r="C20" i="82" s="1"/>
  <c r="B20" i="82" s="1"/>
  <c r="AJ127" i="98"/>
  <c r="AF135" i="101"/>
  <c r="Y135" i="101"/>
  <c r="AJ134" i="98"/>
  <c r="X135" i="101"/>
  <c r="C40" i="82"/>
  <c r="B40" i="82"/>
  <c r="F35" i="82"/>
  <c r="G35" i="82"/>
  <c r="F41" i="82"/>
  <c r="G41" i="82"/>
  <c r="F36" i="82"/>
  <c r="G36" i="82"/>
  <c r="F44" i="82"/>
  <c r="G44" i="82"/>
  <c r="H8" i="87" l="1"/>
  <c r="E18" i="87"/>
  <c r="E16" i="87"/>
  <c r="H14" i="87"/>
  <c r="E20" i="87"/>
  <c r="H11" i="87"/>
  <c r="E7" i="87"/>
  <c r="E15" i="87"/>
  <c r="E10" i="87"/>
  <c r="E19" i="87"/>
  <c r="E17" i="87"/>
  <c r="E13" i="87"/>
  <c r="H6" i="87"/>
  <c r="E12" i="87"/>
  <c r="G21" i="87"/>
  <c r="H9" i="87"/>
  <c r="L18" i="117"/>
  <c r="L17" i="1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<sst xmlns="http://schemas.openxmlformats.org/spreadsheetml/2006/main" count="7671" uniqueCount="1448">
  <si>
    <t xml:space="preserve">Workload Measurement Tool Dashboard </t>
  </si>
  <si>
    <t>Contents (click to jump to):</t>
  </si>
  <si>
    <t>FAQs</t>
  </si>
  <si>
    <t xml:space="preserve">HMIP - Regional caseload per FTE </t>
  </si>
  <si>
    <t>HMIP - PDU caseload per FTE</t>
  </si>
  <si>
    <t>PDU overview</t>
  </si>
  <si>
    <t>Regional overview</t>
  </si>
  <si>
    <t>Team overview</t>
  </si>
  <si>
    <t>Regional capacities</t>
  </si>
  <si>
    <t>Regional capacities, unallocated cases and reductions in hours</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</si>
  <si>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</si>
  <si>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</si>
  <si>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</si>
  <si>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</si>
  <si>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</si>
  <si>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</si>
  <si>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</si>
  <si>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</si>
  <si>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</si>
  <si>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</si>
  <si>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</si>
  <si>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</si>
  <si>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</si>
  <si>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</si>
  <si>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</si>
  <si>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</si>
  <si>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</si>
  <si>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</si>
  <si>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</si>
  <si>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</si>
  <si>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</si>
  <si>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</si>
  <si>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</si>
  <si>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</si>
  <si>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</si>
  <si>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</si>
  <si>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</si>
  <si>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</si>
  <si>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</si>
  <si>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</si>
  <si>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</si>
  <si>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</si>
  <si>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</si>
  <si>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</si>
  <si>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</si>
  <si>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</si>
  <si>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</si>
  <si>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</si>
  <si>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</si>
  <si>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</si>
  <si>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</si>
  <si>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</si>
  <si>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</si>
  <si>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</si>
  <si>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Aldershot, Farnborough</t>
  </si>
  <si>
    <t>Bournemouth OM and Ass</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</si>
  <si>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</si>
  <si>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</si>
  <si>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</si>
  <si>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</si>
  <si>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</si>
  <si>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</si>
  <si>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</si>
  <si>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</si>
  <si>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</si>
  <si>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</si>
  <si>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</si>
  <si>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</si>
  <si>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</si>
  <si>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</si>
  <si>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</si>
  <si>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</si>
  <si>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</si>
  <si>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</si>
  <si>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</si>
  <si>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</si>
  <si>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</si>
  <si>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</si>
  <si>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Andover, Basingstoke, Winchester</t>
  </si>
  <si>
    <t>BSG Bristol 1</t>
  </si>
  <si>
    <t>Bridgend - HMP</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</si>
  <si>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</si>
  <si>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</si>
  <si>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</si>
  <si>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</si>
  <si>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</si>
  <si>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</si>
  <si>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</si>
  <si>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</si>
  <si>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</si>
  <si>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</si>
  <si>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</si>
  <si>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</si>
  <si>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</si>
  <si>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</si>
  <si>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</si>
  <si>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</si>
  <si>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</si>
  <si>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</si>
  <si>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</si>
  <si>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</si>
  <si>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All Liverpool North (Team Unknown)</t>
  </si>
  <si>
    <t>Bucks ACE - N59</t>
  </si>
  <si>
    <t>BSG Bristol 3 - N58</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</si>
  <si>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</si>
  <si>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</si>
  <si>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</si>
  <si>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</si>
  <si>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</si>
  <si>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</si>
  <si>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</si>
  <si>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</si>
  <si>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</si>
  <si>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</si>
  <si>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</si>
  <si>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</si>
  <si>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</si>
  <si>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</si>
  <si>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</si>
  <si>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</si>
  <si>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</si>
  <si>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</si>
  <si>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</si>
  <si>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</si>
  <si>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</si>
  <si>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</si>
  <si>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Bucks Male 1 - N59</t>
  </si>
  <si>
    <t>BSG Bristol IOM</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</si>
  <si>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</si>
  <si>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</si>
  <si>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</si>
  <si>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</si>
  <si>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</si>
  <si>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</si>
  <si>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</si>
  <si>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</si>
  <si>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</si>
  <si>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</si>
  <si>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</si>
  <si>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</si>
  <si>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</si>
  <si>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</si>
  <si>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</si>
  <si>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</si>
  <si>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</si>
  <si>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</si>
  <si>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</si>
  <si>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</si>
  <si>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Darlington - N54</t>
  </si>
  <si>
    <t>Awaiting Allocation Sefton MSIDE</t>
  </si>
  <si>
    <t>Bucks Male 2 - N59</t>
  </si>
  <si>
    <t>BSG CP Standalone Team</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</si>
  <si>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</si>
  <si>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</si>
  <si>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</si>
  <si>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</si>
  <si>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</si>
  <si>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</si>
  <si>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</si>
  <si>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</si>
  <si>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</si>
  <si>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</si>
  <si>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</si>
  <si>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</si>
  <si>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</si>
  <si>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</si>
  <si>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</si>
  <si>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</si>
  <si>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</si>
  <si>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</si>
  <si>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</si>
  <si>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</si>
  <si>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DTV Durham - N54</t>
  </si>
  <si>
    <t>Awaiting Allocation Wirral MSIDE</t>
  </si>
  <si>
    <t>Bucks PPU - N59</t>
  </si>
  <si>
    <t>BSG Sentence Management South Glos</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</si>
  <si>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</si>
  <si>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</si>
  <si>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</si>
  <si>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</si>
  <si>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</si>
  <si>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</si>
  <si>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</si>
  <si>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</si>
  <si>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</si>
  <si>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</si>
  <si>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</si>
  <si>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</si>
  <si>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</si>
  <si>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</si>
  <si>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</si>
  <si>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</si>
  <si>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CBS-Peterborough OM2 - N56</t>
  </si>
  <si>
    <t>GM BR Rochdale 1 - N50</t>
  </si>
  <si>
    <t>KTE-Sittingbourne - N57</t>
  </si>
  <si>
    <t>Awaiting Allocation CROYDON</t>
  </si>
  <si>
    <t>DTV Durham IOM - N54</t>
  </si>
  <si>
    <t>Barrow 1</t>
  </si>
  <si>
    <t>Bucks Women - N59</t>
  </si>
  <si>
    <t>BSG Under 25</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</si>
  <si>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</si>
  <si>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</si>
  <si>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</si>
  <si>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</si>
  <si>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</si>
  <si>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</si>
  <si>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</si>
  <si>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</si>
  <si>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</si>
  <si>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</si>
  <si>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</si>
  <si>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</si>
  <si>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</si>
  <si>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</si>
  <si>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 xml:space="preserve">Derby City 4 </t>
  </si>
  <si>
    <t>CBS-Peterborough SM</t>
  </si>
  <si>
    <t>GM BR Rochdale 2 - N50</t>
  </si>
  <si>
    <t>KTE-South East Kent</t>
  </si>
  <si>
    <t>Awaiting Allocation EALING</t>
  </si>
  <si>
    <t>DTV Redcar and Cleveland - N54</t>
  </si>
  <si>
    <t>Barrow 2 - N51</t>
  </si>
  <si>
    <t>CP North - N59</t>
  </si>
  <si>
    <t>BSG Womens Team</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</si>
  <si>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</si>
  <si>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</si>
  <si>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</si>
  <si>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</si>
  <si>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</si>
  <si>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</si>
  <si>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</si>
  <si>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</si>
  <si>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</si>
  <si>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</si>
  <si>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</si>
  <si>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</si>
  <si>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Derby City Hub - N53</t>
  </si>
  <si>
    <t>CBS-UPW SA</t>
  </si>
  <si>
    <t>GM BR Rochdale 3</t>
  </si>
  <si>
    <t>KTE-Thanet</t>
  </si>
  <si>
    <t>Awaiting Allocation ENFIELD</t>
  </si>
  <si>
    <t>DTV South West Durham - N54</t>
  </si>
  <si>
    <t>Blackburn 1</t>
  </si>
  <si>
    <t>CP South East</t>
  </si>
  <si>
    <t>GCS Cheltenham and Tewkesbury</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</si>
  <si>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</si>
  <si>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</si>
  <si>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</si>
  <si>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</si>
  <si>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</si>
  <si>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</si>
  <si>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</si>
  <si>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</si>
  <si>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</si>
  <si>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</si>
  <si>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</si>
  <si>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</si>
  <si>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</si>
  <si>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GM CP Bolton Wigan Salford</t>
  </si>
  <si>
    <t>KTW-CP Standalone</t>
  </si>
  <si>
    <t>Awaiting Allocation HACKNEY</t>
  </si>
  <si>
    <t>DTV UPW Team</t>
  </si>
  <si>
    <t>Blackburn 2</t>
  </si>
  <si>
    <t>CP South West</t>
  </si>
  <si>
    <t>GCS Cheltenham and Tewkesbury 2 - N58</t>
  </si>
  <si>
    <t>Cardiff - East Team</t>
  </si>
  <si>
    <t>Central Birmingham 6</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</si>
  <si>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</si>
  <si>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</si>
  <si>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</si>
  <si>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</si>
  <si>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</si>
  <si>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</si>
  <si>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</si>
  <si>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</si>
  <si>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</si>
  <si>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</si>
  <si>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ESX-HUB Awaiting Reallocation - N56</t>
  </si>
  <si>
    <t>GM CP Manchester Stockport Trafford</t>
  </si>
  <si>
    <t>KTW-Dartford and Gravesham</t>
  </si>
  <si>
    <t>Awaiting Allocation HARINGEY</t>
  </si>
  <si>
    <t>Durham Central</t>
  </si>
  <si>
    <t>Blackburn 3 - N51</t>
  </si>
  <si>
    <t>East Berks ACE Team</t>
  </si>
  <si>
    <t>GCS Gloucester - N58</t>
  </si>
  <si>
    <t>Cardiff - IOM Wisdom Team</t>
  </si>
  <si>
    <t>Central Birmingham PQiP</t>
  </si>
  <si>
    <t>Bradford OMU 1 (BNA)</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</si>
  <si>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</si>
  <si>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</si>
  <si>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</si>
  <si>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</si>
  <si>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</si>
  <si>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</si>
  <si>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</si>
  <si>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</si>
  <si>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</si>
  <si>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</si>
  <si>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</si>
  <si>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</si>
  <si>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Durham West</t>
  </si>
  <si>
    <t>Blackpool 1</t>
  </si>
  <si>
    <t>East Berkshire 1</t>
  </si>
  <si>
    <t>GCS Gloucester and Forest</t>
  </si>
  <si>
    <t>Cardiff - North Team</t>
  </si>
  <si>
    <t>Bradford OMU 2 (BNB)</t>
  </si>
  <si>
    <t>Inactive Level 2(N07)</t>
  </si>
  <si>
    <t>Liverpool South - N51</t>
  </si>
  <si>
    <t>Birmingham Central Short Term Custody</t>
  </si>
  <si>
    <t>Sheffield - N55</t>
  </si>
  <si>
    <t>Derbyshire County South</t>
  </si>
  <si>
    <t>EXN-Colchester SM</t>
  </si>
  <si>
    <t>GM Manchester N2</t>
  </si>
  <si>
    <t>KTW-Maidstone - N57</t>
  </si>
  <si>
    <t>Awaiting Allocation HFKCW</t>
  </si>
  <si>
    <t>Gateshead - N54</t>
  </si>
  <si>
    <t>Blackpool 2</t>
  </si>
  <si>
    <t>East Berkshire 2</t>
  </si>
  <si>
    <t>HMP Portland</t>
  </si>
  <si>
    <t>Cardiff - South Team</t>
  </si>
  <si>
    <t>Coventry Team 1 - N52</t>
  </si>
  <si>
    <t>Bradford OMU 4 YOT (BND)</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</si>
  <si>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</si>
  <si>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</si>
  <si>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</si>
  <si>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</si>
  <si>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</si>
  <si>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</si>
  <si>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</si>
  <si>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</si>
  <si>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</si>
  <si>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</si>
  <si>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</si>
  <si>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</si>
  <si>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</si>
  <si>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</si>
  <si>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</si>
  <si>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Bradford OMU 5 (BNE)</t>
  </si>
  <si>
    <t>Lambeth - N07</t>
  </si>
  <si>
    <t>North West Lancashire</t>
  </si>
  <si>
    <t>Unpaid Work and Attendance Centres - N55</t>
  </si>
  <si>
    <t>Grantham - N53</t>
  </si>
  <si>
    <t>EXN-UPW Proj Colchester</t>
  </si>
  <si>
    <t>GM Manchester N4</t>
  </si>
  <si>
    <t>KTW-Mid Kent</t>
  </si>
  <si>
    <t>Awaiting Allocation ISLINGTON</t>
  </si>
  <si>
    <t>Hartlepool 1</t>
  </si>
  <si>
    <t>Blackpool 5 - N51</t>
  </si>
  <si>
    <t>East Berkshire 4</t>
  </si>
  <si>
    <t>Offender Management - East - N58</t>
  </si>
  <si>
    <t>Cardiff - Women's Pathfinder Team</t>
  </si>
  <si>
    <t>Coventry Team 3 - N52</t>
  </si>
  <si>
    <t>Bradford OMU 6 - N55</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</si>
  <si>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</si>
  <si>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</si>
  <si>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</si>
  <si>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</si>
  <si>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</si>
  <si>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</si>
  <si>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</si>
  <si>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</si>
  <si>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</si>
  <si>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</si>
  <si>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</si>
  <si>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Offender Management - Plymouth - N58</t>
  </si>
  <si>
    <t>Cardiff and Vale - STS Team</t>
  </si>
  <si>
    <t>Coventry Team 4</t>
  </si>
  <si>
    <t>Calderdale OMU 1 (CNA)</t>
  </si>
  <si>
    <t>Newham - N07</t>
  </si>
  <si>
    <t>Sefton</t>
  </si>
  <si>
    <t>York - N55</t>
  </si>
  <si>
    <t>Leicester City 1 - N53</t>
  </si>
  <si>
    <t>EXS-Basildon SM</t>
  </si>
  <si>
    <t>GM Manchester S2</t>
  </si>
  <si>
    <t>SRY-CP Standalone</t>
  </si>
  <si>
    <t>Awaiting Allocation LAMBETH</t>
  </si>
  <si>
    <t>Inactive Team(N54)</t>
  </si>
  <si>
    <t>Blackpool 7  - N51</t>
  </si>
  <si>
    <t>East Berkshire 6</t>
  </si>
  <si>
    <t>Offender Management - Plymouth 2 - N58</t>
  </si>
  <si>
    <t>Carmarthenshire - Team 1</t>
  </si>
  <si>
    <t>Dudley Team 1 - N52</t>
  </si>
  <si>
    <t>Calderdale OMU 2 - N55</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</si>
  <si>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</si>
  <si>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</si>
  <si>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</si>
  <si>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</si>
  <si>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</si>
  <si>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</si>
  <si>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</si>
  <si>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</si>
  <si>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</si>
  <si>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</si>
  <si>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Offender Management - West - N58</t>
  </si>
  <si>
    <t>Carmarthenshire - Team 2</t>
  </si>
  <si>
    <t>Dudley Team 2 - N52</t>
  </si>
  <si>
    <t>EYK BEV PPU1</t>
  </si>
  <si>
    <t>Redbridge and Waltham Forest</t>
  </si>
  <si>
    <t>Wirral - N51</t>
  </si>
  <si>
    <t>Leicester City 3 - N53</t>
  </si>
  <si>
    <t>EXS-Thurrock SM</t>
  </si>
  <si>
    <t>GM Manchester S4</t>
  </si>
  <si>
    <t>SRY-Redhill - N57</t>
  </si>
  <si>
    <t>Awaiting Allocation MERTON &amp; SUTTON</t>
  </si>
  <si>
    <t>Middlesbrough 2</t>
  </si>
  <si>
    <t>Burnley 2</t>
  </si>
  <si>
    <t>East Community Orders - N59</t>
  </si>
  <si>
    <t>OM - Dorchester - N58</t>
  </si>
  <si>
    <t>Ceredigion - Team 1</t>
  </si>
  <si>
    <t>Dudley Team 3 - N52</t>
  </si>
  <si>
    <t>EYK BRI PPU2</t>
  </si>
  <si>
    <t>Southwark - N07</t>
  </si>
  <si>
    <t>Leicester City 4 - N53</t>
  </si>
  <si>
    <t>HFS-Cheshunt SM</t>
  </si>
  <si>
    <t>GM Manchester S5</t>
  </si>
  <si>
    <t>SRY-Staines - N57</t>
  </si>
  <si>
    <t>Awaiting Allocation NEWHAM</t>
  </si>
  <si>
    <t>Middlesbrough 3</t>
  </si>
  <si>
    <t>Burnley 3 - N51</t>
  </si>
  <si>
    <t>East Engagement - N59</t>
  </si>
  <si>
    <t>OM - Poole 2 - N58</t>
  </si>
  <si>
    <t>Conwy - Team 1</t>
  </si>
  <si>
    <t>East Birmingham 1</t>
  </si>
  <si>
    <t>EYK GOOLE PPU3</t>
  </si>
  <si>
    <t>Tower Hamlets</t>
  </si>
  <si>
    <t>Leicester City 5 - N53</t>
  </si>
  <si>
    <t>HFS-IOM - N56</t>
  </si>
  <si>
    <t>GM Oldham 1 - N50</t>
  </si>
  <si>
    <t>SSX-Brighton Approved Premises</t>
  </si>
  <si>
    <t>Awaiting Allocation REDBRIDGE</t>
  </si>
  <si>
    <t>NBR Gateshead LMC - N54</t>
  </si>
  <si>
    <t>Carlisle 1</t>
  </si>
  <si>
    <t>East Resettlement - N59</t>
  </si>
  <si>
    <t>Other Third Party EM Supervision - N58</t>
  </si>
  <si>
    <t>Denbighshire - Team 1</t>
  </si>
  <si>
    <t>East Birmingham 2</t>
  </si>
  <si>
    <t>GRI PPU1</t>
  </si>
  <si>
    <t>Unallocated Level 2(N07)</t>
  </si>
  <si>
    <t>Leicester City 6</t>
  </si>
  <si>
    <t>HFS-Resettlement OM</t>
  </si>
  <si>
    <t>GM Oldham 2</t>
  </si>
  <si>
    <t>Awaiting Allocation SOUTHWARK</t>
  </si>
  <si>
    <t>NBR Hub Team</t>
  </si>
  <si>
    <t>Carlisle 2</t>
  </si>
  <si>
    <t>East Women - N59</t>
  </si>
  <si>
    <t>Sentence Management Exeter</t>
  </si>
  <si>
    <t>East Gwent Team</t>
  </si>
  <si>
    <t>East Birmingham 3</t>
  </si>
  <si>
    <t>GRI PPU2</t>
  </si>
  <si>
    <t>Unpaid Work and Attendance Centres - N07</t>
  </si>
  <si>
    <t>Leicester City 7</t>
  </si>
  <si>
    <t>HFS-St Albans SM</t>
  </si>
  <si>
    <t>GM Oldham 3 - N50</t>
  </si>
  <si>
    <t>SXE-Brighton 2 - N57</t>
  </si>
  <si>
    <t>Awaiting Allocation TOWER HAMLETS</t>
  </si>
  <si>
    <t>NBR North Tyneside LMC - N54</t>
  </si>
  <si>
    <t>Carlisle 3 - N51</t>
  </si>
  <si>
    <t>Fareham - N59</t>
  </si>
  <si>
    <t>Sentence Management North Devon</t>
  </si>
  <si>
    <t>Flintshire - Team 1</t>
  </si>
  <si>
    <t>Hereford</t>
  </si>
  <si>
    <t>GRI PPU3 - N55</t>
  </si>
  <si>
    <t>Wandsworth, Merton and Sutton</t>
  </si>
  <si>
    <t>Leicester City PQUIP - N53</t>
  </si>
  <si>
    <t>HFS-Stevenage SM</t>
  </si>
  <si>
    <t>GM Salford 1</t>
  </si>
  <si>
    <t>SXE-CP Standalone</t>
  </si>
  <si>
    <t>Awaiting Allocation WALTHAM FOREST</t>
  </si>
  <si>
    <t>NBR Northumberland LMC - N54</t>
  </si>
  <si>
    <t>Chester 1</t>
  </si>
  <si>
    <t>Havant, Fareham</t>
  </si>
  <si>
    <t>Sentence Management Torbay</t>
  </si>
  <si>
    <t>Gwent - IOM Team</t>
  </si>
  <si>
    <t>Inactive Team(N52)</t>
  </si>
  <si>
    <t>GRI PPU4 - N55</t>
  </si>
  <si>
    <t>Leicester City Resettlement - N53</t>
  </si>
  <si>
    <t>HFS-UPW SA</t>
  </si>
  <si>
    <t>GM Salford 2</t>
  </si>
  <si>
    <t>SXE-Eastbourne</t>
  </si>
  <si>
    <t>Awaiting Allocation WANDSWORTH</t>
  </si>
  <si>
    <t>NBR South Tyneside LMC - N54</t>
  </si>
  <si>
    <t>Chester 2 - N51</t>
  </si>
  <si>
    <t>Inactive Team(N59)</t>
  </si>
  <si>
    <t>SOM Banes</t>
  </si>
  <si>
    <t>Gwent - STS Team</t>
  </si>
  <si>
    <t>IOM Birmingham Central &amp; South</t>
  </si>
  <si>
    <t>HUL Public Protection 5 - N55</t>
  </si>
  <si>
    <t>Leicester Young Adults</t>
  </si>
  <si>
    <t>HFS-Watford SM</t>
  </si>
  <si>
    <t>GM Salford 3 - N50</t>
  </si>
  <si>
    <t>SXE-Hastings</t>
  </si>
  <si>
    <t>BAR 1</t>
  </si>
  <si>
    <t>NBR Sunderland LMC - N54</t>
  </si>
  <si>
    <t>Chorley 1</t>
  </si>
  <si>
    <t>IOW - N59</t>
  </si>
  <si>
    <t>SOM Bridgwater</t>
  </si>
  <si>
    <t>Gwynedd - Team 1</t>
  </si>
  <si>
    <t>IOM Birmingham North, East</t>
  </si>
  <si>
    <t>HUL Public Protection 6 - N55</t>
  </si>
  <si>
    <t>Leicester Women's</t>
  </si>
  <si>
    <t>Inactive Team(N56)</t>
  </si>
  <si>
    <t>GM Salford 4</t>
  </si>
  <si>
    <t>SXE-Hastings 2 - N57</t>
  </si>
  <si>
    <t>BAR 2 - N07</t>
  </si>
  <si>
    <t>NBR UPW Hub Practitioner - N54</t>
  </si>
  <si>
    <t>Chorley 2  - N51</t>
  </si>
  <si>
    <t>Milton Keynes ACE - N59</t>
  </si>
  <si>
    <t>SOM Nth Som</t>
  </si>
  <si>
    <t>Inactive Team(N03)</t>
  </si>
  <si>
    <t>IOM Staffordshire</t>
  </si>
  <si>
    <t>HUL Public Protection 7 - N55</t>
  </si>
  <si>
    <t>Leics County South West</t>
  </si>
  <si>
    <t>NFK-King's Lynn SM</t>
  </si>
  <si>
    <t>GM SM CP Bolton Wigan Salford</t>
  </si>
  <si>
    <t>SXW-CP Standalone</t>
  </si>
  <si>
    <t>BAR PQIP</t>
  </si>
  <si>
    <t>Newcastle 1</t>
  </si>
  <si>
    <t>CL Allocations Team - N51</t>
  </si>
  <si>
    <t>Milton Keynes Male - N59</t>
  </si>
  <si>
    <t>SOM Taunton</t>
  </si>
  <si>
    <t>Merthyr - STS Team</t>
  </si>
  <si>
    <t>Kidderminster</t>
  </si>
  <si>
    <t>HUL Public Protection Unit 1</t>
  </si>
  <si>
    <t>Leicestershire Priority IOM - N53</t>
  </si>
  <si>
    <t>NFK-Norwich SM - N56</t>
  </si>
  <si>
    <t>GM SM CP Bury Rochdale Oldham Tameside</t>
  </si>
  <si>
    <t>SXW-Crawley</t>
  </si>
  <si>
    <t>BDH 1</t>
  </si>
  <si>
    <t>Newcastle 2</t>
  </si>
  <si>
    <t>Crewe 1</t>
  </si>
  <si>
    <t>Milton Keynes PPU - N59</t>
  </si>
  <si>
    <t>SOM Yeovil</t>
  </si>
  <si>
    <t>Merthyr - Team 2</t>
  </si>
  <si>
    <t>Kidderminster PQiPs</t>
  </si>
  <si>
    <t>HUL Public Protection Unit 2</t>
  </si>
  <si>
    <t>Lincoln - N53</t>
  </si>
  <si>
    <t>NFK-UPW Proj King's Lynn</t>
  </si>
  <si>
    <t>GM SM CP Manchester Stockport Trafford</t>
  </si>
  <si>
    <t>SXW-Crawley 2 - N57</t>
  </si>
  <si>
    <t>BDH 2</t>
  </si>
  <si>
    <t>Newcastle 3</t>
  </si>
  <si>
    <t>Crewe 2 - N51</t>
  </si>
  <si>
    <t>Milton Keynes Women - N59</t>
  </si>
  <si>
    <t>Unallocated Team(N58)</t>
  </si>
  <si>
    <t>Merthyr - Team 3</t>
  </si>
  <si>
    <t>Leamington</t>
  </si>
  <si>
    <t>HUL Public Protection Unit 3</t>
  </si>
  <si>
    <t>Lincoln 2 - N53</t>
  </si>
  <si>
    <t>NFK-UPW SA</t>
  </si>
  <si>
    <t>GM ST Stockport 1 - N50</t>
  </si>
  <si>
    <t>SXW-Littlehampton</t>
  </si>
  <si>
    <t>BDH 3</t>
  </si>
  <si>
    <t>Newcastle 4</t>
  </si>
  <si>
    <t>Cumbria and Lancashire UPW Hub - N51</t>
  </si>
  <si>
    <t>New Forest, Eastleigh</t>
  </si>
  <si>
    <t>Weymouth, Poole OM and Ass</t>
  </si>
  <si>
    <t>Neath, PTalbot - Team 1</t>
  </si>
  <si>
    <t>Leamington 2 - N52</t>
  </si>
  <si>
    <t>Hull Community Integration Team</t>
  </si>
  <si>
    <t>Lincolnshire PQiP</t>
  </si>
  <si>
    <t>NTH-Accredited Programmes</t>
  </si>
  <si>
    <t>GM ST Stockport 2</t>
  </si>
  <si>
    <t>SXW-Littlehampton 2 - N57</t>
  </si>
  <si>
    <t>BDH 4 - N07</t>
  </si>
  <si>
    <t>Newton Aycliffe</t>
  </si>
  <si>
    <t>Cumbria and Lancashire UPW Hub Completed - N51</t>
  </si>
  <si>
    <t>North Community Orders - N59</t>
  </si>
  <si>
    <t>WTS Chippenham</t>
  </si>
  <si>
    <t>Newport - Team 1</t>
  </si>
  <si>
    <t>Multi-Agency Gang Unit (MAGU) - N52</t>
  </si>
  <si>
    <t>Inactive Team(N55)</t>
  </si>
  <si>
    <t>Mansfield and Ashfield - N53</t>
  </si>
  <si>
    <t>NTH-Kettering SM</t>
  </si>
  <si>
    <t>GM ST Stockport 3</t>
  </si>
  <si>
    <t>SXW-Worthing</t>
  </si>
  <si>
    <t>BDH 5 - N07</t>
  </si>
  <si>
    <t>North Tyneside</t>
  </si>
  <si>
    <t>Halton 1</t>
  </si>
  <si>
    <t>North Resettlement - N59</t>
  </si>
  <si>
    <t>WTS Salisbury</t>
  </si>
  <si>
    <t>Newport - Team 2</t>
  </si>
  <si>
    <t>North Birmingham 1</t>
  </si>
  <si>
    <t>Kirklees OMU 1 (KNA)</t>
  </si>
  <si>
    <t>North Nottinghamshire</t>
  </si>
  <si>
    <t>NTH-Northampton SM</t>
  </si>
  <si>
    <t>GM ST Trafford 1</t>
  </si>
  <si>
    <t>Unallocated Team(N57)</t>
  </si>
  <si>
    <t>BDH PQIP</t>
  </si>
  <si>
    <t>Northumberland</t>
  </si>
  <si>
    <t>Halton 2 - N51</t>
  </si>
  <si>
    <t>Other Third Party EM Supervision - N59</t>
  </si>
  <si>
    <t>WTS Swindon 1</t>
  </si>
  <si>
    <t>Newport - Team 3</t>
  </si>
  <si>
    <t>North Birmingham 2</t>
  </si>
  <si>
    <t>Kirklees OMU 2 (KNB)</t>
  </si>
  <si>
    <t>Nottingham City - N53</t>
  </si>
  <si>
    <t>NTH-UPW SA</t>
  </si>
  <si>
    <t>GM ST Trafford 2 - N50</t>
  </si>
  <si>
    <t>BEX 1</t>
  </si>
  <si>
    <t>Peterlee</t>
  </si>
  <si>
    <t>Inactive Team(N51)</t>
  </si>
  <si>
    <t>Oxford PPU</t>
  </si>
  <si>
    <t>North Wales - Central IOM STC Team</t>
  </si>
  <si>
    <t>North Birmingham 3</t>
  </si>
  <si>
    <t>Kirklees OMU 3 - N55</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</si>
  <si>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</si>
  <si>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</si>
  <si>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</si>
  <si>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</si>
  <si>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</si>
  <si>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</si>
  <si>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</si>
  <si>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</si>
  <si>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</si>
  <si>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</si>
  <si>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</si>
  <si>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</si>
  <si>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</si>
  <si>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</si>
  <si>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</si>
  <si>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</si>
  <si>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Oxon Male 1 - N59</t>
  </si>
  <si>
    <t>NPS - Cardiff - Team 5</t>
  </si>
  <si>
    <t>Nuneaton and Rugby 2 - N52</t>
  </si>
  <si>
    <t>SCU PPU1</t>
  </si>
  <si>
    <t>Nottingham City PQiP</t>
  </si>
  <si>
    <t>SFK-Ipswich SM</t>
  </si>
  <si>
    <t>GM Tameside 3 - N50</t>
  </si>
  <si>
    <t>BRE 1</t>
  </si>
  <si>
    <t>Redcar, Cleveland and Middlesbrough IOM</t>
  </si>
  <si>
    <t>Knowsley 1</t>
  </si>
  <si>
    <t>Oxon Male 2 - N59</t>
  </si>
  <si>
    <t>Pembrokeshire - Team 1</t>
  </si>
  <si>
    <t>PDU Management Birmingham Central and South</t>
  </si>
  <si>
    <t>SCU PPU2 - N55</t>
  </si>
  <si>
    <t>Nottingham City South - N53</t>
  </si>
  <si>
    <t>SFK-Lowestoft SM</t>
  </si>
  <si>
    <t>GM Wigan 1 - N50</t>
  </si>
  <si>
    <t>BRE 2</t>
  </si>
  <si>
    <t>South Tyneside</t>
  </si>
  <si>
    <t>Knowsley 2</t>
  </si>
  <si>
    <t>Oxon Women - N59</t>
  </si>
  <si>
    <t>Powys - Team 1</t>
  </si>
  <si>
    <t>PROSPER West Midlands - N52</t>
  </si>
  <si>
    <t>Unallocated Team(N55) - N55</t>
  </si>
  <si>
    <t>Nottingham IOM - N53</t>
  </si>
  <si>
    <t>SFK-UPW SA</t>
  </si>
  <si>
    <t>GM Wigan 2</t>
  </si>
  <si>
    <t>BRE 3 - N07</t>
  </si>
  <si>
    <t>Stockton 1</t>
  </si>
  <si>
    <t>Knowsley 3</t>
  </si>
  <si>
    <t>Portsmouth and Isle of Wight OM Team 1 - N59</t>
  </si>
  <si>
    <t>RCT - IOM Team</t>
  </si>
  <si>
    <t>Redditch - N52</t>
  </si>
  <si>
    <t>Wakefield Community Integration Team</t>
  </si>
  <si>
    <t>Nottinghamshire IOM - N53</t>
  </si>
  <si>
    <t>Unallocated Team(N56)</t>
  </si>
  <si>
    <t>GM Wigan 3 - N50</t>
  </si>
  <si>
    <t>BRE 4 - N07</t>
  </si>
  <si>
    <t>Stockton 2</t>
  </si>
  <si>
    <t>Knowsley 4</t>
  </si>
  <si>
    <t>Portsmouth and Isle of Wight OM Team 2 - N59</t>
  </si>
  <si>
    <t>RCT - STS Team</t>
  </si>
  <si>
    <t>Redditch PQiPs</t>
  </si>
  <si>
    <t>Wakefield Sentence Management Team 1</t>
  </si>
  <si>
    <t>Nottinghamshire PQiP</t>
  </si>
  <si>
    <t>ITTG Forest Bank</t>
  </si>
  <si>
    <t>BRE PQIP</t>
  </si>
  <si>
    <t>Sunderland North</t>
  </si>
  <si>
    <t>Knowsley Unallocated</t>
  </si>
  <si>
    <t>Reading OM1 - N59</t>
  </si>
  <si>
    <t>RCT - Team 1</t>
  </si>
  <si>
    <t>Sandwell Team 1 - N52</t>
  </si>
  <si>
    <t>Wakefield Sentence Management Team 2</t>
  </si>
  <si>
    <t>Nottinghamshire South - N53</t>
  </si>
  <si>
    <t>ITTG Manchester - N50</t>
  </si>
  <si>
    <t>BRO 1</t>
  </si>
  <si>
    <t>Sunderland South</t>
  </si>
  <si>
    <t>Lancaster 1</t>
  </si>
  <si>
    <t>Reading OM2 - N59</t>
  </si>
  <si>
    <t>RCT - Team 2</t>
  </si>
  <si>
    <t>Sandwell Team 2 - N52</t>
  </si>
  <si>
    <t>Wakefield Sentence Management Team 3</t>
  </si>
  <si>
    <t>Skegness - N53</t>
  </si>
  <si>
    <t>MAPPT - MAPPA and Public Protection Team</t>
  </si>
  <si>
    <t>BRO 2 - N07</t>
  </si>
  <si>
    <t>Unallocated Team(N54)</t>
  </si>
  <si>
    <t>Lancaster 2</t>
  </si>
  <si>
    <t>Reading OM3</t>
  </si>
  <si>
    <t>RCT - Team 3</t>
  </si>
  <si>
    <t>Sandwell Team 4 PQUIP - N52</t>
  </si>
  <si>
    <t>Wakefield Sentence Management Team 4</t>
  </si>
  <si>
    <t>Unallocated Team(N53)</t>
  </si>
  <si>
    <t>Unallocated Team(N50)</t>
  </si>
  <si>
    <t>BRO PQIP</t>
  </si>
  <si>
    <t>Liverpool North 1</t>
  </si>
  <si>
    <t>SENF 1</t>
  </si>
  <si>
    <t>RCT - Team 4</t>
  </si>
  <si>
    <t>Sandwell Team 5 - N52</t>
  </si>
  <si>
    <t>Wakefield Sentence Management Team 5</t>
  </si>
  <si>
    <t>UPW Bassetlaw - N53</t>
  </si>
  <si>
    <t>Bromley Service Centre - N07</t>
  </si>
  <si>
    <t>Liverpool North 10 - N51</t>
  </si>
  <si>
    <t>SENF 2</t>
  </si>
  <si>
    <t>Swansea - Team 1</t>
  </si>
  <si>
    <t>Shrewsbury</t>
  </si>
  <si>
    <t>YSN Harrogate PP OMU</t>
  </si>
  <si>
    <t>UPW Buxton - N53</t>
  </si>
  <si>
    <t>CAI 1</t>
  </si>
  <si>
    <t>Liverpool North 2</t>
  </si>
  <si>
    <t>SENF 3</t>
  </si>
  <si>
    <t>Swansea - Team 2</t>
  </si>
  <si>
    <t>Solihull A</t>
  </si>
  <si>
    <t>YSN Northallerton PP OMU</t>
  </si>
  <si>
    <t>UPW Chesterfield - N53</t>
  </si>
  <si>
    <t>CAI 2</t>
  </si>
  <si>
    <t>Liverpool North 3</t>
  </si>
  <si>
    <t>SENF 4</t>
  </si>
  <si>
    <t>Swansea - Team 3</t>
  </si>
  <si>
    <t>Solihull B</t>
  </si>
  <si>
    <t>YSN Northallerton PP OMU2</t>
  </si>
  <si>
    <t>UPW Derby - N53</t>
  </si>
  <si>
    <t>CAI 3</t>
  </si>
  <si>
    <t>Liverpool North 4</t>
  </si>
  <si>
    <t>SENF 5</t>
  </si>
  <si>
    <t>Swansea - Team 4</t>
  </si>
  <si>
    <t>South Birmingham 1</t>
  </si>
  <si>
    <t>YSN Scarborough PP OMU</t>
  </si>
  <si>
    <t>UPW Leicestershire - N53</t>
  </si>
  <si>
    <t>CAI 4 PQIP</t>
  </si>
  <si>
    <t>Liverpool North 5</t>
  </si>
  <si>
    <t>SENF 6</t>
  </si>
  <si>
    <t>Swansea - Team 5</t>
  </si>
  <si>
    <t>South Birmingham 2</t>
  </si>
  <si>
    <t>YSN Scarborough PP OMU2</t>
  </si>
  <si>
    <t>UPW Lincolnshire</t>
  </si>
  <si>
    <t>CAI 6 - N07</t>
  </si>
  <si>
    <t>Liverpool North 8 - N51</t>
  </si>
  <si>
    <t>SENF Business Support Unit</t>
  </si>
  <si>
    <t>Swansea - Team 6</t>
  </si>
  <si>
    <t>South Birmingham 3</t>
  </si>
  <si>
    <t>YSN Skipton PP OMU</t>
  </si>
  <si>
    <t>UPW Mansfield and Ashfield  - N53</t>
  </si>
  <si>
    <t>CP North East 1 - N07</t>
  </si>
  <si>
    <t>Liverpool North 9 - N51</t>
  </si>
  <si>
    <t>Southampton OM Team 1</t>
  </si>
  <si>
    <t>Unallocated Team(N03)</t>
  </si>
  <si>
    <t>South Birmingham PQiP</t>
  </si>
  <si>
    <t>YSN York PP OMU</t>
  </si>
  <si>
    <t>UPW Newark and Sherwood  - N53</t>
  </si>
  <si>
    <t>CP North East 2 - N07</t>
  </si>
  <si>
    <t>Liverpool North Unallocated</t>
  </si>
  <si>
    <t>Southampton OM Team 2</t>
  </si>
  <si>
    <t>Vale - IOM Women Team</t>
  </si>
  <si>
    <t>Stafford - N52</t>
  </si>
  <si>
    <t>YSN York PP OMU3</t>
  </si>
  <si>
    <t>UPW Nottingham - N53</t>
  </si>
  <si>
    <t>CP North East Legacy Caseload - N07</t>
  </si>
  <si>
    <t>Liverpool South 1</t>
  </si>
  <si>
    <t>TV Allocation Hub</t>
  </si>
  <si>
    <t>Vale - Team</t>
  </si>
  <si>
    <t>Staffordshire Community Hub - N52</t>
  </si>
  <si>
    <t>YSS Barnsley OMU 1</t>
  </si>
  <si>
    <t>UPW Derbyshire</t>
  </si>
  <si>
    <t>CP Service Centre</t>
  </si>
  <si>
    <t>Liverpool South 2</t>
  </si>
  <si>
    <t>Unallocated Team(N59)</t>
  </si>
  <si>
    <t>Wrexham - Team 1</t>
  </si>
  <si>
    <t>Staffordshire Short Term Custody</t>
  </si>
  <si>
    <t>YSS Barnsley OMU 2</t>
  </si>
  <si>
    <t>UPW Nottinghamshire</t>
  </si>
  <si>
    <t>CP South 1 - N07</t>
  </si>
  <si>
    <t>Liverpool South 3</t>
  </si>
  <si>
    <t>UPW North Hub - N59</t>
  </si>
  <si>
    <t>Ynys Mon - Team 1</t>
  </si>
  <si>
    <t>Stoke Allocations - N52</t>
  </si>
  <si>
    <t>YSS Barnsley OMU 3 - N55</t>
  </si>
  <si>
    <t>CP South 2 - N07</t>
  </si>
  <si>
    <t>Liverpool South 4</t>
  </si>
  <si>
    <t>UPW South Hub - N59</t>
  </si>
  <si>
    <t>Stoke Team 1 - N52</t>
  </si>
  <si>
    <t>YSS Barnsley OMU 4 - N55</t>
  </si>
  <si>
    <t>CP South 2 Projects</t>
  </si>
  <si>
    <t>Liverpool South 5</t>
  </si>
  <si>
    <t>West Berks ACE - N59</t>
  </si>
  <si>
    <t>Stoke Team 2 - N52</t>
  </si>
  <si>
    <t>YSS Doncaster OMU 1</t>
  </si>
  <si>
    <t>CP South Legacy Caseload - N07</t>
  </si>
  <si>
    <t>Liverpool South 7 - N51</t>
  </si>
  <si>
    <t>West Berks Male - N59</t>
  </si>
  <si>
    <t>Stoke Team 3 - N52</t>
  </si>
  <si>
    <t>YSS Doncaster OMU 2</t>
  </si>
  <si>
    <t>CP West 1 - N07</t>
  </si>
  <si>
    <t>Liverpool South IOM</t>
  </si>
  <si>
    <t>West Berks Women - N59</t>
  </si>
  <si>
    <t>Stoke Team 4 - N52</t>
  </si>
  <si>
    <t>YSS Doncaster OMU 3</t>
  </si>
  <si>
    <t>CP West 2 - N07</t>
  </si>
  <si>
    <t>Liverpool South Unallocated</t>
  </si>
  <si>
    <t>West Berkshire Business Support Unit</t>
  </si>
  <si>
    <t>Tamworth - N52</t>
  </si>
  <si>
    <t>YSS Doncaster OMU 4 - N55</t>
  </si>
  <si>
    <t>CRO 1</t>
  </si>
  <si>
    <t>Macclesfield 1</t>
  </si>
  <si>
    <t>Telford - N52</t>
  </si>
  <si>
    <t>YSS Doncaster OMU 5 - N55</t>
  </si>
  <si>
    <t>CRO 2</t>
  </si>
  <si>
    <t>Merseyside and Cheshire UPW Hub Team 1</t>
  </si>
  <si>
    <t>Unallocated Team(N52)</t>
  </si>
  <si>
    <t>YSS Rotherham OMU 1</t>
  </si>
  <si>
    <t>CRO 3</t>
  </si>
  <si>
    <t>Merseyside and Cheshire UPW Hub Team 2</t>
  </si>
  <si>
    <t>UPW Birmingham - N52</t>
  </si>
  <si>
    <t>YSS Rotherham OMU 2</t>
  </si>
  <si>
    <t>CRO 4</t>
  </si>
  <si>
    <t>Merseyside and Cheshire UPW Hub Team 3</t>
  </si>
  <si>
    <t>UPW Black Country South - N52</t>
  </si>
  <si>
    <t>YSS Rotherham OMU 3 - N55</t>
  </si>
  <si>
    <t>CRO 5 - N07</t>
  </si>
  <si>
    <t>Merseyside Resettle</t>
  </si>
  <si>
    <t>UPW Coventry - N52</t>
  </si>
  <si>
    <t>YSS Rotherham OMU 4 - N55</t>
  </si>
  <si>
    <t>CRO PQIP</t>
  </si>
  <si>
    <t>Merseyside SO IOM - N51</t>
  </si>
  <si>
    <t>UPW Herefordshire - N52</t>
  </si>
  <si>
    <t>YSS Sheffield OMU 1</t>
  </si>
  <si>
    <t>EAH PQIP</t>
  </si>
  <si>
    <t>Merseyside UPW Team 1</t>
  </si>
  <si>
    <t>West Community Orders - N59</t>
  </si>
  <si>
    <t>UPW SRO Central and North</t>
  </si>
  <si>
    <t>YSS Sheffield OMU 2</t>
  </si>
  <si>
    <t>EAL 1</t>
  </si>
  <si>
    <t>Northwich 1</t>
  </si>
  <si>
    <t>West Engagement - N59</t>
  </si>
  <si>
    <t>UPW SRO South and East</t>
  </si>
  <si>
    <t>YSS Sheffield OMU 3</t>
  </si>
  <si>
    <t>EAL 2</t>
  </si>
  <si>
    <t>Northwich 2 - N51</t>
  </si>
  <si>
    <t>West Resettlement - N59</t>
  </si>
  <si>
    <t>UPW Staffordshire - N52</t>
  </si>
  <si>
    <t>YSS Sheffield OMU 4</t>
  </si>
  <si>
    <t>EAL 4 - N07</t>
  </si>
  <si>
    <t>Preston 1</t>
  </si>
  <si>
    <t>West Women - N59</t>
  </si>
  <si>
    <t>UPW Telford and Shropshire - N52</t>
  </si>
  <si>
    <t>YSS Sheffield OMU 5 - N55</t>
  </si>
  <si>
    <t>ENF 1</t>
  </si>
  <si>
    <t>Preston 2</t>
  </si>
  <si>
    <t>ZZ_Awaiting Reassignment - N59</t>
  </si>
  <si>
    <t>UPW Worcestershire - N52</t>
  </si>
  <si>
    <t>YSS Sheffield OMU 6 - N55</t>
  </si>
  <si>
    <t>ENF 2</t>
  </si>
  <si>
    <t>Preston 3</t>
  </si>
  <si>
    <t>Walsall Team 1 - N52</t>
  </si>
  <si>
    <t>YSW Bfd Engagement</t>
  </si>
  <si>
    <t>ENF 3 - N07</t>
  </si>
  <si>
    <t>Preston 4 - N51</t>
  </si>
  <si>
    <t>Walsall Team 2 - N52</t>
  </si>
  <si>
    <t>YSW Bfd Female - N55</t>
  </si>
  <si>
    <t>ENF 4 - N07</t>
  </si>
  <si>
    <t>Preston 5  - N51</t>
  </si>
  <si>
    <t>Walsall Team 3 - N52</t>
  </si>
  <si>
    <t>YSW Bfd Resettlement 1 - N55</t>
  </si>
  <si>
    <t>Enfield</t>
  </si>
  <si>
    <t>Sefton 2</t>
  </si>
  <si>
    <t>Wolverhampton and Walsall Team 5 PQuiP</t>
  </si>
  <si>
    <t>YSW Bfd Resettlement 2 - N55</t>
  </si>
  <si>
    <t>GRE 1</t>
  </si>
  <si>
    <t>Sefton 3</t>
  </si>
  <si>
    <t>Wolverhampton Team 1 - N52</t>
  </si>
  <si>
    <t>YSW Kirklees Engagement - N55</t>
  </si>
  <si>
    <t>GRE 2</t>
  </si>
  <si>
    <t>Sefton 4</t>
  </si>
  <si>
    <t>Wolverhampton Team 2 - N52</t>
  </si>
  <si>
    <t>YSW Kirklees Female - N55</t>
  </si>
  <si>
    <t>GRE 3 - N07</t>
  </si>
  <si>
    <t>Sefton 5 - N51</t>
  </si>
  <si>
    <t>Wolverhampton Team 4 - N52</t>
  </si>
  <si>
    <t>YSW Kirklees Resettlement - N55</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</si>
  <si>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</si>
  <si>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</si>
  <si>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</si>
  <si>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</si>
  <si>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</si>
  <si>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</si>
  <si>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</si>
  <si>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</si>
  <si>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</si>
  <si>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</si>
  <si>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</si>
  <si>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</si>
  <si>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</si>
  <si>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</si>
  <si>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</si>
  <si>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</si>
  <si>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</si>
  <si>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</si>
  <si>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</si>
  <si>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</si>
  <si>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</si>
  <si>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</si>
  <si>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</si>
  <si>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</si>
  <si>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</si>
  <si>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</si>
  <si>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</si>
  <si>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</si>
  <si>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</si>
  <si>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</si>
  <si>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</si>
  <si>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</si>
  <si>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</si>
  <si>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</si>
  <si>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</si>
  <si>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</si>
  <si>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</si>
  <si>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</si>
  <si>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</si>
  <si>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</si>
  <si>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</si>
  <si>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</si>
  <si>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</si>
  <si>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</si>
  <si>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</si>
  <si>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</si>
  <si>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Leeds Community Integration Team 1</t>
  </si>
  <si>
    <t>HIL 1</t>
  </si>
  <si>
    <t>Wirral 2</t>
  </si>
  <si>
    <t>Leeds Community Integration Team 2</t>
  </si>
  <si>
    <t>HIL 2</t>
  </si>
  <si>
    <t>Wirral 3</t>
  </si>
  <si>
    <t>HIL 4 - N07</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</si>
  <si>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</si>
  <si>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</si>
  <si>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</si>
  <si>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</si>
  <si>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</si>
  <si>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</si>
  <si>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</si>
  <si>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</si>
  <si>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</si>
  <si>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</si>
  <si>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</si>
  <si>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</si>
  <si>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</si>
  <si>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</si>
  <si>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</si>
  <si>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</si>
  <si>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</si>
  <si>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</si>
  <si>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</si>
  <si>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</si>
  <si>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</si>
  <si>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</si>
  <si>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</si>
  <si>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</si>
  <si>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</si>
  <si>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</si>
  <si>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</si>
  <si>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</si>
  <si>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</si>
  <si>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</si>
  <si>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</si>
  <si>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</si>
  <si>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</si>
  <si>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</si>
  <si>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</si>
  <si>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Newham Y2A Hub</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</si>
  <si>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</si>
  <si>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</si>
  <si>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</si>
  <si>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</si>
  <si>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</si>
  <si>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</si>
  <si>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</si>
  <si>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</si>
  <si>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</si>
  <si>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</si>
  <si>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</si>
  <si>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</si>
  <si>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</si>
  <si>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</si>
  <si>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</si>
  <si>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</si>
  <si>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</si>
  <si>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</si>
  <si>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</si>
  <si>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</si>
  <si>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</si>
  <si>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</si>
  <si>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</si>
  <si>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</si>
  <si>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</si>
  <si>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</si>
  <si>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</si>
  <si>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</si>
  <si>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</si>
  <si>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</si>
  <si>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</si>
  <si>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</si>
  <si>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</si>
  <si>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</si>
  <si>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</si>
  <si>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</si>
  <si>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</si>
  <si>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</si>
  <si>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</si>
  <si>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</si>
  <si>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</si>
  <si>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</si>
  <si>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</si>
  <si>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</si>
  <si>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</si>
  <si>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</si>
  <si>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</si>
  <si>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</si>
  <si>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</si>
  <si>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</si>
  <si>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</si>
  <si>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</si>
  <si>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</si>
  <si>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</si>
  <si>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</si>
  <si>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</si>
  <si>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</si>
  <si>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</si>
  <si>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</si>
  <si>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</si>
  <si>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</si>
  <si>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</si>
  <si>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</si>
  <si>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</si>
  <si>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</si>
  <si>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</si>
  <si>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</si>
  <si>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</si>
  <si>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</si>
  <si>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</si>
  <si>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</si>
  <si>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</si>
  <si>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</si>
  <si>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</si>
  <si>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</si>
  <si>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</si>
  <si>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</si>
  <si>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</si>
  <si>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</si>
  <si>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</si>
  <si>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</si>
  <si>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</si>
  <si>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</si>
  <si>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</si>
  <si>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</si>
  <si>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</si>
  <si>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</si>
  <si>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</si>
  <si>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</si>
  <si>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</si>
  <si>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</si>
  <si>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</si>
  <si>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</si>
  <si>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</si>
  <si>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</si>
  <si>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</si>
  <si>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</si>
  <si>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</si>
  <si>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</si>
  <si>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</si>
  <si>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</si>
  <si>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</si>
  <si>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</si>
  <si>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</si>
  <si>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</si>
  <si>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</si>
  <si>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</si>
  <si>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</si>
  <si>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PQiP15 0-6</t>
  </si>
  <si>
    <t>PQiP21 0-6</t>
  </si>
  <si>
    <t>PQiP15 12-15</t>
  </si>
  <si>
    <t>PQiP21 6-18</t>
  </si>
  <si>
    <t>PQiP15 6-12</t>
  </si>
  <si>
    <t xml:space="preserve">PQiP21 18-21 </t>
  </si>
  <si>
    <t>PQiP21 18-21</t>
  </si>
  <si>
    <t>PQiP21 Part-time 0-9 mths</t>
  </si>
  <si>
    <t>PQiP21 Part-time 10-16 mths</t>
  </si>
  <si>
    <t>PQiP21 Part-time 17-21 mths</t>
  </si>
  <si>
    <t>PQiP30 Part-time 0-9 mths</t>
  </si>
  <si>
    <t>PQiP30 Part-time 10-24 mths</t>
  </si>
  <si>
    <t>PQiP30 Part-time 25-30 mths</t>
  </si>
  <si>
    <t>PSO13 PQiP 0-4mths</t>
  </si>
  <si>
    <t>PSO13 PQiP 10-13 mths</t>
  </si>
  <si>
    <t>PSO13 PQiP 5-9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</si>
  <si>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</si>
  <si>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</si>
  <si>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</si>
  <si>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</si>
  <si>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</si>
  <si>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</si>
  <si>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</si>
  <si>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</si>
  <si>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</si>
  <si>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</si>
  <si>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</si>
  <si>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</si>
  <si>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</si>
  <si>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</si>
  <si>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</si>
  <si>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</si>
  <si>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</si>
  <si>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</si>
  <si>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</si>
  <si>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</si>
  <si>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</si>
  <si>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</si>
  <si>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</si>
  <si>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</si>
  <si>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</si>
  <si>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</si>
  <si>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</si>
  <si>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</si>
  <si>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</si>
  <si>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</si>
  <si>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</si>
  <si>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</si>
  <si>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</si>
  <si>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</si>
  <si>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</si>
  <si>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</si>
  <si>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</si>
  <si>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</si>
  <si>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</si>
  <si>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</si>
  <si>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</si>
  <si>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</si>
  <si>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</si>
  <si>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</si>
  <si>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</si>
  <si>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</si>
  <si>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</si>
  <si>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</si>
  <si>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</si>
  <si>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</si>
  <si>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</si>
  <si>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</si>
  <si>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</si>
  <si>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</si>
  <si>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</si>
  <si>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</si>
  <si>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</si>
  <si>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</si>
  <si>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</si>
  <si>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</si>
  <si>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</si>
  <si>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</si>
  <si>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</si>
  <si>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</si>
  <si>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</si>
  <si>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</si>
  <si>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</si>
  <si>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</si>
  <si>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</si>
  <si>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</si>
  <si>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</si>
  <si>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</si>
  <si>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</si>
  <si>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Tiering assumptions of caseload by percent</t>
  </si>
  <si>
    <t>Role</t>
  </si>
  <si>
    <t>PO</t>
  </si>
  <si>
    <t>PSO &amp; TPO (combined)</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</si>
  <si>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</si>
  <si>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</si>
  <si>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</si>
  <si>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</si>
  <si>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</si>
  <si>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</si>
  <si>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</si>
  <si>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</si>
  <si>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</si>
  <si>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</si>
  <si>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</si>
  <si>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</si>
  <si>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</si>
  <si>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</si>
  <si>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</si>
  <si>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</si>
  <si>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</si>
  <si>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</si>
  <si>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</si>
  <si>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</si>
  <si>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</si>
  <si>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</si>
  <si>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</si>
  <si>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</si>
  <si>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Total caseloads (all PP's)</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</si>
  <si>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</si>
  <si>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</si>
  <si>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</si>
  <si>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</si>
  <si>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</si>
  <si>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</si>
  <si>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</si>
  <si>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</si>
  <si>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</si>
  <si>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</si>
  <si>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</si>
  <si>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</si>
  <si>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</si>
  <si>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</si>
  <si>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PDU Total caseload (all PP's)</t>
  </si>
  <si>
    <t>Average PP caseload (Custody)</t>
  </si>
  <si>
    <t>overall allocation of cases by grade</t>
  </si>
  <si>
    <t>overall allocation of community cases by grade</t>
  </si>
  <si>
    <t>overall allocation of licence cases by grade</t>
  </si>
  <si>
    <t>overall allocation of custody cases by grade</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</si>
  <si>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</si>
  <si>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</si>
  <si>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</si>
  <si>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</si>
  <si>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</si>
  <si>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</si>
  <si>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</si>
  <si>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</si>
  <si>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</si>
  <si>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</si>
  <si>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</si>
  <si>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</si>
  <si>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</si>
  <si>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</si>
  <si>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</si>
  <si>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</si>
  <si>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</si>
  <si>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</si>
  <si>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</si>
  <si>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</si>
  <si>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</si>
  <si>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</si>
  <si>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</si>
  <si>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t>cluster allocation of community cases by grade as percentage</t>
  </si>
  <si>
    <t>cluster allocation of licence cases by grade as percentage</t>
  </si>
  <si>
    <t>C$luster alloC$ation of C$ustody C$ases by grade as perC$entage</t>
  </si>
  <si>
    <t xml:space="preserve"> C$luster overall alloC$ation of C$ases by grade as perC$entage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</si>
  <si>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</si>
  <si>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</si>
  <si>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</si>
  <si>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</si>
  <si>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</si>
  <si>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</si>
  <si>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</si>
  <si>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</si>
  <si>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</si>
  <si>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</si>
  <si>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</si>
  <si>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</si>
  <si>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</si>
  <si>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</si>
  <si>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r>
      <t>Total (</t>
    </r>
    <r>
      <rPr>
        <b/>
        <sz val="10"/>
        <color rgb="FFFF0000"/>
        <rFont val="Arial"/>
        <family val="2"/>
      </rPr>
      <t>including unallocated cases</t>
    </r>
    <r>
      <rPr>
        <b/>
        <sz val="10"/>
        <color theme="1"/>
        <rFont val="Arial"/>
        <family val="2"/>
      </rPr>
      <t>)</t>
    </r>
  </si>
  <si>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</si>
  <si>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</si>
  <si>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</si>
  <si>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</si>
  <si>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</si>
  <si>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</si>
  <si>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</si>
  <si>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</si>
  <si>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</si>
  <si>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</si>
  <si>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</si>
  <si>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</si>
  <si>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</si>
  <si>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</si>
  <si>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</si>
  <si>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</si>
  <si>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</si>
  <si>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</si>
  <si>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</si>
  <si>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</si>
  <si>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</si>
  <si>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</si>
  <si>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</si>
  <si>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</si>
  <si>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</si>
  <si>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</si>
  <si>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</si>
  <si>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</si>
  <si>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</si>
  <si>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</si>
  <si>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</si>
  <si>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</si>
  <si>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</si>
  <si>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</si>
  <si>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</si>
  <si>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</si>
  <si>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</si>
  <si>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</si>
  <si>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</si>
  <si>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</si>
  <si>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</si>
  <si>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</si>
  <si>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</si>
  <si>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</si>
  <si>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</si>
  <si>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</si>
  <si>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</si>
  <si>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</si>
  <si>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</si>
  <si>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</si>
  <si>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</si>
  <si>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</si>
  <si>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</si>
  <si>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</si>
  <si>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</si>
  <si>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</si>
  <si>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</si>
  <si>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</si>
  <si>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</si>
  <si>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</si>
  <si>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national average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</si>
  <si>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</si>
  <si>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</si>
  <si>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</si>
  <si>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</si>
  <si>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</si>
  <si>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</si>
  <si>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</si>
  <si>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</si>
  <si>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</si>
  <si>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</si>
  <si>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</si>
  <si>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</si>
  <si>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</si>
  <si>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</si>
  <si>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</si>
  <si>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</si>
  <si>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</si>
  <si>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</si>
  <si>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</si>
  <si>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</si>
  <si>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</si>
  <si>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</si>
  <si>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</si>
  <si>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</si>
  <si>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</si>
  <si>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</si>
  <si>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</si>
  <si>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</si>
  <si>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</si>
  <si>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</si>
  <si>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</si>
  <si>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</si>
  <si>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</si>
  <si>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</si>
  <si>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</si>
  <si>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</si>
  <si>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</si>
  <si>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</si>
  <si>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</si>
  <si>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</si>
  <si>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</si>
  <si>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</si>
  <si>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</si>
  <si>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</si>
  <si>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</si>
  <si>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</si>
  <si>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</si>
  <si>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</si>
  <si>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</si>
  <si>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</si>
  <si>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</si>
  <si>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</si>
  <si>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</si>
  <si>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</si>
  <si>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</si>
  <si>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</si>
  <si>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</si>
  <si>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</si>
  <si>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</si>
  <si>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</si>
  <si>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</si>
  <si>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</si>
  <si>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</si>
  <si>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</si>
  <si>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</si>
  <si>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</si>
  <si>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</si>
  <si>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</si>
  <si>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</si>
  <si>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</si>
  <si>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</si>
  <si>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</si>
  <si>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Buckinghamshire and Milton Keynes Business Support Unit</t>
  </si>
  <si>
    <t>Hampshire North and East 1</t>
  </si>
  <si>
    <t>Hampshire North and East 2</t>
  </si>
  <si>
    <t>Hampshire North and East 3</t>
  </si>
  <si>
    <t>Hampshire North and East 4</t>
  </si>
  <si>
    <t>Hampshire North and East 5</t>
  </si>
  <si>
    <t>Hampshire North and East 6</t>
  </si>
  <si>
    <t>Hampshire North and East 7</t>
  </si>
  <si>
    <t>Hampshire North and East 8</t>
  </si>
  <si>
    <t>Hampshire North and East Business Support Unit</t>
  </si>
  <si>
    <t>Oxfordshire 1</t>
  </si>
  <si>
    <t>Oxfordshire 2</t>
  </si>
  <si>
    <t>Oxfordshire 3</t>
  </si>
  <si>
    <t>Oxfordshire 4</t>
  </si>
  <si>
    <t>Oxfordshire 5</t>
  </si>
  <si>
    <t>Oxfordshire 6</t>
  </si>
  <si>
    <t>Oxfordshire 7</t>
  </si>
  <si>
    <t>Oxfordshire Business Support Unit</t>
  </si>
  <si>
    <t>Portsmouth and Isle of Wight 1</t>
  </si>
  <si>
    <t>Portsmouth and Isle of Wight 2</t>
  </si>
  <si>
    <t>Portsmouth and Isle of Wight 3</t>
  </si>
  <si>
    <t>Portsmouth and Isle of Wight 4</t>
  </si>
  <si>
    <t>Portsmouth and Isle of Wight 5</t>
  </si>
  <si>
    <t>Portsmouth and Isle of Wight 6</t>
  </si>
  <si>
    <t>Portsmouth and Isle of Wight 7</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</si>
  <si>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</si>
  <si>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</si>
  <si>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</si>
  <si>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</si>
  <si>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</si>
  <si>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</si>
  <si>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</si>
  <si>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Southampton, Eastleigh and New Forest Business Support Unit</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</si>
  <si>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</si>
  <si>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</si>
  <si>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</si>
  <si>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</si>
  <si>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</si>
  <si>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</si>
  <si>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</si>
  <si>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</si>
  <si>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</si>
  <si>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</si>
  <si>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</si>
  <si>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</si>
  <si>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</si>
  <si>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</si>
  <si>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</si>
  <si>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Standard 6-12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</si>
  <si>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</si>
  <si>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</si>
  <si>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</si>
  <si>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</si>
  <si>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</si>
  <si>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</si>
  <si>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</si>
  <si>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</si>
  <si>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</si>
  <si>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</si>
  <si>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PQiP21 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</si>
</sst>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16"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0"/>
      <color rgb="FFFF00FF"/>
      <name val="Arial"/>
      <family val="2"/>
    </font>
    <font>
      <b/>
      <sz val="10"/>
      <color rgb="FF6600CC"/>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color theme="1"/>
      <name val="Times New Roman"/>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6"/>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name val="Arial"/>
      <family val="2"/>
    </font>
    <font>
      <sz val="11"/>
      <color theme="1"/>
      <name val="Calibri"/>
      <family val="2"/>
    </font>
    <font>
      <sz val="11"/>
      <color rgb="FF000000"/>
      <name val="Calibri"/>
      <family val="2"/>
    </font>
    <font>
      <b/>
      <sz val="11"/>
      <color rgb="FF9900FF"/>
      <name val="Arial"/>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s>
  <fills count="5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A7E8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s>
  <cellStyleXfs count="228">
    <xf numFmtId="0" fontId="0" fillId="0" borderId="0"/>
    <xf numFmtId="9" fontId="16" fillId="0" borderId="0" applyFont="0" applyFill="0" applyBorder="0" applyAlignment="0" applyProtection="0"/>
    <xf numFmtId="0" fontId="18" fillId="0" borderId="0" applyNumberFormat="0" applyFill="0" applyBorder="0" applyAlignment="0" applyProtection="0"/>
    <xf numFmtId="0" fontId="19" fillId="0" borderId="0"/>
    <xf numFmtId="0" fontId="23" fillId="0" borderId="0" applyNumberFormat="0" applyFill="0" applyBorder="0" applyAlignment="0" applyProtection="0"/>
    <xf numFmtId="0" fontId="24" fillId="0" borderId="36" applyNumberFormat="0" applyFill="0" applyAlignment="0" applyProtection="0"/>
    <xf numFmtId="0" fontId="25" fillId="0" borderId="37" applyNumberFormat="0" applyFill="0" applyAlignment="0" applyProtection="0"/>
    <xf numFmtId="0" fontId="26" fillId="0" borderId="38" applyNumberFormat="0" applyFill="0" applyAlignment="0" applyProtection="0"/>
    <xf numFmtId="0" fontId="26" fillId="0" borderId="0" applyNumberFormat="0" applyFill="0" applyBorder="0" applyAlignment="0" applyProtection="0"/>
    <xf numFmtId="0" fontId="27" fillId="15" borderId="0" applyNumberFormat="0" applyBorder="0" applyAlignment="0" applyProtection="0"/>
    <xf numFmtId="0" fontId="28" fillId="16" borderId="0" applyNumberFormat="0" applyBorder="0" applyAlignment="0" applyProtection="0"/>
    <xf numFmtId="0" fontId="29" fillId="17" borderId="0" applyNumberFormat="0" applyBorder="0" applyAlignment="0" applyProtection="0"/>
    <xf numFmtId="0" fontId="30" fillId="18" borderId="39" applyNumberFormat="0" applyAlignment="0" applyProtection="0"/>
    <xf numFmtId="0" fontId="31" fillId="19" borderId="40" applyNumberFormat="0" applyAlignment="0" applyProtection="0"/>
    <xf numFmtId="0" fontId="32" fillId="19" borderId="39" applyNumberFormat="0" applyAlignment="0" applyProtection="0"/>
    <xf numFmtId="0" fontId="33" fillId="0" borderId="41" applyNumberFormat="0" applyFill="0" applyAlignment="0" applyProtection="0"/>
    <xf numFmtId="0" fontId="34" fillId="20" borderId="42" applyNumberFormat="0" applyAlignment="0" applyProtection="0"/>
    <xf numFmtId="0" fontId="35" fillId="0" borderId="0" applyNumberFormat="0" applyFill="0" applyBorder="0" applyAlignment="0" applyProtection="0"/>
    <xf numFmtId="0" fontId="19" fillId="21" borderId="43" applyNumberFormat="0" applyFont="0" applyAlignment="0" applyProtection="0"/>
    <xf numFmtId="0" fontId="36" fillId="0" borderId="0" applyNumberFormat="0" applyFill="0" applyBorder="0" applyAlignment="0" applyProtection="0"/>
    <xf numFmtId="0" fontId="37" fillId="0" borderId="44" applyNumberFormat="0" applyFill="0" applyAlignment="0" applyProtection="0"/>
    <xf numFmtId="0" fontId="38"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8" fillId="26"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8" fillId="30"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33" borderId="0" applyNumberFormat="0" applyBorder="0" applyAlignment="0" applyProtection="0"/>
    <xf numFmtId="0" fontId="38" fillId="34" borderId="0" applyNumberFormat="0" applyBorder="0" applyAlignment="0" applyProtection="0"/>
    <xf numFmtId="0" fontId="19" fillId="35" borderId="0" applyNumberFormat="0" applyBorder="0" applyAlignment="0" applyProtection="0"/>
    <xf numFmtId="0" fontId="19" fillId="36" borderId="0" applyNumberFormat="0" applyBorder="0" applyAlignment="0" applyProtection="0"/>
    <xf numFmtId="0" fontId="19" fillId="37" borderId="0" applyNumberFormat="0" applyBorder="0" applyAlignment="0" applyProtection="0"/>
    <xf numFmtId="0" fontId="38" fillId="38"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38" fillId="42"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5" borderId="0" applyNumberFormat="0" applyBorder="0" applyAlignment="0" applyProtection="0"/>
    <xf numFmtId="0" fontId="39" fillId="0" borderId="0" applyNumberFormat="0" applyFill="0" applyBorder="0" applyAlignment="0" applyProtection="0"/>
    <xf numFmtId="0" fontId="3" fillId="0" borderId="0"/>
    <xf numFmtId="0" fontId="3" fillId="21" borderId="43" applyNumberFormat="0" applyFont="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28" fillId="16" borderId="0" applyNumberFormat="0" applyBorder="0" applyAlignment="0" applyProtection="0"/>
    <xf numFmtId="0" fontId="24" fillId="0" borderId="36" applyNumberFormat="0" applyFill="0" applyAlignment="0" applyProtection="0"/>
    <xf numFmtId="0" fontId="25" fillId="0" borderId="37" applyNumberFormat="0" applyFill="0" applyAlignment="0" applyProtection="0"/>
    <xf numFmtId="0" fontId="26" fillId="0" borderId="38" applyNumberFormat="0" applyFill="0" applyAlignment="0" applyProtection="0"/>
    <xf numFmtId="0" fontId="26" fillId="0" borderId="0" applyNumberFormat="0" applyFill="0" applyBorder="0" applyAlignment="0" applyProtection="0"/>
    <xf numFmtId="0" fontId="65" fillId="0" borderId="0"/>
    <xf numFmtId="0" fontId="66" fillId="15" borderId="0" applyNumberFormat="0" applyBorder="0" applyAlignment="0" applyProtection="0"/>
    <xf numFmtId="0" fontId="67" fillId="16" borderId="0" applyNumberFormat="0" applyBorder="0" applyAlignment="0" applyProtection="0"/>
    <xf numFmtId="0" fontId="68" fillId="17" borderId="0" applyNumberFormat="0" applyBorder="0" applyAlignment="0" applyProtection="0"/>
    <xf numFmtId="0" fontId="69" fillId="18" borderId="39" applyNumberFormat="0" applyAlignment="0" applyProtection="0"/>
    <xf numFmtId="0" fontId="70" fillId="19" borderId="40" applyNumberFormat="0" applyAlignment="0" applyProtection="0"/>
    <xf numFmtId="0" fontId="71" fillId="19" borderId="39" applyNumberFormat="0" applyAlignment="0" applyProtection="0"/>
    <xf numFmtId="0" fontId="72" fillId="0" borderId="41" applyNumberFormat="0" applyFill="0" applyAlignment="0" applyProtection="0"/>
    <xf numFmtId="0" fontId="73" fillId="20" borderId="42" applyNumberFormat="0" applyAlignment="0" applyProtection="0"/>
    <xf numFmtId="0" fontId="74" fillId="0" borderId="0" applyNumberFormat="0" applyFill="0" applyBorder="0" applyAlignment="0" applyProtection="0"/>
    <xf numFmtId="0" fontId="65" fillId="21" borderId="43" applyNumberFormat="0" applyFont="0" applyAlignment="0" applyProtection="0"/>
    <xf numFmtId="0" fontId="75" fillId="0" borderId="0" applyNumberFormat="0" applyFill="0" applyBorder="0" applyAlignment="0" applyProtection="0"/>
    <xf numFmtId="0" fontId="76" fillId="0" borderId="44" applyNumberFormat="0" applyFill="0" applyAlignment="0" applyProtection="0"/>
    <xf numFmtId="0" fontId="77"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65" fillId="25" borderId="0" applyNumberFormat="0" applyBorder="0" applyAlignment="0" applyProtection="0"/>
    <xf numFmtId="0" fontId="77"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65" fillId="29" borderId="0" applyNumberFormat="0" applyBorder="0" applyAlignment="0" applyProtection="0"/>
    <xf numFmtId="0" fontId="77"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65" fillId="33" borderId="0" applyNumberFormat="0" applyBorder="0" applyAlignment="0" applyProtection="0"/>
    <xf numFmtId="0" fontId="77"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65" fillId="37" borderId="0" applyNumberFormat="0" applyBorder="0" applyAlignment="0" applyProtection="0"/>
    <xf numFmtId="0" fontId="77" fillId="38" borderId="0" applyNumberFormat="0" applyBorder="0" applyAlignment="0" applyProtection="0"/>
    <xf numFmtId="0" fontId="65" fillId="39" borderId="0" applyNumberFormat="0" applyBorder="0" applyAlignment="0" applyProtection="0"/>
    <xf numFmtId="0" fontId="65" fillId="40" borderId="0" applyNumberFormat="0" applyBorder="0" applyAlignment="0" applyProtection="0"/>
    <xf numFmtId="0" fontId="65" fillId="41" borderId="0" applyNumberFormat="0" applyBorder="0" applyAlignment="0" applyProtection="0"/>
    <xf numFmtId="0" fontId="77" fillId="42" borderId="0" applyNumberFormat="0" applyBorder="0" applyAlignment="0" applyProtection="0"/>
    <xf numFmtId="0" fontId="65" fillId="43" borderId="0" applyNumberFormat="0" applyBorder="0" applyAlignment="0" applyProtection="0"/>
    <xf numFmtId="0" fontId="65" fillId="44" borderId="0" applyNumberFormat="0" applyBorder="0" applyAlignment="0" applyProtection="0"/>
    <xf numFmtId="0" fontId="65" fillId="45" borderId="0" applyNumberFormat="0" applyBorder="0" applyAlignment="0" applyProtection="0"/>
    <xf numFmtId="0" fontId="2" fillId="0" borderId="0"/>
    <xf numFmtId="0" fontId="2" fillId="21" borderId="43" applyNumberFormat="0" applyFont="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0" borderId="0"/>
    <xf numFmtId="0" fontId="2" fillId="21" borderId="43" applyNumberFormat="0" applyFont="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cellStyleXfs>
  <cellXfs count="556">
    <xf numFmtId="0" fontId="0" fillId="0" borderId="0" xfId="0"/>
    <xf numFmtId="0" fontId="4" fillId="0" borderId="0" xfId="0" applyFont="1"/>
    <xf numFmtId="0" fontId="4" fillId="0" borderId="0" xfId="0" applyFont="1" applyAlignment="1">
      <alignment horizontal="center"/>
    </xf>
    <xf numFmtId="0" fontId="6" fillId="0" borderId="0" xfId="0" applyFont="1"/>
    <xf numFmtId="0" fontId="7" fillId="0" borderId="0" xfId="0" applyFont="1" applyAlignment="1">
      <alignment vertical="center"/>
    </xf>
    <xf numFmtId="14" fontId="4" fillId="0" borderId="0" xfId="0" applyNumberFormat="1" applyFont="1" applyAlignment="1">
      <alignment vertical="center"/>
    </xf>
    <xf numFmtId="0" fontId="0" fillId="0" borderId="0" xfId="0" applyAlignment="1">
      <alignment horizontal="center"/>
    </xf>
    <xf numFmtId="0" fontId="18" fillId="0" borderId="0" xfId="2"/>
    <xf numFmtId="0" fontId="0" fillId="4" borderId="0" xfId="0" applyFill="1"/>
    <xf numFmtId="0" fontId="0" fillId="0" borderId="0" xfId="0" applyAlignment="1">
      <alignment horizontal="left"/>
    </xf>
    <xf numFmtId="0" fontId="4" fillId="4" borderId="0" xfId="0" applyFont="1" applyFill="1"/>
    <xf numFmtId="0" fontId="4" fillId="4" borderId="0" xfId="0" applyFont="1" applyFill="1" applyAlignment="1">
      <alignment horizontal="center" vertical="top" wrapText="1"/>
    </xf>
    <xf numFmtId="0" fontId="20" fillId="4" borderId="2" xfId="0" applyFont="1" applyFill="1" applyBorder="1" applyAlignment="1">
      <alignment horizontal="center"/>
    </xf>
    <xf numFmtId="0" fontId="9" fillId="10" borderId="2" xfId="0" applyFont="1" applyFill="1" applyBorder="1" applyAlignment="1">
      <alignment horizontal="center" vertical="center"/>
    </xf>
    <xf numFmtId="0" fontId="9" fillId="4" borderId="0" xfId="0" applyFont="1" applyFill="1" applyAlignment="1">
      <alignment horizontal="center" vertical="top" wrapText="1"/>
    </xf>
    <xf numFmtId="164" fontId="4" fillId="0" borderId="1" xfId="0" applyNumberFormat="1" applyFont="1" applyBorder="1"/>
    <xf numFmtId="0" fontId="21" fillId="0" borderId="0" xfId="0" applyFont="1" applyAlignment="1">
      <alignment vertical="center" wrapText="1"/>
    </xf>
    <xf numFmtId="9" fontId="22" fillId="14" borderId="1" xfId="0" applyNumberFormat="1" applyFont="1" applyFill="1" applyBorder="1" applyAlignment="1">
      <alignment horizontal="center" vertical="center"/>
    </xf>
    <xf numFmtId="0" fontId="17" fillId="0" borderId="0" xfId="0" applyFont="1" applyAlignment="1">
      <alignment horizontal="center"/>
    </xf>
    <xf numFmtId="166" fontId="4" fillId="0" borderId="4" xfId="0" applyNumberFormat="1" applyFont="1" applyBorder="1" applyAlignment="1">
      <alignment horizontal="center" vertical="center"/>
    </xf>
    <xf numFmtId="166" fontId="4" fillId="0" borderId="0" xfId="0" applyNumberFormat="1" applyFont="1" applyAlignment="1">
      <alignment horizontal="center" vertical="center"/>
    </xf>
    <xf numFmtId="0" fontId="14" fillId="10" borderId="0" xfId="0" applyFont="1" applyFill="1" applyAlignment="1">
      <alignment horizontal="left" vertical="center" wrapText="1"/>
    </xf>
    <xf numFmtId="0" fontId="6" fillId="0" borderId="0" xfId="0" applyFont="1" applyAlignment="1">
      <alignment horizontal="center"/>
    </xf>
    <xf numFmtId="10" fontId="4" fillId="0" borderId="1" xfId="0" applyNumberFormat="1" applyFont="1" applyBorder="1" applyAlignment="1">
      <alignment horizontal="center"/>
    </xf>
    <xf numFmtId="0" fontId="0" fillId="4" borderId="1" xfId="0" applyFill="1" applyBorder="1"/>
    <xf numFmtId="0" fontId="8" fillId="10" borderId="25" xfId="0" applyFont="1" applyFill="1" applyBorder="1" applyAlignment="1">
      <alignment horizontal="center" vertical="center"/>
    </xf>
    <xf numFmtId="0" fontId="9" fillId="10" borderId="1" xfId="0" applyFont="1" applyFill="1" applyBorder="1"/>
    <xf numFmtId="0" fontId="15" fillId="5" borderId="1" xfId="0" applyFont="1" applyFill="1" applyBorder="1" applyAlignment="1">
      <alignment vertical="center" wrapText="1"/>
    </xf>
    <xf numFmtId="0" fontId="0" fillId="4" borderId="0" xfId="0" applyFill="1" applyAlignment="1">
      <alignment horizontal="center"/>
    </xf>
    <xf numFmtId="164" fontId="4"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3" fillId="0" borderId="0" xfId="0" applyFont="1"/>
    <xf numFmtId="0" fontId="45" fillId="5" borderId="1" xfId="0" applyFont="1" applyFill="1" applyBorder="1" applyAlignment="1">
      <alignment horizontal="center" vertical="center"/>
    </xf>
    <xf numFmtId="0" fontId="8" fillId="10" borderId="2" xfId="0" applyFont="1" applyFill="1" applyBorder="1" applyAlignment="1">
      <alignment horizontal="center" vertical="center"/>
    </xf>
    <xf numFmtId="0" fontId="9" fillId="0" borderId="0" xfId="0" applyFont="1" applyAlignment="1">
      <alignment horizontal="center"/>
    </xf>
    <xf numFmtId="0" fontId="47" fillId="0" borderId="0" xfId="0" applyFont="1" applyAlignment="1">
      <alignment horizontal="center" vertical="center" wrapText="1"/>
    </xf>
    <xf numFmtId="0" fontId="0" fillId="0" borderId="1" xfId="0" applyBorder="1" applyAlignment="1">
      <alignment horizontal="center"/>
    </xf>
    <xf numFmtId="0" fontId="40" fillId="0" borderId="0" xfId="0" applyFont="1" applyAlignment="1">
      <alignment wrapText="1"/>
    </xf>
    <xf numFmtId="0" fontId="14" fillId="10" borderId="1" xfId="0" applyFont="1" applyFill="1" applyBorder="1" applyAlignment="1">
      <alignment horizontal="center" vertical="center" wrapText="1"/>
    </xf>
    <xf numFmtId="0" fontId="14" fillId="10" borderId="0" xfId="0" applyFont="1" applyFill="1" applyAlignment="1">
      <alignment horizontal="center"/>
    </xf>
    <xf numFmtId="0" fontId="41" fillId="10" borderId="1" xfId="0" applyFont="1" applyFill="1" applyBorder="1" applyAlignment="1">
      <alignment horizontal="center"/>
    </xf>
    <xf numFmtId="10" fontId="0" fillId="0" borderId="0" xfId="0" applyNumberFormat="1"/>
    <xf numFmtId="0" fontId="48" fillId="2" borderId="0" xfId="0" applyFont="1" applyFill="1" applyAlignment="1">
      <alignment horizontal="center"/>
    </xf>
    <xf numFmtId="0" fontId="44" fillId="6" borderId="1" xfId="0" applyFont="1" applyFill="1" applyBorder="1" applyAlignment="1">
      <alignment horizontal="center" vertical="center" wrapText="1"/>
    </xf>
    <xf numFmtId="0" fontId="9" fillId="0" borderId="0" xfId="0" applyFont="1" applyAlignment="1">
      <alignment horizontal="center" wrapText="1"/>
    </xf>
    <xf numFmtId="0" fontId="4" fillId="4" borderId="2" xfId="0" applyFont="1" applyFill="1" applyBorder="1"/>
    <xf numFmtId="0" fontId="4" fillId="4" borderId="1" xfId="0" applyFont="1" applyFill="1" applyBorder="1" applyAlignment="1">
      <alignment wrapText="1"/>
    </xf>
    <xf numFmtId="0" fontId="4" fillId="0" borderId="1" xfId="0" applyFont="1" applyBorder="1" applyAlignment="1">
      <alignment horizontal="center" wrapText="1"/>
    </xf>
    <xf numFmtId="0" fontId="49" fillId="0" borderId="0" xfId="0" applyFont="1"/>
    <xf numFmtId="166" fontId="4" fillId="47" borderId="0" xfId="0" applyNumberFormat="1" applyFont="1" applyFill="1" applyAlignment="1">
      <alignment horizontal="left" vertical="center" indent="14"/>
    </xf>
    <xf numFmtId="0" fontId="0" fillId="2" borderId="0" xfId="0" applyFill="1"/>
    <xf numFmtId="2" fontId="0" fillId="0" borderId="0" xfId="0" applyNumberFormat="1"/>
    <xf numFmtId="10" fontId="4" fillId="0" borderId="0" xfId="0" applyNumberFormat="1" applyFont="1"/>
    <xf numFmtId="0" fontId="14" fillId="10" borderId="17" xfId="0" applyFont="1" applyFill="1" applyBorder="1" applyAlignment="1">
      <alignment horizontal="center"/>
    </xf>
    <xf numFmtId="0" fontId="40" fillId="49" borderId="1" xfId="0" applyFont="1" applyFill="1" applyBorder="1" applyAlignment="1">
      <alignment horizontal="center" vertical="center"/>
    </xf>
    <xf numFmtId="0" fontId="0" fillId="0" borderId="0" xfId="0" applyProtection="1">
      <protection locked="0"/>
    </xf>
    <xf numFmtId="0" fontId="40" fillId="3" borderId="1" xfId="0" applyFont="1" applyFill="1" applyBorder="1" applyAlignment="1" applyProtection="1">
      <alignment horizontal="center" vertical="center" wrapText="1"/>
      <protection locked="0"/>
    </xf>
    <xf numFmtId="0" fontId="40" fillId="13" borderId="1" xfId="0" applyFont="1" applyFill="1" applyBorder="1" applyAlignment="1" applyProtection="1">
      <alignment horizontal="center" vertical="center" wrapText="1"/>
      <protection locked="0"/>
    </xf>
    <xf numFmtId="10" fontId="6" fillId="0" borderId="0" xfId="0" applyNumberFormat="1" applyFont="1"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6" fillId="2" borderId="0" xfId="0" applyFont="1" applyFill="1" applyAlignment="1">
      <alignment horizontal="center"/>
    </xf>
    <xf numFmtId="0" fontId="51" fillId="0" borderId="0" xfId="0" applyFont="1"/>
    <xf numFmtId="0" fontId="52" fillId="0" borderId="0" xfId="0" applyFont="1"/>
    <xf numFmtId="166" fontId="50" fillId="47" borderId="0" xfId="0" applyNumberFormat="1" applyFont="1" applyFill="1" applyAlignment="1">
      <alignment horizontal="left" vertical="center" indent="14"/>
    </xf>
    <xf numFmtId="0" fontId="22" fillId="0" borderId="1" xfId="0" applyFont="1" applyBorder="1"/>
    <xf numFmtId="0" fontId="41" fillId="10" borderId="1" xfId="0" quotePrefix="1" applyFont="1" applyFill="1" applyBorder="1" applyAlignment="1">
      <alignment horizontal="center" vertical="center" wrapText="1"/>
    </xf>
    <xf numFmtId="0" fontId="54" fillId="0" borderId="0" xfId="0" applyFont="1"/>
    <xf numFmtId="0" fontId="22" fillId="6" borderId="1" xfId="0" applyFont="1" applyFill="1" applyBorder="1"/>
    <xf numFmtId="10" fontId="22" fillId="0" borderId="1" xfId="0" applyNumberFormat="1" applyFont="1" applyBorder="1" applyAlignment="1">
      <alignment horizontal="center"/>
    </xf>
    <xf numFmtId="9" fontId="22" fillId="0" borderId="1" xfId="0" applyNumberFormat="1" applyFont="1" applyBorder="1" applyAlignment="1">
      <alignment horizontal="center"/>
    </xf>
    <xf numFmtId="0" fontId="22" fillId="12" borderId="18" xfId="0" quotePrefix="1" applyFont="1" applyFill="1" applyBorder="1" applyAlignment="1">
      <alignment horizontal="left" vertical="center" wrapText="1"/>
    </xf>
    <xf numFmtId="0" fontId="54" fillId="0" borderId="1" xfId="0" applyFont="1" applyBorder="1"/>
    <xf numFmtId="0" fontId="55" fillId="10" borderId="17" xfId="0" applyFont="1" applyFill="1" applyBorder="1" applyAlignment="1">
      <alignment horizontal="center" vertical="center" wrapText="1"/>
    </xf>
    <xf numFmtId="0" fontId="55" fillId="10" borderId="22" xfId="0" applyFont="1" applyFill="1" applyBorder="1" applyAlignment="1">
      <alignment horizontal="center" vertical="center" wrapText="1"/>
    </xf>
    <xf numFmtId="0" fontId="22" fillId="2" borderId="1" xfId="0" applyFont="1" applyFill="1" applyBorder="1" applyAlignment="1">
      <alignment horizontal="left" vertical="center" wrapText="1"/>
    </xf>
    <xf numFmtId="9" fontId="22" fillId="0" borderId="0" xfId="0" applyNumberFormat="1" applyFont="1" applyAlignment="1">
      <alignment horizontal="center" vertical="center"/>
    </xf>
    <xf numFmtId="9" fontId="22" fillId="2" borderId="1" xfId="0" applyNumberFormat="1" applyFont="1" applyFill="1" applyBorder="1" applyAlignment="1">
      <alignment horizontal="center" vertical="center" wrapText="1"/>
    </xf>
    <xf numFmtId="0" fontId="22" fillId="0" borderId="1" xfId="0" applyFont="1" applyBorder="1" applyAlignment="1">
      <alignment horizontal="center"/>
    </xf>
    <xf numFmtId="0" fontId="41" fillId="10" borderId="1" xfId="0" applyFont="1" applyFill="1" applyBorder="1" applyAlignment="1">
      <alignment horizontal="center" vertical="center"/>
    </xf>
    <xf numFmtId="1" fontId="22" fillId="0" borderId="1" xfId="1" applyNumberFormat="1" applyFont="1" applyBorder="1" applyAlignment="1">
      <alignment horizontal="center"/>
    </xf>
    <xf numFmtId="0" fontId="22" fillId="0" borderId="1" xfId="0" applyFont="1" applyBorder="1" applyAlignment="1">
      <alignment horizontal="center" vertical="center"/>
    </xf>
    <xf numFmtId="0" fontId="22" fillId="7" borderId="1" xfId="0" quotePrefix="1" applyFont="1" applyFill="1" applyBorder="1" applyAlignment="1">
      <alignment horizontal="left"/>
    </xf>
    <xf numFmtId="0" fontId="22" fillId="7" borderId="1" xfId="0" applyFont="1" applyFill="1" applyBorder="1" applyAlignment="1">
      <alignment horizontal="center"/>
    </xf>
    <xf numFmtId="1" fontId="22" fillId="7" borderId="1" xfId="0" applyNumberFormat="1" applyFont="1" applyFill="1" applyBorder="1" applyAlignment="1">
      <alignment horizontal="center"/>
    </xf>
    <xf numFmtId="10" fontId="22" fillId="7" borderId="1" xfId="0" applyNumberFormat="1" applyFont="1" applyFill="1" applyBorder="1" applyAlignment="1">
      <alignment horizontal="center"/>
    </xf>
    <xf numFmtId="0" fontId="22" fillId="12" borderId="1" xfId="0" quotePrefix="1" applyFont="1" applyFill="1" applyBorder="1" applyAlignment="1">
      <alignment horizontal="left" vertical="center" wrapText="1"/>
    </xf>
    <xf numFmtId="0" fontId="54" fillId="10" borderId="1" xfId="0" applyFont="1" applyFill="1" applyBorder="1"/>
    <xf numFmtId="1" fontId="22" fillId="0" borderId="1" xfId="0" applyNumberFormat="1" applyFont="1" applyBorder="1" applyAlignment="1">
      <alignment horizontal="center" vertical="top" wrapText="1"/>
    </xf>
    <xf numFmtId="0" fontId="22" fillId="0" borderId="1" xfId="0" applyFont="1" applyBorder="1" applyAlignment="1">
      <alignment horizontal="center" vertical="top" wrapText="1"/>
    </xf>
    <xf numFmtId="10" fontId="22" fillId="0" borderId="1" xfId="0" applyNumberFormat="1" applyFont="1" applyBorder="1" applyAlignment="1">
      <alignment horizontal="center" vertical="top" wrapText="1"/>
    </xf>
    <xf numFmtId="164" fontId="22" fillId="0" borderId="1" xfId="0" applyNumberFormat="1" applyFont="1" applyBorder="1" applyAlignment="1">
      <alignment horizontal="center" vertical="top" wrapText="1"/>
    </xf>
    <xf numFmtId="0" fontId="22" fillId="0" borderId="20" xfId="0" applyFont="1" applyBorder="1" applyAlignment="1">
      <alignment horizontal="center" vertical="center"/>
    </xf>
    <xf numFmtId="0" fontId="22" fillId="2" borderId="18" xfId="0" applyFont="1" applyFill="1" applyBorder="1" applyAlignment="1">
      <alignment horizontal="center" vertical="center"/>
    </xf>
    <xf numFmtId="0" fontId="22" fillId="0" borderId="0" xfId="0" applyFont="1"/>
    <xf numFmtId="10" fontId="22" fillId="2" borderId="1" xfId="0" applyNumberFormat="1" applyFont="1" applyFill="1" applyBorder="1" applyAlignment="1">
      <alignment horizontal="center" vertical="center"/>
    </xf>
    <xf numFmtId="0" fontId="58" fillId="49" borderId="1" xfId="0" applyFont="1" applyFill="1" applyBorder="1" applyAlignment="1">
      <alignment horizontal="center"/>
    </xf>
    <xf numFmtId="1" fontId="22" fillId="0" borderId="1" xfId="0" applyNumberFormat="1" applyFont="1" applyBorder="1" applyAlignment="1">
      <alignment horizontal="center"/>
    </xf>
    <xf numFmtId="0" fontId="41" fillId="10" borderId="17" xfId="0" applyFont="1" applyFill="1" applyBorder="1" applyAlignment="1">
      <alignment horizontal="center"/>
    </xf>
    <xf numFmtId="0" fontId="22" fillId="0" borderId="22" xfId="0" applyFont="1" applyBorder="1" applyAlignment="1">
      <alignment horizontal="center"/>
    </xf>
    <xf numFmtId="0" fontId="22" fillId="0" borderId="56" xfId="0" applyFont="1" applyBorder="1" applyAlignment="1">
      <alignment horizontal="center"/>
    </xf>
    <xf numFmtId="0" fontId="22" fillId="0" borderId="20" xfId="0" applyFont="1" applyBorder="1" applyAlignment="1">
      <alignment horizontal="center"/>
    </xf>
    <xf numFmtId="10" fontId="22" fillId="51" borderId="1" xfId="0" applyNumberFormat="1" applyFont="1" applyFill="1" applyBorder="1" applyAlignment="1">
      <alignment horizontal="center"/>
    </xf>
    <xf numFmtId="0" fontId="22" fillId="51" borderId="1" xfId="0" applyFont="1" applyFill="1" applyBorder="1" applyAlignment="1">
      <alignment horizontal="center"/>
    </xf>
    <xf numFmtId="9" fontId="22" fillId="51" borderId="1" xfId="0" applyNumberFormat="1" applyFont="1" applyFill="1" applyBorder="1" applyAlignment="1">
      <alignment horizontal="center"/>
    </xf>
    <xf numFmtId="9" fontId="22" fillId="51" borderId="1" xfId="0" applyNumberFormat="1" applyFont="1" applyFill="1" applyBorder="1" applyAlignment="1">
      <alignment horizontal="center" vertical="center"/>
    </xf>
    <xf numFmtId="9" fontId="22" fillId="51" borderId="18" xfId="0" applyNumberFormat="1" applyFont="1" applyFill="1" applyBorder="1" applyAlignment="1">
      <alignment horizontal="center" vertical="center"/>
    </xf>
    <xf numFmtId="165" fontId="22" fillId="51" borderId="1" xfId="1" applyNumberFormat="1" applyFont="1" applyFill="1" applyBorder="1" applyAlignment="1">
      <alignment horizontal="center"/>
    </xf>
    <xf numFmtId="0" fontId="22" fillId="51" borderId="1" xfId="0" applyFont="1" applyFill="1" applyBorder="1"/>
    <xf numFmtId="0" fontId="22" fillId="7" borderId="1" xfId="0" applyFont="1" applyFill="1" applyBorder="1"/>
    <xf numFmtId="9" fontId="22" fillId="7" borderId="1" xfId="0" applyNumberFormat="1" applyFont="1" applyFill="1" applyBorder="1" applyAlignment="1">
      <alignment horizontal="center"/>
    </xf>
    <xf numFmtId="1" fontId="22" fillId="7" borderId="1" xfId="0" applyNumberFormat="1" applyFont="1" applyFill="1" applyBorder="1" applyAlignment="1">
      <alignment horizontal="center" vertical="top" wrapText="1"/>
    </xf>
    <xf numFmtId="10" fontId="22" fillId="7" borderId="1" xfId="0" applyNumberFormat="1" applyFont="1" applyFill="1" applyBorder="1" applyAlignment="1">
      <alignment horizontal="center" vertical="top" wrapText="1"/>
    </xf>
    <xf numFmtId="0" fontId="58" fillId="51" borderId="1" xfId="0" applyFont="1" applyFill="1" applyBorder="1" applyAlignment="1">
      <alignment horizontal="center"/>
    </xf>
    <xf numFmtId="10" fontId="22" fillId="0" borderId="0" xfId="0" applyNumberFormat="1" applyFont="1" applyAlignment="1">
      <alignment horizontal="center"/>
    </xf>
    <xf numFmtId="164" fontId="22" fillId="0" borderId="18" xfId="0" applyNumberFormat="1" applyFont="1" applyBorder="1" applyAlignment="1">
      <alignment horizontal="center"/>
    </xf>
    <xf numFmtId="164" fontId="22" fillId="0" borderId="1" xfId="0" applyNumberFormat="1" applyFont="1" applyBorder="1" applyAlignment="1">
      <alignment horizontal="center"/>
    </xf>
    <xf numFmtId="0" fontId="22" fillId="8" borderId="1" xfId="0" applyFont="1" applyFill="1" applyBorder="1" applyAlignment="1">
      <alignment horizontal="center"/>
    </xf>
    <xf numFmtId="10" fontId="58" fillId="51" borderId="1" xfId="0" applyNumberFormat="1" applyFont="1" applyFill="1" applyBorder="1" applyAlignment="1">
      <alignment horizontal="center"/>
    </xf>
    <xf numFmtId="0" fontId="22" fillId="51" borderId="1" xfId="0" quotePrefix="1" applyFont="1" applyFill="1" applyBorder="1" applyAlignment="1">
      <alignment horizontal="left" vertical="center" wrapText="1"/>
    </xf>
    <xf numFmtId="10" fontId="58" fillId="7" borderId="1" xfId="0" applyNumberFormat="1" applyFont="1" applyFill="1" applyBorder="1" applyAlignment="1">
      <alignment horizontal="center"/>
    </xf>
    <xf numFmtId="10" fontId="58" fillId="7" borderId="1" xfId="0" applyNumberFormat="1" applyFont="1" applyFill="1" applyBorder="1" applyAlignment="1">
      <alignment horizontal="center" vertical="center"/>
    </xf>
    <xf numFmtId="0" fontId="22" fillId="51" borderId="18" xfId="0" quotePrefix="1" applyFont="1" applyFill="1" applyBorder="1" applyAlignment="1">
      <alignment horizontal="left" vertical="center" wrapText="1"/>
    </xf>
    <xf numFmtId="10" fontId="22" fillId="51" borderId="18" xfId="0" applyNumberFormat="1" applyFont="1" applyFill="1" applyBorder="1" applyAlignment="1">
      <alignment horizontal="center" vertical="center"/>
    </xf>
    <xf numFmtId="10" fontId="22" fillId="51" borderId="1" xfId="0" applyNumberFormat="1" applyFont="1" applyFill="1" applyBorder="1" applyAlignment="1">
      <alignment horizontal="center" vertical="center"/>
    </xf>
    <xf numFmtId="10" fontId="22" fillId="2" borderId="0" xfId="0" applyNumberFormat="1" applyFont="1" applyFill="1" applyAlignment="1">
      <alignment horizontal="center"/>
    </xf>
    <xf numFmtId="9" fontId="22" fillId="2" borderId="1" xfId="0" applyNumberFormat="1" applyFont="1" applyFill="1" applyBorder="1" applyAlignment="1">
      <alignment horizontal="center"/>
    </xf>
    <xf numFmtId="0" fontId="41" fillId="10" borderId="7" xfId="0" applyFont="1" applyFill="1" applyBorder="1" applyAlignment="1">
      <alignment horizontal="center"/>
    </xf>
    <xf numFmtId="0" fontId="41" fillId="10" borderId="57" xfId="0" applyFont="1" applyFill="1" applyBorder="1" applyAlignment="1">
      <alignment horizontal="center"/>
    </xf>
    <xf numFmtId="0" fontId="41" fillId="10" borderId="8" xfId="0" applyFont="1" applyFill="1" applyBorder="1" applyAlignment="1">
      <alignment horizontal="center"/>
    </xf>
    <xf numFmtId="0" fontId="41" fillId="10" borderId="18" xfId="0" applyFont="1" applyFill="1" applyBorder="1" applyAlignment="1">
      <alignment horizontal="center"/>
    </xf>
    <xf numFmtId="0" fontId="22" fillId="8" borderId="17" xfId="0" applyFont="1" applyFill="1" applyBorder="1" applyAlignment="1">
      <alignment horizontal="center"/>
    </xf>
    <xf numFmtId="0" fontId="22" fillId="8" borderId="3" xfId="0" applyFont="1" applyFill="1" applyBorder="1" applyAlignment="1">
      <alignment horizontal="center"/>
    </xf>
    <xf numFmtId="0" fontId="22" fillId="8" borderId="18" xfId="0" applyFont="1" applyFill="1" applyBorder="1" applyAlignment="1">
      <alignment horizontal="center"/>
    </xf>
    <xf numFmtId="0" fontId="22" fillId="0" borderId="0" xfId="0" applyFont="1" applyAlignment="1">
      <alignment horizontal="center" vertical="center"/>
    </xf>
    <xf numFmtId="0" fontId="22" fillId="0" borderId="0" xfId="0" applyFont="1" applyAlignment="1">
      <alignment horizontal="center" wrapText="1"/>
    </xf>
    <xf numFmtId="1" fontId="22" fillId="0" borderId="0" xfId="0" applyNumberFormat="1" applyFont="1" applyAlignment="1">
      <alignment horizontal="center"/>
    </xf>
    <xf numFmtId="0" fontId="58" fillId="51" borderId="1" xfId="0" applyFont="1" applyFill="1" applyBorder="1" applyAlignment="1">
      <alignment horizontal="center" vertical="center" wrapText="1"/>
    </xf>
    <xf numFmtId="1" fontId="58" fillId="51" borderId="1" xfId="0" applyNumberFormat="1" applyFont="1" applyFill="1" applyBorder="1" applyAlignment="1">
      <alignment horizontal="center" vertical="center"/>
    </xf>
    <xf numFmtId="0" fontId="58" fillId="51" borderId="1" xfId="0" applyFont="1" applyFill="1" applyBorder="1" applyAlignment="1">
      <alignment horizontal="center" vertical="center"/>
    </xf>
    <xf numFmtId="0" fontId="58" fillId="7" borderId="17" xfId="0" applyFont="1" applyFill="1" applyBorder="1" applyAlignment="1">
      <alignment horizontal="center"/>
    </xf>
    <xf numFmtId="1" fontId="58" fillId="7" borderId="1" xfId="0" applyNumberFormat="1" applyFont="1" applyFill="1" applyBorder="1" applyAlignment="1">
      <alignment horizontal="center"/>
    </xf>
    <xf numFmtId="0" fontId="58" fillId="7" borderId="1" xfId="0" applyFont="1" applyFill="1" applyBorder="1" applyAlignment="1">
      <alignment horizontal="center"/>
    </xf>
    <xf numFmtId="0" fontId="58" fillId="7" borderId="3" xfId="0" applyFont="1" applyFill="1" applyBorder="1" applyAlignment="1">
      <alignment horizontal="center"/>
    </xf>
    <xf numFmtId="165" fontId="58" fillId="7" borderId="1" xfId="0" applyNumberFormat="1" applyFont="1" applyFill="1" applyBorder="1" applyAlignment="1">
      <alignment horizontal="center"/>
    </xf>
    <xf numFmtId="0" fontId="58" fillId="7" borderId="18" xfId="0" applyFont="1" applyFill="1" applyBorder="1" applyAlignment="1">
      <alignment horizontal="center"/>
    </xf>
    <xf numFmtId="0" fontId="54" fillId="0" borderId="2" xfId="0" applyFont="1" applyBorder="1"/>
    <xf numFmtId="0" fontId="0" fillId="0" borderId="2" xfId="0" applyBorder="1" applyAlignment="1">
      <alignment horizontal="left"/>
    </xf>
    <xf numFmtId="0" fontId="22" fillId="0" borderId="2" xfId="0" applyFont="1" applyBorder="1" applyAlignment="1">
      <alignment horizontal="left"/>
    </xf>
    <xf numFmtId="0" fontId="58" fillId="49" borderId="1" xfId="0" applyFont="1" applyFill="1" applyBorder="1" applyAlignment="1">
      <alignment horizontal="center" vertical="center"/>
    </xf>
    <xf numFmtId="0" fontId="58" fillId="0" borderId="0" xfId="0" applyFont="1" applyAlignment="1">
      <alignment wrapText="1"/>
    </xf>
    <xf numFmtId="0" fontId="22" fillId="0" borderId="18" xfId="0" applyFont="1" applyBorder="1" applyAlignment="1">
      <alignment horizontal="center"/>
    </xf>
    <xf numFmtId="1" fontId="28" fillId="52" borderId="1" xfId="66" applyNumberFormat="1" applyFill="1" applyBorder="1" applyAlignment="1">
      <alignment horizontal="center"/>
    </xf>
    <xf numFmtId="0" fontId="22" fillId="0" borderId="9" xfId="0" applyFont="1" applyBorder="1"/>
    <xf numFmtId="9" fontId="22" fillId="0" borderId="10" xfId="0" applyNumberFormat="1" applyFont="1" applyBorder="1" applyAlignment="1">
      <alignment horizontal="center"/>
    </xf>
    <xf numFmtId="10" fontId="22" fillId="0" borderId="0" xfId="0" applyNumberFormat="1" applyFont="1"/>
    <xf numFmtId="9" fontId="58" fillId="51" borderId="1" xfId="0" applyNumberFormat="1" applyFont="1" applyFill="1" applyBorder="1" applyAlignment="1">
      <alignment horizontal="center"/>
    </xf>
    <xf numFmtId="0" fontId="58" fillId="51" borderId="45" xfId="0" applyFont="1" applyFill="1" applyBorder="1"/>
    <xf numFmtId="9" fontId="58" fillId="51" borderId="45" xfId="0" applyNumberFormat="1" applyFont="1" applyFill="1" applyBorder="1" applyAlignment="1">
      <alignment horizontal="center"/>
    </xf>
    <xf numFmtId="10" fontId="58" fillId="51" borderId="45" xfId="0" applyNumberFormat="1" applyFont="1" applyFill="1" applyBorder="1" applyAlignment="1">
      <alignment horizontal="center"/>
    </xf>
    <xf numFmtId="0" fontId="54" fillId="0" borderId="0" xfId="0" applyFont="1" applyAlignment="1">
      <alignment horizontal="center"/>
    </xf>
    <xf numFmtId="0" fontId="58" fillId="5" borderId="1" xfId="0" applyFont="1" applyFill="1" applyBorder="1" applyAlignment="1">
      <alignment horizontal="left" vertical="top" wrapText="1"/>
    </xf>
    <xf numFmtId="9" fontId="22" fillId="5" borderId="0" xfId="0" applyNumberFormat="1" applyFont="1" applyFill="1" applyAlignment="1">
      <alignment horizontal="center"/>
    </xf>
    <xf numFmtId="9" fontId="22" fillId="5" borderId="1" xfId="0" applyNumberFormat="1" applyFont="1" applyFill="1" applyBorder="1" applyAlignment="1">
      <alignment horizontal="center"/>
    </xf>
    <xf numFmtId="0" fontId="55" fillId="10" borderId="1" xfId="0" applyFont="1" applyFill="1" applyBorder="1" applyAlignment="1">
      <alignment horizontal="center" vertical="center" wrapText="1"/>
    </xf>
    <xf numFmtId="0" fontId="55" fillId="10" borderId="2" xfId="0" applyFont="1" applyFill="1" applyBorder="1" applyAlignment="1">
      <alignment horizontal="center" vertical="center" wrapText="1"/>
    </xf>
    <xf numFmtId="0" fontId="22" fillId="12" borderId="1" xfId="0" applyFont="1" applyFill="1" applyBorder="1" applyAlignment="1">
      <alignment horizontal="center"/>
    </xf>
    <xf numFmtId="10" fontId="22" fillId="12" borderId="1" xfId="0" applyNumberFormat="1" applyFont="1" applyFill="1" applyBorder="1" applyAlignment="1">
      <alignment horizontal="center"/>
    </xf>
    <xf numFmtId="1" fontId="22" fillId="5" borderId="1" xfId="0" applyNumberFormat="1" applyFont="1" applyFill="1" applyBorder="1" applyAlignment="1">
      <alignment horizontal="center" vertical="top" wrapText="1"/>
    </xf>
    <xf numFmtId="10" fontId="22" fillId="5" borderId="1" xfId="0" applyNumberFormat="1" applyFont="1" applyFill="1" applyBorder="1" applyAlignment="1">
      <alignment horizontal="center" vertical="top" wrapText="1"/>
    </xf>
    <xf numFmtId="0" fontId="22" fillId="5" borderId="1" xfId="0" applyFont="1" applyFill="1" applyBorder="1" applyAlignment="1">
      <alignment horizontal="center" vertical="top" wrapText="1"/>
    </xf>
    <xf numFmtId="10" fontId="22" fillId="12" borderId="1" xfId="0" applyNumberFormat="1" applyFont="1" applyFill="1" applyBorder="1" applyAlignment="1">
      <alignment horizontal="center" vertical="top" wrapText="1"/>
    </xf>
    <xf numFmtId="0" fontId="41" fillId="0" borderId="0" xfId="0" applyFont="1"/>
    <xf numFmtId="0" fontId="41" fillId="10" borderId="1" xfId="0" applyFont="1" applyFill="1" applyBorder="1" applyAlignment="1">
      <alignment horizontal="center" wrapText="1"/>
    </xf>
    <xf numFmtId="165" fontId="22" fillId="0" borderId="1" xfId="0" applyNumberFormat="1" applyFont="1" applyBorder="1" applyAlignment="1">
      <alignment horizontal="center"/>
    </xf>
    <xf numFmtId="0" fontId="22" fillId="10" borderId="1" xfId="0" applyFont="1" applyFill="1" applyBorder="1"/>
    <xf numFmtId="10" fontId="54" fillId="0" borderId="0" xfId="0" applyNumberFormat="1" applyFont="1"/>
    <xf numFmtId="0" fontId="55" fillId="0" borderId="0" xfId="0" applyFont="1" applyAlignment="1">
      <alignment horizontal="center" vertical="center" wrapText="1"/>
    </xf>
    <xf numFmtId="0" fontId="22" fillId="0" borderId="0" xfId="0" applyFont="1" applyAlignment="1">
      <alignment horizontal="center"/>
    </xf>
    <xf numFmtId="9" fontId="22" fillId="0" borderId="1" xfId="0" applyNumberFormat="1" applyFont="1" applyBorder="1"/>
    <xf numFmtId="0" fontId="58" fillId="51" borderId="1" xfId="0" applyFont="1" applyFill="1" applyBorder="1"/>
    <xf numFmtId="0" fontId="14" fillId="10" borderId="45" xfId="0" quotePrefix="1" applyFont="1" applyFill="1" applyBorder="1" applyAlignment="1">
      <alignment horizontal="center" vertical="center" wrapText="1"/>
    </xf>
    <xf numFmtId="0" fontId="14" fillId="10" borderId="45" xfId="0" applyFont="1" applyFill="1" applyBorder="1" applyAlignment="1">
      <alignment horizontal="center" vertical="center" wrapText="1"/>
    </xf>
    <xf numFmtId="0" fontId="22" fillId="0" borderId="32" xfId="0" applyFont="1" applyBorder="1" applyAlignment="1">
      <alignment horizontal="center"/>
    </xf>
    <xf numFmtId="165" fontId="22" fillId="0" borderId="20" xfId="1" applyNumberFormat="1" applyFont="1" applyBorder="1" applyAlignment="1">
      <alignment horizontal="center"/>
    </xf>
    <xf numFmtId="0" fontId="58" fillId="51" borderId="30" xfId="0" quotePrefix="1" applyFont="1" applyFill="1" applyBorder="1" applyAlignment="1">
      <alignment horizontal="left"/>
    </xf>
    <xf numFmtId="0" fontId="58" fillId="51" borderId="46" xfId="0" applyFont="1" applyFill="1" applyBorder="1" applyAlignment="1">
      <alignment horizontal="center"/>
    </xf>
    <xf numFmtId="165" fontId="58" fillId="51" borderId="48" xfId="1" applyNumberFormat="1" applyFont="1" applyFill="1" applyBorder="1" applyAlignment="1">
      <alignment horizontal="center"/>
    </xf>
    <xf numFmtId="0" fontId="61" fillId="5" borderId="1" xfId="0" applyFont="1" applyFill="1" applyBorder="1" applyAlignment="1">
      <alignment vertical="center" wrapText="1"/>
    </xf>
    <xf numFmtId="0" fontId="58" fillId="5" borderId="1" xfId="0" applyFont="1" applyFill="1" applyBorder="1"/>
    <xf numFmtId="2" fontId="58" fillId="51" borderId="1" xfId="0" applyNumberFormat="1" applyFont="1" applyFill="1" applyBorder="1"/>
    <xf numFmtId="10" fontId="58" fillId="51" borderId="1" xfId="0" applyNumberFormat="1" applyFont="1" applyFill="1" applyBorder="1"/>
    <xf numFmtId="0" fontId="57" fillId="2" borderId="1" xfId="0" applyFont="1" applyFill="1" applyBorder="1" applyAlignment="1">
      <alignment horizontal="left" vertical="center" wrapText="1"/>
    </xf>
    <xf numFmtId="0" fontId="22" fillId="0" borderId="1" xfId="0" applyFont="1" applyBorder="1" applyAlignment="1">
      <alignment horizontal="left" vertical="center" wrapText="1"/>
    </xf>
    <xf numFmtId="0" fontId="14" fillId="10" borderId="9" xfId="0" applyFont="1" applyFill="1" applyBorder="1" applyAlignment="1">
      <alignment horizontal="center" vertical="center" wrapText="1"/>
    </xf>
    <xf numFmtId="0" fontId="14" fillId="10" borderId="10" xfId="0" quotePrefix="1" applyFont="1" applyFill="1" applyBorder="1" applyAlignment="1">
      <alignment horizontal="center" vertical="center" wrapText="1"/>
    </xf>
    <xf numFmtId="0" fontId="42" fillId="0" borderId="0" xfId="0" applyFont="1" applyAlignment="1">
      <alignment vertical="center" wrapText="1"/>
    </xf>
    <xf numFmtId="0" fontId="6" fillId="0" borderId="0" xfId="0" applyFont="1" applyAlignment="1">
      <alignment wrapText="1"/>
    </xf>
    <xf numFmtId="1" fontId="22" fillId="0" borderId="2" xfId="0" applyNumberFormat="1" applyFont="1" applyBorder="1" applyAlignment="1">
      <alignment horizontal="center"/>
    </xf>
    <xf numFmtId="0" fontId="55" fillId="10" borderId="47" xfId="0" applyFont="1" applyFill="1" applyBorder="1" applyAlignment="1">
      <alignment horizontal="center" vertical="center" wrapText="1"/>
    </xf>
    <xf numFmtId="0" fontId="55" fillId="10" borderId="23" xfId="0" applyFont="1" applyFill="1" applyBorder="1" applyAlignment="1">
      <alignment horizontal="center" vertical="center" wrapText="1"/>
    </xf>
    <xf numFmtId="9" fontId="4" fillId="0" borderId="10" xfId="0" applyNumberFormat="1" applyFont="1" applyBorder="1" applyAlignment="1">
      <alignment horizontal="center" vertical="center"/>
    </xf>
    <xf numFmtId="0" fontId="5" fillId="51" borderId="29" xfId="0" applyFont="1" applyFill="1" applyBorder="1" applyAlignment="1">
      <alignment vertical="center"/>
    </xf>
    <xf numFmtId="9" fontId="5" fillId="51" borderId="14" xfId="0" applyNumberFormat="1" applyFont="1" applyFill="1" applyBorder="1" applyAlignment="1">
      <alignment horizontal="center" vertical="center"/>
    </xf>
    <xf numFmtId="1" fontId="4" fillId="0" borderId="1" xfId="0" applyNumberFormat="1" applyFont="1" applyBorder="1" applyAlignment="1">
      <alignment horizontal="center" vertical="center"/>
    </xf>
    <xf numFmtId="1" fontId="5" fillId="51" borderId="15" xfId="0" applyNumberFormat="1" applyFont="1" applyFill="1" applyBorder="1" applyAlignment="1">
      <alignment horizontal="center" vertical="center"/>
    </xf>
    <xf numFmtId="1" fontId="5" fillId="51" borderId="16" xfId="0" applyNumberFormat="1" applyFont="1" applyFill="1" applyBorder="1" applyAlignment="1">
      <alignment horizontal="center" vertical="center"/>
    </xf>
    <xf numFmtId="1" fontId="4" fillId="0" borderId="9" xfId="0" applyNumberFormat="1" applyFont="1" applyBorder="1" applyAlignment="1">
      <alignment horizontal="center" vertical="center"/>
    </xf>
    <xf numFmtId="1" fontId="4" fillId="0" borderId="25" xfId="0" applyNumberFormat="1" applyFont="1" applyBorder="1" applyAlignment="1">
      <alignment horizontal="center" vertical="center"/>
    </xf>
    <xf numFmtId="0" fontId="14" fillId="10" borderId="25" xfId="0" applyFont="1" applyFill="1" applyBorder="1" applyAlignment="1">
      <alignment horizontal="center" vertical="center" wrapText="1"/>
    </xf>
    <xf numFmtId="10" fontId="22" fillId="5" borderId="1" xfId="0" applyNumberFormat="1" applyFont="1" applyFill="1" applyBorder="1" applyAlignment="1">
      <alignment horizontal="center" vertical="center"/>
    </xf>
    <xf numFmtId="10" fontId="22" fillId="5" borderId="1" xfId="0" applyNumberFormat="1" applyFont="1" applyFill="1" applyBorder="1" applyAlignment="1">
      <alignment horizontal="center"/>
    </xf>
    <xf numFmtId="14" fontId="4" fillId="2" borderId="0" xfId="0" applyNumberFormat="1" applyFont="1" applyFill="1" applyAlignment="1">
      <alignment horizontal="center" vertical="center" wrapText="1"/>
    </xf>
    <xf numFmtId="0" fontId="10" fillId="2" borderId="0" xfId="0" applyFont="1" applyFill="1" applyAlignment="1">
      <alignment horizontal="center" vertical="center" wrapText="1"/>
    </xf>
    <xf numFmtId="9" fontId="58" fillId="5" borderId="1" xfId="0" applyNumberFormat="1" applyFont="1" applyFill="1" applyBorder="1" applyAlignment="1">
      <alignment horizontal="center"/>
    </xf>
    <xf numFmtId="9" fontId="58" fillId="5" borderId="1" xfId="0" applyNumberFormat="1" applyFont="1" applyFill="1" applyBorder="1"/>
    <xf numFmtId="0" fontId="53" fillId="0" borderId="0" xfId="2" quotePrefix="1" applyFont="1" applyAlignment="1" applyProtection="1">
      <protection locked="0"/>
    </xf>
    <xf numFmtId="0" fontId="53" fillId="0" borderId="0" xfId="2" applyFont="1" applyAlignment="1"/>
    <xf numFmtId="10" fontId="22" fillId="0" borderId="1" xfId="0" applyNumberFormat="1" applyFont="1" applyBorder="1" applyAlignment="1">
      <alignment horizontal="center" vertical="center"/>
    </xf>
    <xf numFmtId="0" fontId="9" fillId="10" borderId="1" xfId="0" applyFont="1" applyFill="1" applyBorder="1" applyAlignment="1">
      <alignment horizontal="center"/>
    </xf>
    <xf numFmtId="0" fontId="22" fillId="2" borderId="1" xfId="0" applyFont="1" applyFill="1" applyBorder="1" applyAlignment="1">
      <alignment horizontal="center" vertical="center" wrapText="1"/>
    </xf>
    <xf numFmtId="0" fontId="22" fillId="2" borderId="1" xfId="0" applyFont="1" applyFill="1" applyBorder="1" applyAlignment="1">
      <alignment horizontal="center" vertical="center"/>
    </xf>
    <xf numFmtId="0" fontId="57" fillId="2" borderId="1" xfId="0" applyFont="1" applyFill="1" applyBorder="1" applyAlignment="1">
      <alignment horizontal="center" vertical="center" wrapText="1"/>
    </xf>
    <xf numFmtId="0" fontId="9" fillId="10" borderId="0" xfId="0" applyFont="1" applyFill="1" applyAlignment="1">
      <alignment horizontal="center" vertical="center" wrapText="1"/>
    </xf>
    <xf numFmtId="0" fontId="58" fillId="51" borderId="1" xfId="0" applyFont="1" applyFill="1" applyBorder="1" applyAlignment="1">
      <alignment wrapText="1"/>
    </xf>
    <xf numFmtId="0" fontId="61" fillId="51" borderId="1" xfId="0" applyFont="1" applyFill="1" applyBorder="1" applyAlignment="1">
      <alignment vertical="center" wrapText="1"/>
    </xf>
    <xf numFmtId="0" fontId="41" fillId="10" borderId="1" xfId="0" applyFont="1" applyFill="1" applyBorder="1" applyAlignment="1">
      <alignment horizontal="center" vertical="center" wrapText="1"/>
    </xf>
    <xf numFmtId="0" fontId="14" fillId="10" borderId="1" xfId="0" applyFont="1" applyFill="1" applyBorder="1" applyAlignment="1">
      <alignment horizontal="center" vertical="center"/>
    </xf>
    <xf numFmtId="0" fontId="20" fillId="4" borderId="0" xfId="0" applyFont="1" applyFill="1" applyAlignment="1">
      <alignment horizontal="center"/>
    </xf>
    <xf numFmtId="10" fontId="4" fillId="4" borderId="1" xfId="0" applyNumberFormat="1" applyFont="1" applyFill="1" applyBorder="1"/>
    <xf numFmtId="10" fontId="6" fillId="0" borderId="1" xfId="0" applyNumberFormat="1" applyFont="1" applyBorder="1"/>
    <xf numFmtId="0" fontId="54" fillId="0" borderId="17" xfId="0" applyFont="1" applyBorder="1"/>
    <xf numFmtId="165" fontId="0" fillId="0" borderId="0" xfId="0" applyNumberFormat="1"/>
    <xf numFmtId="9" fontId="0" fillId="0" borderId="0" xfId="0" applyNumberFormat="1"/>
    <xf numFmtId="1" fontId="4" fillId="0" borderId="0" xfId="0" applyNumberFormat="1" applyFont="1"/>
    <xf numFmtId="9" fontId="54" fillId="0" borderId="0" xfId="0" applyNumberFormat="1" applyFont="1" applyAlignment="1">
      <alignment horizontal="center"/>
    </xf>
    <xf numFmtId="0" fontId="22" fillId="53" borderId="1" xfId="0" applyFont="1" applyFill="1" applyBorder="1"/>
    <xf numFmtId="0" fontId="22" fillId="53" borderId="1" xfId="0" quotePrefix="1" applyFont="1" applyFill="1" applyBorder="1" applyAlignment="1">
      <alignment horizontal="left"/>
    </xf>
    <xf numFmtId="0" fontId="22" fillId="0" borderId="2" xfId="0" applyFont="1" applyBorder="1"/>
    <xf numFmtId="0" fontId="6" fillId="0" borderId="2" xfId="0" applyFont="1" applyBorder="1"/>
    <xf numFmtId="164" fontId="22" fillId="2" borderId="1" xfId="0" applyNumberFormat="1" applyFont="1" applyFill="1" applyBorder="1" applyAlignment="1">
      <alignment horizontal="center"/>
    </xf>
    <xf numFmtId="1" fontId="22" fillId="2" borderId="1" xfId="0" applyNumberFormat="1" applyFont="1" applyFill="1" applyBorder="1" applyAlignment="1">
      <alignment horizontal="center"/>
    </xf>
    <xf numFmtId="164" fontId="22" fillId="2" borderId="1" xfId="0" applyNumberFormat="1" applyFont="1" applyFill="1" applyBorder="1" applyAlignment="1">
      <alignment horizontal="center" vertical="center"/>
    </xf>
    <xf numFmtId="164" fontId="22" fillId="2" borderId="18" xfId="0" applyNumberFormat="1" applyFont="1" applyFill="1" applyBorder="1" applyAlignment="1">
      <alignment horizontal="center" vertical="center"/>
    </xf>
    <xf numFmtId="1" fontId="22" fillId="2" borderId="0" xfId="0" applyNumberFormat="1" applyFont="1" applyFill="1" applyAlignment="1">
      <alignment horizontal="center"/>
    </xf>
    <xf numFmtId="164" fontId="22" fillId="2" borderId="0" xfId="0" applyNumberFormat="1" applyFont="1" applyFill="1" applyAlignment="1">
      <alignment horizontal="center" vertical="center"/>
    </xf>
    <xf numFmtId="1" fontId="0" fillId="0" borderId="0" xfId="0" applyNumberFormat="1"/>
    <xf numFmtId="0" fontId="18" fillId="0" borderId="0" xfId="2" quotePrefix="1" applyAlignment="1"/>
    <xf numFmtId="0" fontId="79" fillId="0" borderId="0" xfId="0" quotePrefix="1" applyFont="1" applyAlignment="1">
      <alignment vertical="center"/>
    </xf>
    <xf numFmtId="166" fontId="4" fillId="0" borderId="0" xfId="0" applyNumberFormat="1" applyFont="1" applyAlignment="1">
      <alignment horizontal="left" vertical="center" indent="14"/>
    </xf>
    <xf numFmtId="0" fontId="42" fillId="3" borderId="1" xfId="0" applyFont="1" applyFill="1" applyBorder="1" applyAlignment="1" applyProtection="1">
      <alignment horizontal="center" vertical="center" wrapText="1"/>
      <protection locked="0"/>
    </xf>
    <xf numFmtId="0" fontId="82" fillId="3" borderId="1" xfId="0" applyFont="1" applyFill="1" applyBorder="1" applyAlignment="1" applyProtection="1">
      <alignment horizontal="center" vertical="center" wrapText="1"/>
      <protection locked="0"/>
    </xf>
    <xf numFmtId="0" fontId="63" fillId="0" borderId="0" xfId="0" quotePrefix="1" applyFont="1" applyAlignment="1">
      <alignment horizontal="left" vertical="center" wrapText="1" indent="14"/>
    </xf>
    <xf numFmtId="0" fontId="1" fillId="0" borderId="0" xfId="0" applyFont="1"/>
    <xf numFmtId="0" fontId="1" fillId="8" borderId="0" xfId="0" applyFont="1" applyFill="1"/>
    <xf numFmtId="9" fontId="1" fillId="8" borderId="0" xfId="1" applyFont="1" applyFill="1"/>
    <xf numFmtId="0" fontId="84" fillId="0" borderId="0" xfId="0" applyFont="1"/>
    <xf numFmtId="9" fontId="1" fillId="0" borderId="0" xfId="1" applyFont="1"/>
    <xf numFmtId="0" fontId="85" fillId="0" borderId="1" xfId="0" applyFont="1" applyBorder="1" applyAlignment="1">
      <alignment horizontal="center"/>
    </xf>
    <xf numFmtId="9" fontId="85" fillId="0" borderId="1" xfId="1" applyFont="1" applyBorder="1" applyAlignment="1">
      <alignment horizontal="center"/>
    </xf>
    <xf numFmtId="0" fontId="85" fillId="0" borderId="2" xfId="0" applyFont="1" applyBorder="1" applyAlignment="1">
      <alignment horizontal="center"/>
    </xf>
    <xf numFmtId="0" fontId="85" fillId="0" borderId="0" xfId="0" applyFont="1" applyAlignment="1">
      <alignment horizontal="center"/>
    </xf>
    <xf numFmtId="0" fontId="37" fillId="0" borderId="0" xfId="0" applyFont="1"/>
    <xf numFmtId="0" fontId="59" fillId="0" borderId="0" xfId="0" quotePrefix="1" applyFont="1" applyAlignment="1">
      <alignment horizontal="center" vertical="top"/>
    </xf>
    <xf numFmtId="166" fontId="4" fillId="11" borderId="0" xfId="0" applyNumberFormat="1" applyFont="1" applyFill="1" applyAlignment="1">
      <alignment horizontal="left" vertical="center" indent="19"/>
    </xf>
    <xf numFmtId="0" fontId="1" fillId="3" borderId="0" xfId="0" applyFont="1" applyFill="1"/>
    <xf numFmtId="0" fontId="59" fillId="54" borderId="0" xfId="0" quotePrefix="1" applyFont="1" applyFill="1" applyAlignment="1">
      <alignment horizontal="center" vertical="top" wrapText="1"/>
    </xf>
    <xf numFmtId="0" fontId="83" fillId="54" borderId="0" xfId="0" quotePrefix="1" applyFont="1" applyFill="1" applyAlignment="1">
      <alignment horizontal="center" vertical="center" wrapText="1"/>
    </xf>
    <xf numFmtId="0" fontId="83" fillId="0" borderId="0" xfId="0" quotePrefix="1" applyFont="1" applyAlignment="1">
      <alignment horizontal="center" vertical="center" wrapText="1"/>
    </xf>
    <xf numFmtId="166" fontId="4" fillId="0" borderId="0" xfId="0" applyNumberFormat="1" applyFont="1" applyAlignment="1">
      <alignment horizontal="left" vertical="center" indent="20"/>
    </xf>
    <xf numFmtId="166" fontId="4" fillId="11" borderId="0" xfId="0" applyNumberFormat="1" applyFont="1" applyFill="1" applyAlignment="1">
      <alignment horizontal="center" vertical="center"/>
    </xf>
    <xf numFmtId="0" fontId="87" fillId="54" borderId="0" xfId="0" quotePrefix="1" applyFont="1" applyFill="1" applyAlignment="1">
      <alignment horizontal="center" vertical="center" wrapText="1"/>
    </xf>
    <xf numFmtId="0" fontId="87" fillId="0" borderId="0" xfId="0" quotePrefix="1" applyFont="1" applyAlignment="1">
      <alignment horizontal="center" vertical="center" wrapText="1"/>
    </xf>
    <xf numFmtId="166" fontId="4" fillId="0" borderId="0" xfId="0" applyNumberFormat="1" applyFont="1" applyAlignment="1">
      <alignment horizontal="left" vertical="center" indent="19"/>
    </xf>
    <xf numFmtId="166" fontId="4" fillId="0" borderId="0" xfId="0" applyNumberFormat="1" applyFont="1" applyAlignment="1">
      <alignment horizontal="left" vertical="center" indent="15"/>
    </xf>
    <xf numFmtId="166" fontId="4" fillId="0" borderId="0" xfId="0" applyNumberFormat="1" applyFont="1" applyAlignment="1">
      <alignment horizontal="left" vertical="center" indent="4"/>
    </xf>
    <xf numFmtId="0" fontId="87" fillId="0" borderId="0" xfId="0" quotePrefix="1" applyFont="1" applyAlignment="1">
      <alignment vertical="center" wrapText="1"/>
    </xf>
    <xf numFmtId="166" fontId="4" fillId="0" borderId="0" xfId="0" applyNumberFormat="1" applyFont="1" applyAlignment="1">
      <alignment vertical="center"/>
    </xf>
    <xf numFmtId="166" fontId="4" fillId="0" borderId="0" xfId="0" applyNumberFormat="1" applyFont="1" applyAlignment="1">
      <alignment horizontal="left" vertical="center" indent="13"/>
    </xf>
    <xf numFmtId="166" fontId="4" fillId="0" borderId="0" xfId="0" applyNumberFormat="1" applyFont="1" applyAlignment="1">
      <alignment horizontal="left" vertical="center" indent="11"/>
    </xf>
    <xf numFmtId="0" fontId="41" fillId="0" borderId="0" xfId="0" applyFont="1" applyAlignment="1">
      <alignment horizontal="center" vertical="center" wrapText="1"/>
    </xf>
    <xf numFmtId="166" fontId="4" fillId="0" borderId="0" xfId="0" applyNumberFormat="1" applyFont="1" applyAlignment="1">
      <alignment horizontal="left" vertical="center" indent="17"/>
    </xf>
    <xf numFmtId="166" fontId="4" fillId="0" borderId="0" xfId="0" applyNumberFormat="1" applyFont="1" applyAlignment="1">
      <alignment horizontal="left" vertical="center" indent="16"/>
    </xf>
    <xf numFmtId="0" fontId="90" fillId="56" borderId="9" xfId="0" applyFont="1" applyFill="1" applyBorder="1" applyAlignment="1">
      <alignment horizontal="center" vertical="center" wrapText="1"/>
    </xf>
    <xf numFmtId="0" fontId="90" fillId="56" borderId="1" xfId="0" applyFont="1" applyFill="1" applyBorder="1" applyAlignment="1">
      <alignment horizontal="center" vertical="center" wrapText="1"/>
    </xf>
    <xf numFmtId="0" fontId="90" fillId="56" borderId="10" xfId="0" quotePrefix="1" applyFont="1" applyFill="1" applyBorder="1" applyAlignment="1">
      <alignment horizontal="center" vertical="center" wrapText="1"/>
    </xf>
    <xf numFmtId="0" fontId="90" fillId="55" borderId="9" xfId="0" applyFont="1" applyFill="1" applyBorder="1" applyAlignment="1">
      <alignment horizontal="center" vertical="center" wrapText="1"/>
    </xf>
    <xf numFmtId="0" fontId="90" fillId="55" borderId="1" xfId="0" applyFont="1" applyFill="1" applyBorder="1" applyAlignment="1">
      <alignment horizontal="center" vertical="center" wrapText="1"/>
    </xf>
    <xf numFmtId="0" fontId="90" fillId="55" borderId="10" xfId="0" quotePrefix="1" applyFont="1" applyFill="1" applyBorder="1" applyAlignment="1">
      <alignment horizontal="center" vertical="center" wrapText="1"/>
    </xf>
    <xf numFmtId="0" fontId="80" fillId="0" borderId="0" xfId="0" quotePrefix="1" applyFont="1" applyAlignment="1">
      <alignment horizontal="center" wrapText="1"/>
    </xf>
    <xf numFmtId="0" fontId="83" fillId="0" borderId="0" xfId="0" quotePrefix="1" applyFont="1" applyAlignment="1">
      <alignment horizontal="center" wrapText="1"/>
    </xf>
    <xf numFmtId="1" fontId="92" fillId="8" borderId="56" xfId="0" applyNumberFormat="1" applyFont="1" applyFill="1" applyBorder="1" applyAlignment="1">
      <alignment horizontal="center" vertical="center"/>
    </xf>
    <xf numFmtId="0" fontId="93" fillId="49" borderId="2" xfId="0" quotePrefix="1" applyFont="1" applyFill="1" applyBorder="1" applyAlignment="1">
      <alignment horizontal="left" vertical="center"/>
    </xf>
    <xf numFmtId="0" fontId="94" fillId="49" borderId="26" xfId="0" quotePrefix="1" applyFont="1" applyFill="1" applyBorder="1" applyAlignment="1">
      <alignment horizontal="center" vertical="center"/>
    </xf>
    <xf numFmtId="0" fontId="94" fillId="49" borderId="25" xfId="0" quotePrefix="1" applyFont="1" applyFill="1" applyBorder="1" applyAlignment="1">
      <alignment horizontal="center" vertical="center"/>
    </xf>
    <xf numFmtId="0" fontId="91" fillId="10" borderId="17" xfId="0" applyFont="1" applyFill="1" applyBorder="1" applyAlignment="1">
      <alignment horizontal="center"/>
    </xf>
    <xf numFmtId="0" fontId="93" fillId="49" borderId="2" xfId="0" quotePrefix="1" applyFont="1" applyFill="1" applyBorder="1" applyAlignment="1">
      <alignment vertical="center"/>
    </xf>
    <xf numFmtId="0" fontId="93" fillId="49" borderId="26" xfId="0" quotePrefix="1" applyFont="1" applyFill="1" applyBorder="1" applyAlignment="1">
      <alignment vertical="center"/>
    </xf>
    <xf numFmtId="0" fontId="98" fillId="49" borderId="1" xfId="0" quotePrefix="1" applyFont="1" applyFill="1" applyBorder="1" applyAlignment="1">
      <alignment horizontal="center" vertical="center" wrapText="1"/>
    </xf>
    <xf numFmtId="0" fontId="93" fillId="49" borderId="26" xfId="0" quotePrefix="1" applyFont="1" applyFill="1" applyBorder="1" applyAlignment="1">
      <alignment horizontal="left" vertical="center"/>
    </xf>
    <xf numFmtId="0" fontId="41" fillId="10" borderId="0" xfId="0" applyFont="1" applyFill="1" applyAlignment="1">
      <alignment horizontal="center"/>
    </xf>
    <xf numFmtId="0" fontId="58" fillId="49" borderId="1" xfId="0" applyFont="1" applyFill="1" applyBorder="1" applyAlignment="1">
      <alignment horizontal="center" vertical="center" wrapText="1"/>
    </xf>
    <xf numFmtId="14" fontId="0" fillId="0" borderId="0" xfId="0" applyNumberFormat="1"/>
    <xf numFmtId="0" fontId="41" fillId="10" borderId="17" xfId="0" applyFont="1" applyFill="1" applyBorder="1" applyAlignment="1">
      <alignment horizontal="center" wrapText="1"/>
    </xf>
    <xf numFmtId="1" fontId="54" fillId="0" borderId="0" xfId="0" applyNumberFormat="1" applyFont="1"/>
    <xf numFmtId="0" fontId="5" fillId="13" borderId="1" xfId="0" applyFont="1" applyFill="1" applyBorder="1" applyAlignment="1" applyProtection="1">
      <alignment horizontal="center" vertical="center" wrapText="1"/>
      <protection locked="0"/>
    </xf>
    <xf numFmtId="10" fontId="106" fillId="0" borderId="1" xfId="0" applyNumberFormat="1" applyFont="1" applyBorder="1" applyAlignment="1">
      <alignment horizontal="center" vertical="center"/>
    </xf>
    <xf numFmtId="0" fontId="98" fillId="49" borderId="2" xfId="0" quotePrefix="1" applyFont="1" applyFill="1" applyBorder="1" applyAlignment="1">
      <alignment horizontal="left" vertical="center"/>
    </xf>
    <xf numFmtId="0" fontId="98" fillId="49" borderId="26" xfId="0" quotePrefix="1" applyFont="1" applyFill="1" applyBorder="1" applyAlignment="1">
      <alignment horizontal="center" vertical="center"/>
    </xf>
    <xf numFmtId="2" fontId="54" fillId="0" borderId="0" xfId="0" applyNumberFormat="1" applyFont="1"/>
    <xf numFmtId="0" fontId="46" fillId="49" borderId="2" xfId="0" quotePrefix="1" applyFont="1" applyFill="1" applyBorder="1" applyAlignment="1">
      <alignment horizontal="left" vertical="center"/>
    </xf>
    <xf numFmtId="0" fontId="5" fillId="49"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5" fillId="8" borderId="1" xfId="0" applyFont="1" applyFill="1" applyBorder="1" applyAlignment="1" applyProtection="1">
      <alignment horizontal="center" vertical="center" wrapText="1"/>
      <protection locked="0"/>
    </xf>
    <xf numFmtId="0" fontId="6" fillId="8" borderId="1" xfId="0" applyFont="1" applyFill="1" applyBorder="1" applyAlignment="1">
      <alignment horizontal="center" wrapText="1"/>
    </xf>
    <xf numFmtId="0" fontId="58" fillId="0" borderId="1" xfId="0" applyFont="1" applyBorder="1" applyAlignment="1">
      <alignment wrapText="1"/>
    </xf>
    <xf numFmtId="10" fontId="106" fillId="0" borderId="1" xfId="0" applyNumberFormat="1" applyFont="1" applyBorder="1" applyAlignment="1">
      <alignment horizontal="center"/>
    </xf>
    <xf numFmtId="0" fontId="40" fillId="49" borderId="1" xfId="0" applyFont="1" applyFill="1" applyBorder="1" applyAlignment="1" applyProtection="1">
      <alignment horizontal="center" vertical="center" wrapText="1"/>
      <protection locked="0"/>
    </xf>
    <xf numFmtId="0" fontId="85" fillId="0" borderId="25" xfId="0" applyFont="1" applyBorder="1" applyAlignment="1">
      <alignment horizontal="center"/>
    </xf>
    <xf numFmtId="49" fontId="107" fillId="0" borderId="1" xfId="0" applyNumberFormat="1" applyFont="1" applyBorder="1" applyAlignment="1">
      <alignment horizontal="center" vertical="center"/>
    </xf>
    <xf numFmtId="0" fontId="98" fillId="8" borderId="1" xfId="0" applyFont="1" applyFill="1" applyBorder="1"/>
    <xf numFmtId="0" fontId="64" fillId="8" borderId="1" xfId="0" applyFont="1" applyFill="1" applyBorder="1" applyAlignment="1">
      <alignment horizontal="left"/>
    </xf>
    <xf numFmtId="0" fontId="108" fillId="0" borderId="0" xfId="0" applyFont="1" applyAlignment="1">
      <alignment vertical="center" wrapText="1"/>
    </xf>
    <xf numFmtId="0" fontId="109" fillId="3" borderId="0" xfId="0" applyFont="1" applyFill="1" applyAlignment="1">
      <alignment vertical="center"/>
    </xf>
    <xf numFmtId="0" fontId="110" fillId="0" borderId="0" xfId="0" applyFont="1"/>
    <xf numFmtId="0" fontId="111" fillId="0" borderId="0" xfId="0" applyFont="1"/>
    <xf numFmtId="10" fontId="111" fillId="0" borderId="0" xfId="0" applyNumberFormat="1" applyFont="1"/>
    <xf numFmtId="2" fontId="106" fillId="0" borderId="1" xfId="0" applyNumberFormat="1" applyFont="1" applyBorder="1" applyAlignment="1">
      <alignment horizontal="center" vertical="center"/>
    </xf>
    <xf numFmtId="2" fontId="22" fillId="51" borderId="1" xfId="0" applyNumberFormat="1" applyFont="1" applyFill="1" applyBorder="1" applyAlignment="1">
      <alignment horizontal="center" vertical="center"/>
    </xf>
    <xf numFmtId="2" fontId="106" fillId="0" borderId="1" xfId="0" applyNumberFormat="1" applyFont="1" applyBorder="1" applyAlignment="1">
      <alignment horizontal="center"/>
    </xf>
    <xf numFmtId="0" fontId="22" fillId="2" borderId="1" xfId="0" applyFont="1" applyFill="1" applyBorder="1" applyAlignment="1">
      <alignment horizontal="center" vertical="center"/>
    </xf>
    <xf numFmtId="0" fontId="0" fillId="0" borderId="1" xfId="0" applyBorder="1" applyAlignment="1">
      <alignment horizontal="center"/>
    </xf>
    <xf numFmtId="0" fontId="112" fillId="0" borderId="0" xfId="0" applyFont="1"/>
    <xf numFmtId="0" fontId="0" fillId="0" borderId="0" xfId="0" applyFont="1"/>
    <xf numFmtId="0" fontId="0" fillId="0" borderId="1" xfId="0" applyBorder="1" applyAlignment="1">
      <alignment horizontal="center"/>
    </xf>
    <xf numFmtId="0" fontId="85" fillId="0" borderId="17" xfId="0" applyFont="1" applyBorder="1" applyAlignment="1">
      <alignment horizontal="center"/>
    </xf>
    <xf numFmtId="0" fontId="1" fillId="8" borderId="0" xfId="0" applyFont="1" applyFill="1" applyBorder="1"/>
    <xf numFmtId="0" fontId="1" fillId="3" borderId="0" xfId="0" applyFont="1" applyFill="1" applyBorder="1"/>
    <xf numFmtId="0" fontId="114" fillId="0" borderId="1" xfId="0" applyFont="1" applyBorder="1" applyAlignment="1">
      <alignment vertical="center" wrapText="1"/>
    </xf>
    <xf numFmtId="0" fontId="0" fillId="0" borderId="25" xfId="0" applyBorder="1" applyAlignment="1">
      <alignment horizontal="center"/>
    </xf>
    <xf numFmtId="164" fontId="22" fillId="0" borderId="54" xfId="0" applyNumberFormat="1" applyFont="1" applyBorder="1" applyAlignment="1">
      <alignment horizontal="center"/>
    </xf>
    <xf numFmtId="0" fontId="113" fillId="0" borderId="1" xfId="0" applyFont="1" applyBorder="1" applyAlignment="1">
      <alignment horizontal="center" vertical="center" wrapText="1"/>
    </xf>
    <xf numFmtId="164" fontId="22" fillId="0" borderId="0" xfId="0" applyNumberFormat="1" applyFont="1" applyBorder="1" applyAlignment="1">
      <alignment horizontal="center"/>
    </xf>
    <xf numFmtId="0" fontId="22" fillId="0" borderId="0" xfId="0" applyFont="1" applyBorder="1" applyAlignment="1">
      <alignment horizontal="center" vertical="center"/>
    </xf>
    <xf numFmtId="0" fontId="22" fillId="2" borderId="0" xfId="0" applyFont="1" applyFill="1" applyBorder="1" applyAlignment="1">
      <alignment horizontal="center" vertical="center"/>
    </xf>
    <xf numFmtId="0" fontId="113" fillId="0" borderId="54" xfId="0" applyFont="1" applyBorder="1" applyAlignment="1">
      <alignment horizontal="center" vertical="center" wrapText="1"/>
    </xf>
    <xf numFmtId="0" fontId="22" fillId="0" borderId="25" xfId="0" applyFont="1" applyBorder="1" applyAlignment="1">
      <alignment horizontal="center" vertical="center"/>
    </xf>
    <xf numFmtId="0" fontId="22" fillId="0" borderId="4" xfId="0" applyFont="1" applyBorder="1" applyAlignment="1">
      <alignment horizontal="center" vertical="center"/>
    </xf>
    <xf numFmtId="0" fontId="22" fillId="0" borderId="25" xfId="0" applyFont="1" applyBorder="1"/>
    <xf numFmtId="0" fontId="115" fillId="0" borderId="0" xfId="0" applyFont="1"/>
    <xf numFmtId="0" fontId="7" fillId="10" borderId="0" xfId="0" quotePrefix="1" applyFont="1" applyFill="1" applyAlignment="1">
      <alignment horizontal="center" vertical="center" wrapText="1"/>
    </xf>
    <xf numFmtId="0" fontId="42" fillId="46" borderId="2" xfId="0" applyFont="1" applyFill="1" applyBorder="1" applyAlignment="1">
      <alignment horizontal="center"/>
    </xf>
    <xf numFmtId="0" fontId="42" fillId="46" borderId="26" xfId="0" applyFont="1" applyFill="1" applyBorder="1" applyAlignment="1">
      <alignment horizontal="center"/>
    </xf>
    <xf numFmtId="0" fontId="42" fillId="46" borderId="2" xfId="0" applyNumberFormat="1" applyFont="1" applyFill="1" applyBorder="1" applyAlignment="1">
      <alignment horizontal="center"/>
    </xf>
    <xf numFmtId="0" fontId="42" fillId="46" borderId="25" xfId="0" applyNumberFormat="1" applyFont="1" applyFill="1" applyBorder="1" applyAlignment="1">
      <alignment horizontal="center"/>
    </xf>
    <xf numFmtId="0" fontId="80" fillId="54" borderId="0" xfId="0" quotePrefix="1" applyFont="1" applyFill="1" applyAlignment="1">
      <alignment horizontal="center" vertical="top" wrapText="1"/>
    </xf>
    <xf numFmtId="0" fontId="93" fillId="49" borderId="20" xfId="0" applyFont="1" applyFill="1" applyBorder="1" applyAlignment="1">
      <alignment horizontal="left" vertical="center"/>
    </xf>
    <xf numFmtId="0" fontId="93" fillId="49" borderId="4" xfId="0" applyFont="1" applyFill="1" applyBorder="1" applyAlignment="1">
      <alignment horizontal="left" vertical="center"/>
    </xf>
    <xf numFmtId="0" fontId="95" fillId="49" borderId="4" xfId="0" applyFont="1" applyFill="1" applyBorder="1" applyAlignment="1">
      <alignment horizontal="left"/>
    </xf>
    <xf numFmtId="0" fontId="96" fillId="49" borderId="4" xfId="0" applyFont="1" applyFill="1" applyBorder="1" applyAlignment="1">
      <alignment horizontal="left"/>
    </xf>
    <xf numFmtId="0" fontId="93" fillId="49" borderId="2" xfId="0" quotePrefix="1" applyFont="1" applyFill="1" applyBorder="1" applyAlignment="1">
      <alignment horizontal="left" vertical="center"/>
    </xf>
    <xf numFmtId="0" fontId="93" fillId="49" borderId="26" xfId="0" quotePrefix="1" applyFont="1" applyFill="1" applyBorder="1" applyAlignment="1">
      <alignment horizontal="left" vertical="center"/>
    </xf>
    <xf numFmtId="0" fontId="80" fillId="54" borderId="0" xfId="0" quotePrefix="1" applyFont="1" applyFill="1" applyAlignment="1">
      <alignment horizontal="center" vertical="center"/>
    </xf>
    <xf numFmtId="0" fontId="11" fillId="8" borderId="56" xfId="0" applyFont="1" applyFill="1" applyBorder="1" applyAlignment="1">
      <alignment horizontal="center"/>
    </xf>
    <xf numFmtId="0" fontId="11" fillId="8" borderId="0" xfId="0" applyFont="1" applyFill="1" applyAlignment="1">
      <alignment horizontal="center"/>
    </xf>
    <xf numFmtId="0" fontId="22" fillId="0" borderId="1" xfId="0" applyFont="1" applyBorder="1" applyAlignment="1">
      <alignment horizontal="center" vertical="center" wrapText="1"/>
    </xf>
    <xf numFmtId="0" fontId="54" fillId="0" borderId="1" xfId="0" applyFont="1" applyBorder="1" applyAlignment="1">
      <alignment wrapText="1"/>
    </xf>
    <xf numFmtId="0" fontId="54" fillId="0" borderId="1" xfId="0" applyFont="1" applyBorder="1" applyAlignment="1"/>
    <xf numFmtId="10" fontId="22" fillId="0" borderId="1" xfId="0" applyNumberFormat="1" applyFont="1" applyBorder="1" applyAlignment="1">
      <alignment horizontal="center" vertical="center"/>
    </xf>
    <xf numFmtId="0" fontId="93" fillId="49" borderId="1" xfId="0" applyFont="1" applyFill="1" applyBorder="1" applyAlignment="1">
      <alignment horizontal="left"/>
    </xf>
    <xf numFmtId="0" fontId="10" fillId="49" borderId="20" xfId="0" applyFont="1" applyFill="1" applyBorder="1" applyAlignment="1">
      <alignment horizontal="center" vertical="center" wrapText="1"/>
    </xf>
    <xf numFmtId="0" fontId="97" fillId="49" borderId="4" xfId="0" applyFont="1" applyFill="1" applyBorder="1" applyAlignment="1">
      <alignment wrapText="1"/>
    </xf>
    <xf numFmtId="0" fontId="11" fillId="49" borderId="1" xfId="0" applyFont="1" applyFill="1" applyBorder="1" applyAlignment="1">
      <alignment horizontal="center" vertical="center"/>
    </xf>
    <xf numFmtId="166" fontId="4" fillId="11" borderId="0" xfId="0" applyNumberFormat="1" applyFont="1" applyFill="1" applyAlignment="1">
      <alignment horizontal="center" vertical="center"/>
    </xf>
    <xf numFmtId="1" fontId="10" fillId="49" borderId="56" xfId="0" applyNumberFormat="1" applyFont="1" applyFill="1" applyBorder="1" applyAlignment="1">
      <alignment horizontal="center" vertical="center"/>
    </xf>
    <xf numFmtId="1" fontId="10" fillId="49" borderId="0" xfId="0" applyNumberFormat="1" applyFont="1" applyFill="1" applyBorder="1" applyAlignment="1">
      <alignment horizontal="center" vertical="center"/>
    </xf>
    <xf numFmtId="0" fontId="46" fillId="8" borderId="56" xfId="0" applyFont="1" applyFill="1" applyBorder="1" applyAlignment="1">
      <alignment horizontal="center" vertical="center"/>
    </xf>
    <xf numFmtId="0" fontId="46" fillId="8" borderId="0" xfId="0" applyFont="1" applyFill="1" applyAlignment="1">
      <alignment horizontal="center" vertical="center"/>
    </xf>
    <xf numFmtId="0" fontId="10" fillId="49" borderId="56" xfId="0" applyFont="1" applyFill="1" applyBorder="1" applyAlignment="1">
      <alignment horizontal="center"/>
    </xf>
    <xf numFmtId="0" fontId="10" fillId="49" borderId="0" xfId="0" applyFont="1" applyFill="1" applyBorder="1" applyAlignment="1">
      <alignment horizontal="center"/>
    </xf>
    <xf numFmtId="0" fontId="83" fillId="54" borderId="0" xfId="0" quotePrefix="1" applyFont="1" applyFill="1" applyAlignment="1">
      <alignment horizontal="center" vertical="center"/>
    </xf>
    <xf numFmtId="0" fontId="46" fillId="49" borderId="1" xfId="0" quotePrefix="1" applyFont="1" applyFill="1" applyBorder="1" applyAlignment="1">
      <alignment horizontal="left" vertical="center"/>
    </xf>
    <xf numFmtId="0" fontId="11" fillId="49" borderId="56" xfId="0" applyFont="1" applyFill="1" applyBorder="1" applyAlignment="1">
      <alignment horizontal="center" vertical="center"/>
    </xf>
    <xf numFmtId="0" fontId="11" fillId="49" borderId="0" xfId="0" applyFont="1" applyFill="1" applyAlignment="1">
      <alignment horizontal="center" vertical="center"/>
    </xf>
    <xf numFmtId="0" fontId="59" fillId="54" borderId="0" xfId="0" quotePrefix="1" applyFont="1" applyFill="1" applyAlignment="1">
      <alignment horizontal="center" vertical="center"/>
    </xf>
    <xf numFmtId="0" fontId="94" fillId="49" borderId="56" xfId="0" applyFont="1" applyFill="1" applyBorder="1" applyAlignment="1">
      <alignment horizontal="center" vertical="center"/>
    </xf>
    <xf numFmtId="0" fontId="94" fillId="49" borderId="0" xfId="0" applyFont="1" applyFill="1" applyAlignment="1">
      <alignment horizontal="center" vertical="center"/>
    </xf>
    <xf numFmtId="0" fontId="93" fillId="49" borderId="20" xfId="0" quotePrefix="1" applyFont="1" applyFill="1" applyBorder="1" applyAlignment="1">
      <alignment horizontal="left" vertical="center"/>
    </xf>
    <xf numFmtId="0" fontId="93" fillId="49" borderId="4" xfId="0" quotePrefix="1" applyFont="1" applyFill="1" applyBorder="1" applyAlignment="1">
      <alignment horizontal="left" vertical="center"/>
    </xf>
    <xf numFmtId="1" fontId="10" fillId="8" borderId="56" xfId="0" applyNumberFormat="1" applyFont="1" applyFill="1" applyBorder="1" applyAlignment="1">
      <alignment horizontal="center" vertical="center"/>
    </xf>
    <xf numFmtId="1" fontId="10" fillId="8" borderId="0" xfId="0" applyNumberFormat="1" applyFont="1" applyFill="1" applyAlignment="1">
      <alignment horizontal="center" vertical="center"/>
    </xf>
    <xf numFmtId="0" fontId="9" fillId="10" borderId="56" xfId="0" applyFont="1" applyFill="1" applyBorder="1" applyAlignment="1">
      <alignment horizontal="center"/>
    </xf>
    <xf numFmtId="0" fontId="9" fillId="10" borderId="0" xfId="0" applyFont="1" applyFill="1" applyAlignment="1">
      <alignment horizontal="center"/>
    </xf>
    <xf numFmtId="0" fontId="93" fillId="8" borderId="2" xfId="0" quotePrefix="1" applyFont="1" applyFill="1" applyBorder="1" applyAlignment="1">
      <alignment horizontal="left" vertical="center"/>
    </xf>
    <xf numFmtId="0" fontId="93" fillId="8" borderId="26" xfId="0" quotePrefix="1" applyFont="1" applyFill="1" applyBorder="1" applyAlignment="1">
      <alignment horizontal="left" vertical="center"/>
    </xf>
    <xf numFmtId="0" fontId="93" fillId="8" borderId="25" xfId="0" quotePrefix="1" applyFont="1" applyFill="1" applyBorder="1" applyAlignment="1">
      <alignment horizontal="left" vertical="center"/>
    </xf>
    <xf numFmtId="0" fontId="56" fillId="8" borderId="2" xfId="0" quotePrefix="1" applyFont="1" applyFill="1" applyBorder="1" applyAlignment="1">
      <alignment horizontal="left" vertical="center"/>
    </xf>
    <xf numFmtId="0" fontId="56" fillId="8" borderId="26" xfId="0" quotePrefix="1" applyFont="1" applyFill="1" applyBorder="1" applyAlignment="1">
      <alignment horizontal="left" vertical="center"/>
    </xf>
    <xf numFmtId="0" fontId="22" fillId="0" borderId="17" xfId="0" applyFont="1" applyBorder="1" applyAlignment="1">
      <alignment horizontal="center" vertical="center" wrapText="1"/>
    </xf>
    <xf numFmtId="0" fontId="54" fillId="0" borderId="3" xfId="0" applyFont="1" applyBorder="1" applyAlignment="1">
      <alignment horizontal="center" vertical="center" wrapText="1"/>
    </xf>
    <xf numFmtId="0" fontId="54" fillId="0" borderId="18" xfId="0" applyFont="1" applyBorder="1" applyAlignment="1">
      <alignment horizontal="center" vertical="center" wrapText="1"/>
    </xf>
    <xf numFmtId="10" fontId="22" fillId="0" borderId="17" xfId="0" applyNumberFormat="1" applyFont="1" applyBorder="1" applyAlignment="1">
      <alignment horizontal="center" vertical="center"/>
    </xf>
    <xf numFmtId="0" fontId="54" fillId="0" borderId="3" xfId="0" applyFont="1" applyBorder="1" applyAlignment="1">
      <alignment horizontal="center" vertical="center"/>
    </xf>
    <xf numFmtId="0" fontId="54" fillId="0" borderId="18" xfId="0" applyFont="1" applyBorder="1" applyAlignment="1">
      <alignment horizontal="center" vertical="center"/>
    </xf>
    <xf numFmtId="0" fontId="57" fillId="2" borderId="1" xfId="0" applyFont="1" applyFill="1" applyBorder="1" applyAlignment="1">
      <alignment horizontal="center" vertical="center" wrapText="1"/>
    </xf>
    <xf numFmtId="0" fontId="22" fillId="2" borderId="1" xfId="0" applyFont="1" applyFill="1" applyBorder="1" applyAlignment="1">
      <alignment horizontal="center" vertical="center"/>
    </xf>
    <xf numFmtId="0" fontId="93" fillId="8" borderId="2" xfId="0" quotePrefix="1" applyFont="1" applyFill="1" applyBorder="1" applyAlignment="1">
      <alignment horizontal="center" vertical="center"/>
    </xf>
    <xf numFmtId="0" fontId="93" fillId="8" borderId="26" xfId="0" quotePrefix="1" applyFont="1" applyFill="1" applyBorder="1" applyAlignment="1">
      <alignment horizontal="center" vertical="center"/>
    </xf>
    <xf numFmtId="0" fontId="46" fillId="8" borderId="2" xfId="0" quotePrefix="1" applyFont="1" applyFill="1" applyBorder="1" applyAlignment="1">
      <alignment horizontal="center" vertical="center"/>
    </xf>
    <xf numFmtId="0" fontId="46" fillId="8" borderId="26" xfId="0" quotePrefix="1" applyFont="1" applyFill="1" applyBorder="1" applyAlignment="1">
      <alignment horizontal="center" vertical="center"/>
    </xf>
    <xf numFmtId="0" fontId="22" fillId="2" borderId="1" xfId="0" applyFont="1" applyFill="1" applyBorder="1" applyAlignment="1">
      <alignment horizontal="center" vertical="center" wrapText="1"/>
    </xf>
    <xf numFmtId="0" fontId="22" fillId="2" borderId="17" xfId="0" applyFont="1" applyFill="1" applyBorder="1" applyAlignment="1">
      <alignment horizontal="center" vertical="center" wrapText="1"/>
    </xf>
    <xf numFmtId="0" fontId="22" fillId="2" borderId="3" xfId="0" applyFont="1" applyFill="1" applyBorder="1" applyAlignment="1">
      <alignment horizontal="center" vertical="center" wrapText="1"/>
    </xf>
    <xf numFmtId="10" fontId="22" fillId="2" borderId="17" xfId="0" applyNumberFormat="1" applyFont="1" applyFill="1" applyBorder="1" applyAlignment="1">
      <alignment horizontal="center" vertical="center"/>
    </xf>
    <xf numFmtId="10" fontId="22" fillId="2" borderId="3" xfId="0" applyNumberFormat="1" applyFont="1" applyFill="1" applyBorder="1" applyAlignment="1">
      <alignment horizontal="center" vertical="center"/>
    </xf>
    <xf numFmtId="0" fontId="10" fillId="8" borderId="2" xfId="0" quotePrefix="1" applyFont="1" applyFill="1" applyBorder="1" applyAlignment="1">
      <alignment horizontal="center" vertical="center"/>
    </xf>
    <xf numFmtId="0" fontId="10" fillId="8" borderId="26" xfId="0" quotePrefix="1" applyFont="1" applyFill="1" applyBorder="1" applyAlignment="1">
      <alignment horizontal="center" vertical="center"/>
    </xf>
    <xf numFmtId="0" fontId="46" fillId="8" borderId="1" xfId="0" applyFont="1" applyFill="1" applyBorder="1" applyAlignment="1">
      <alignment horizontal="center" vertical="center"/>
    </xf>
    <xf numFmtId="0" fontId="59" fillId="54" borderId="0" xfId="0" quotePrefix="1" applyFont="1" applyFill="1" applyAlignment="1">
      <alignment horizontal="center" vertical="top" wrapText="1"/>
    </xf>
    <xf numFmtId="0" fontId="59" fillId="0" borderId="0" xfId="0" quotePrefix="1" applyFont="1" applyAlignment="1">
      <alignment horizontal="center" vertical="center" wrapText="1"/>
    </xf>
    <xf numFmtId="0" fontId="83" fillId="54" borderId="0" xfId="0" quotePrefix="1" applyFont="1" applyFill="1" applyAlignment="1">
      <alignment horizontal="center" vertical="center" wrapText="1"/>
    </xf>
    <xf numFmtId="0" fontId="59" fillId="54" borderId="0" xfId="0" quotePrefix="1" applyFont="1" applyFill="1" applyAlignment="1">
      <alignment horizontal="center" vertical="center" wrapText="1"/>
    </xf>
    <xf numFmtId="0" fontId="22" fillId="2" borderId="11" xfId="0" applyFont="1" applyFill="1" applyBorder="1" applyAlignment="1">
      <alignment horizontal="center" vertical="center"/>
    </xf>
    <xf numFmtId="0" fontId="22" fillId="2" borderId="12" xfId="0" applyFont="1" applyFill="1" applyBorder="1" applyAlignment="1">
      <alignment horizontal="center" vertical="center"/>
    </xf>
    <xf numFmtId="0" fontId="54" fillId="0" borderId="49" xfId="0" applyFont="1" applyBorder="1" applyAlignment="1">
      <alignment horizontal="center" vertical="center"/>
    </xf>
    <xf numFmtId="0" fontId="22" fillId="2" borderId="58" xfId="0" applyFont="1" applyFill="1" applyBorder="1" applyAlignment="1">
      <alignment horizontal="center" vertical="center"/>
    </xf>
    <xf numFmtId="0" fontId="22" fillId="2" borderId="24" xfId="0" applyFont="1" applyFill="1" applyBorder="1" applyAlignment="1">
      <alignment horizontal="center" vertical="center"/>
    </xf>
    <xf numFmtId="0" fontId="54" fillId="0" borderId="59" xfId="0" applyFont="1" applyBorder="1" applyAlignment="1">
      <alignment horizontal="center" vertical="center"/>
    </xf>
    <xf numFmtId="0" fontId="58" fillId="51" borderId="61" xfId="0" applyFont="1" applyFill="1" applyBorder="1" applyAlignment="1">
      <alignment horizontal="center" vertical="center"/>
    </xf>
    <xf numFmtId="0" fontId="58" fillId="51" borderId="12" xfId="0" applyFont="1" applyFill="1" applyBorder="1" applyAlignment="1">
      <alignment horizontal="center" vertical="center"/>
    </xf>
    <xf numFmtId="0" fontId="58" fillId="51" borderId="13" xfId="0" applyFont="1" applyFill="1" applyBorder="1" applyAlignment="1">
      <alignment horizontal="center" vertical="center"/>
    </xf>
    <xf numFmtId="17" fontId="11" fillId="49" borderId="50" xfId="0" applyNumberFormat="1" applyFont="1" applyFill="1" applyBorder="1" applyAlignment="1">
      <alignment horizontal="center" vertical="center"/>
    </xf>
    <xf numFmtId="17" fontId="11" fillId="49" borderId="35" xfId="0" applyNumberFormat="1" applyFont="1" applyFill="1" applyBorder="1" applyAlignment="1">
      <alignment horizontal="center" vertical="center"/>
    </xf>
    <xf numFmtId="0" fontId="99" fillId="49" borderId="51" xfId="0" applyFont="1" applyFill="1" applyBorder="1" applyAlignment="1">
      <alignment vertical="center"/>
    </xf>
    <xf numFmtId="166" fontId="50" fillId="11" borderId="0" xfId="0" applyNumberFormat="1" applyFont="1" applyFill="1" applyAlignment="1">
      <alignment horizontal="left" vertical="center" indent="14"/>
    </xf>
    <xf numFmtId="17" fontId="11" fillId="49" borderId="24" xfId="0" applyNumberFormat="1" applyFont="1" applyFill="1" applyBorder="1" applyAlignment="1">
      <alignment horizontal="center" vertical="center"/>
    </xf>
    <xf numFmtId="17" fontId="11" fillId="49" borderId="0" xfId="0" applyNumberFormat="1" applyFont="1" applyFill="1" applyAlignment="1">
      <alignment horizontal="center" vertical="center"/>
    </xf>
    <xf numFmtId="0" fontId="58" fillId="51" borderId="58" xfId="0" applyFont="1" applyFill="1" applyBorder="1" applyAlignment="1">
      <alignment horizontal="center" vertical="center"/>
    </xf>
    <xf numFmtId="0" fontId="58" fillId="51" borderId="24" xfId="0" applyFont="1" applyFill="1" applyBorder="1" applyAlignment="1">
      <alignment horizontal="center" vertical="center"/>
    </xf>
    <xf numFmtId="0" fontId="58" fillId="51" borderId="60" xfId="0" applyFont="1" applyFill="1" applyBorder="1" applyAlignment="1">
      <alignment horizontal="center" vertical="center"/>
    </xf>
    <xf numFmtId="17" fontId="11" fillId="49" borderId="24" xfId="0" applyNumberFormat="1" applyFont="1" applyFill="1" applyBorder="1" applyAlignment="1">
      <alignment horizontal="center"/>
    </xf>
    <xf numFmtId="17" fontId="11" fillId="49" borderId="0" xfId="0" applyNumberFormat="1" applyFont="1" applyFill="1" applyAlignment="1">
      <alignment horizontal="center"/>
    </xf>
    <xf numFmtId="0" fontId="22" fillId="2" borderId="49" xfId="0" applyFont="1" applyFill="1" applyBorder="1" applyAlignment="1">
      <alignment horizontal="center" vertical="center"/>
    </xf>
    <xf numFmtId="0" fontId="58" fillId="51" borderId="27" xfId="0" applyFont="1" applyFill="1" applyBorder="1" applyAlignment="1">
      <alignment horizontal="center" vertical="center"/>
    </xf>
    <xf numFmtId="0" fontId="60" fillId="51" borderId="53" xfId="0" applyFont="1" applyFill="1" applyBorder="1" applyAlignment="1">
      <alignment horizontal="center" vertical="center"/>
    </xf>
    <xf numFmtId="0" fontId="54" fillId="51" borderId="54" xfId="0" applyFont="1" applyFill="1" applyBorder="1" applyAlignment="1">
      <alignment horizontal="center" vertical="center"/>
    </xf>
    <xf numFmtId="17" fontId="11" fillId="49" borderId="50" xfId="0" applyNumberFormat="1" applyFont="1" applyFill="1" applyBorder="1" applyAlignment="1">
      <alignment horizontal="center"/>
    </xf>
    <xf numFmtId="17" fontId="11" fillId="49" borderId="35" xfId="0" applyNumberFormat="1" applyFont="1" applyFill="1" applyBorder="1" applyAlignment="1">
      <alignment horizontal="center"/>
    </xf>
    <xf numFmtId="0" fontId="99" fillId="49" borderId="51" xfId="0" applyFont="1" applyFill="1" applyBorder="1" applyAlignment="1"/>
    <xf numFmtId="0" fontId="58" fillId="51" borderId="11" xfId="0" applyFont="1" applyFill="1" applyBorder="1" applyAlignment="1">
      <alignment horizontal="center" vertical="center"/>
    </xf>
    <xf numFmtId="0" fontId="58" fillId="51" borderId="53" xfId="0" applyFont="1" applyFill="1" applyBorder="1" applyAlignment="1">
      <alignment horizontal="center" vertical="center"/>
    </xf>
    <xf numFmtId="0" fontId="58" fillId="51" borderId="54" xfId="0" applyFont="1" applyFill="1" applyBorder="1" applyAlignment="1">
      <alignment horizontal="center" vertical="center"/>
    </xf>
    <xf numFmtId="0" fontId="46" fillId="49" borderId="56" xfId="0" applyFont="1" applyFill="1" applyBorder="1" applyAlignment="1">
      <alignment horizontal="center" vertical="center"/>
    </xf>
    <xf numFmtId="0" fontId="46" fillId="49" borderId="0" xfId="0" applyFont="1" applyFill="1" applyAlignment="1">
      <alignment horizontal="center" vertical="center"/>
    </xf>
    <xf numFmtId="0" fontId="46" fillId="49" borderId="56" xfId="0" applyFont="1" applyFill="1" applyBorder="1" applyAlignment="1">
      <alignment horizontal="center"/>
    </xf>
    <xf numFmtId="0" fontId="46" fillId="49" borderId="0" xfId="0" applyFont="1" applyFill="1" applyAlignment="1">
      <alignment horizontal="center"/>
    </xf>
    <xf numFmtId="0" fontId="100" fillId="49" borderId="0" xfId="0" applyFont="1" applyFill="1" applyAlignment="1">
      <alignment horizontal="center"/>
    </xf>
    <xf numFmtId="0" fontId="100" fillId="49" borderId="0" xfId="0" applyFont="1" applyFill="1" applyAlignment="1">
      <alignment horizontal="center" vertical="center"/>
    </xf>
    <xf numFmtId="0" fontId="11" fillId="49" borderId="2" xfId="0" applyFont="1" applyFill="1" applyBorder="1" applyAlignment="1">
      <alignment horizontal="center" vertical="center" wrapText="1"/>
    </xf>
    <xf numFmtId="0" fontId="11" fillId="49" borderId="26" xfId="0" applyFont="1" applyFill="1" applyBorder="1" applyAlignment="1">
      <alignment horizontal="center" vertical="center" wrapText="1"/>
    </xf>
    <xf numFmtId="0" fontId="11" fillId="49" borderId="25" xfId="0" applyFont="1" applyFill="1" applyBorder="1" applyAlignment="1">
      <alignment horizontal="center" vertical="center" wrapText="1"/>
    </xf>
    <xf numFmtId="0" fontId="61" fillId="48" borderId="2" xfId="0" applyFont="1" applyFill="1" applyBorder="1" applyAlignment="1">
      <alignment horizontal="center" vertical="center" wrapText="1"/>
    </xf>
    <xf numFmtId="0" fontId="57" fillId="48" borderId="26" xfId="0" applyFont="1" applyFill="1" applyBorder="1" applyAlignment="1">
      <alignment horizontal="center" vertical="center" wrapText="1"/>
    </xf>
    <xf numFmtId="0" fontId="57" fillId="48" borderId="25" xfId="0" applyFont="1" applyFill="1" applyBorder="1" applyAlignment="1">
      <alignment horizontal="center" vertical="center" wrapText="1"/>
    </xf>
    <xf numFmtId="0" fontId="61" fillId="48" borderId="26" xfId="0" applyFont="1" applyFill="1" applyBorder="1" applyAlignment="1">
      <alignment horizontal="center" vertical="center" wrapText="1"/>
    </xf>
    <xf numFmtId="0" fontId="61" fillId="48" borderId="25" xfId="0" applyFont="1" applyFill="1" applyBorder="1" applyAlignment="1">
      <alignment horizontal="center" vertical="center" wrapText="1"/>
    </xf>
    <xf numFmtId="0" fontId="64" fillId="49" borderId="2" xfId="0" applyFont="1" applyFill="1" applyBorder="1" applyAlignment="1">
      <alignment horizontal="center" vertical="center" wrapText="1"/>
    </xf>
    <xf numFmtId="0" fontId="64" fillId="49" borderId="26" xfId="0" applyFont="1" applyFill="1" applyBorder="1" applyAlignment="1">
      <alignment horizontal="center" vertical="center" wrapText="1"/>
    </xf>
    <xf numFmtId="0" fontId="64" fillId="49" borderId="25" xfId="0" applyFont="1" applyFill="1" applyBorder="1" applyAlignment="1">
      <alignment horizontal="center" vertical="center" wrapText="1"/>
    </xf>
    <xf numFmtId="0" fontId="86" fillId="49" borderId="26" xfId="0" applyFont="1" applyFill="1" applyBorder="1" applyAlignment="1">
      <alignment horizontal="center" vertical="center" wrapText="1"/>
    </xf>
    <xf numFmtId="0" fontId="86" fillId="49" borderId="25" xfId="0" applyFont="1" applyFill="1" applyBorder="1" applyAlignment="1">
      <alignment horizontal="center" vertical="center" wrapText="1"/>
    </xf>
    <xf numFmtId="0" fontId="101" fillId="49" borderId="26" xfId="0" applyFont="1" applyFill="1" applyBorder="1" applyAlignment="1">
      <alignment horizontal="center" vertical="center" wrapText="1"/>
    </xf>
    <xf numFmtId="0" fontId="101" fillId="49" borderId="25" xfId="0" applyFont="1" applyFill="1" applyBorder="1" applyAlignment="1">
      <alignment horizontal="center" vertical="center" wrapText="1"/>
    </xf>
    <xf numFmtId="166" fontId="4" fillId="11" borderId="0" xfId="0" applyNumberFormat="1" applyFont="1" applyFill="1" applyAlignment="1">
      <alignment horizontal="left" vertical="center" indent="14"/>
    </xf>
    <xf numFmtId="0" fontId="11" fillId="8" borderId="2" xfId="0" applyFont="1" applyFill="1" applyBorder="1" applyAlignment="1">
      <alignment horizontal="center" vertical="center" wrapText="1"/>
    </xf>
    <xf numFmtId="0" fontId="11" fillId="8" borderId="26" xfId="0" applyFont="1" applyFill="1" applyBorder="1" applyAlignment="1">
      <alignment horizontal="center" vertical="center" wrapText="1"/>
    </xf>
    <xf numFmtId="0" fontId="102" fillId="8" borderId="26" xfId="0" applyFont="1" applyFill="1" applyBorder="1" applyAlignment="1">
      <alignment horizontal="center" vertical="center" wrapText="1"/>
    </xf>
    <xf numFmtId="0" fontId="102" fillId="8" borderId="25" xfId="0" applyFont="1" applyFill="1" applyBorder="1" applyAlignment="1">
      <alignment horizontal="center" vertical="center" wrapText="1"/>
    </xf>
    <xf numFmtId="0" fontId="62" fillId="48" borderId="26" xfId="0" applyFont="1" applyFill="1" applyBorder="1" applyAlignment="1">
      <alignment horizontal="center" vertical="center" wrapText="1"/>
    </xf>
    <xf numFmtId="0" fontId="62" fillId="48" borderId="25" xfId="0" applyFont="1" applyFill="1" applyBorder="1" applyAlignment="1">
      <alignment horizontal="center" vertical="center" wrapText="1"/>
    </xf>
    <xf numFmtId="0" fontId="5" fillId="2" borderId="0" xfId="0" applyFont="1" applyFill="1" applyAlignment="1">
      <alignment horizontal="center"/>
    </xf>
    <xf numFmtId="0" fontId="17" fillId="2" borderId="0" xfId="0" applyFont="1" applyFill="1" applyAlignment="1">
      <alignment horizontal="center"/>
    </xf>
    <xf numFmtId="0" fontId="87" fillId="54" borderId="0" xfId="0" quotePrefix="1" applyFont="1" applyFill="1" applyAlignment="1">
      <alignment horizontal="center" vertical="center" wrapText="1"/>
    </xf>
    <xf numFmtId="166" fontId="4" fillId="11" borderId="24" xfId="0" applyNumberFormat="1" applyFont="1" applyFill="1" applyBorder="1" applyAlignment="1">
      <alignment horizontal="center" vertical="center"/>
    </xf>
    <xf numFmtId="0" fontId="89" fillId="8" borderId="26" xfId="0" applyFont="1" applyFill="1" applyBorder="1" applyAlignment="1">
      <alignment horizontal="center" vertical="center" wrapText="1"/>
    </xf>
    <xf numFmtId="0" fontId="89" fillId="8" borderId="25" xfId="0" applyFont="1" applyFill="1" applyBorder="1" applyAlignment="1">
      <alignment horizontal="center" vertical="center" wrapText="1"/>
    </xf>
    <xf numFmtId="0" fontId="103" fillId="49" borderId="26" xfId="0" applyFont="1" applyFill="1" applyBorder="1" applyAlignment="1">
      <alignment horizontal="center" vertical="center" wrapText="1"/>
    </xf>
    <xf numFmtId="0" fontId="103" fillId="49" borderId="25" xfId="0" applyFont="1" applyFill="1" applyBorder="1" applyAlignment="1">
      <alignment horizontal="center" vertical="center" wrapText="1"/>
    </xf>
    <xf numFmtId="0" fontId="89" fillId="49" borderId="26" xfId="0" applyFont="1" applyFill="1" applyBorder="1" applyAlignment="1">
      <alignment horizontal="center" vertical="center" wrapText="1"/>
    </xf>
    <xf numFmtId="0" fontId="89" fillId="49" borderId="25" xfId="0" applyFont="1" applyFill="1" applyBorder="1" applyAlignment="1">
      <alignment horizontal="center" vertical="center" wrapText="1"/>
    </xf>
    <xf numFmtId="166" fontId="4" fillId="50" borderId="0" xfId="0" applyNumberFormat="1" applyFont="1" applyFill="1" applyAlignment="1">
      <alignment horizontal="center" vertical="center"/>
    </xf>
    <xf numFmtId="166" fontId="4" fillId="11" borderId="0" xfId="0" applyNumberFormat="1" applyFont="1" applyFill="1" applyAlignment="1">
      <alignment horizontal="left" vertical="center" indent="20"/>
    </xf>
    <xf numFmtId="0" fontId="9" fillId="10" borderId="0" xfId="0" applyFont="1" applyFill="1" applyAlignment="1">
      <alignment horizontal="center" vertical="center" wrapText="1"/>
    </xf>
    <xf numFmtId="0" fontId="9" fillId="10" borderId="4" xfId="0" applyFont="1" applyFill="1" applyBorder="1" applyAlignment="1">
      <alignment horizontal="center" vertical="center" wrapText="1"/>
    </xf>
    <xf numFmtId="0" fontId="9" fillId="10" borderId="20" xfId="0" applyFont="1" applyFill="1" applyBorder="1" applyAlignment="1">
      <alignment horizontal="center"/>
    </xf>
    <xf numFmtId="0" fontId="9" fillId="10" borderId="4" xfId="0" applyFont="1" applyFill="1" applyBorder="1" applyAlignment="1">
      <alignment horizontal="center"/>
    </xf>
    <xf numFmtId="0" fontId="9" fillId="10" borderId="21" xfId="0" applyFont="1" applyFill="1" applyBorder="1" applyAlignment="1">
      <alignment horizontal="center"/>
    </xf>
    <xf numFmtId="0" fontId="9" fillId="10" borderId="22" xfId="0" applyFont="1" applyFill="1" applyBorder="1" applyAlignment="1">
      <alignment horizontal="center" vertical="center" wrapText="1"/>
    </xf>
    <xf numFmtId="0" fontId="9" fillId="10" borderId="34" xfId="0" applyFont="1" applyFill="1" applyBorder="1" applyAlignment="1">
      <alignment horizontal="center" vertical="center" wrapText="1"/>
    </xf>
    <xf numFmtId="0" fontId="9"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4" fillId="10" borderId="22" xfId="0" applyFont="1" applyFill="1" applyBorder="1" applyAlignment="1">
      <alignment horizontal="center"/>
    </xf>
    <xf numFmtId="0" fontId="0" fillId="0" borderId="34" xfId="0" applyBorder="1" applyAlignment="1">
      <alignment horizontal="center"/>
    </xf>
    <xf numFmtId="0" fontId="14" fillId="10" borderId="2" xfId="0" applyFont="1" applyFill="1" applyBorder="1" applyAlignment="1">
      <alignment horizontal="center"/>
    </xf>
    <xf numFmtId="0" fontId="0" fillId="0" borderId="26" xfId="0" applyBorder="1" applyAlignment="1">
      <alignment horizontal="center"/>
    </xf>
    <xf numFmtId="0" fontId="14" fillId="10" borderId="1" xfId="0" applyFont="1" applyFill="1" applyBorder="1" applyAlignment="1">
      <alignment horizontal="center"/>
    </xf>
    <xf numFmtId="0" fontId="0" fillId="0" borderId="1" xfId="0" applyBorder="1" applyAlignment="1">
      <alignment horizontal="center"/>
    </xf>
    <xf numFmtId="0" fontId="87" fillId="0" borderId="0" xfId="0" quotePrefix="1" applyFont="1" applyAlignment="1">
      <alignment horizontal="center" vertical="center" wrapText="1"/>
    </xf>
    <xf numFmtId="0" fontId="14" fillId="10" borderId="50" xfId="0" quotePrefix="1" applyFont="1" applyFill="1" applyBorder="1" applyAlignment="1">
      <alignment horizontal="center" wrapText="1"/>
    </xf>
    <xf numFmtId="0" fontId="14" fillId="10" borderId="35" xfId="0" applyFont="1" applyFill="1" applyBorder="1" applyAlignment="1">
      <alignment horizontal="center" wrapText="1"/>
    </xf>
    <xf numFmtId="0" fontId="14" fillId="10" borderId="27" xfId="0" applyFont="1" applyFill="1" applyBorder="1" applyAlignment="1">
      <alignment horizontal="center" vertical="center" wrapText="1"/>
    </xf>
    <xf numFmtId="0" fontId="14" fillId="10" borderId="28" xfId="0" applyFont="1" applyFill="1" applyBorder="1" applyAlignment="1">
      <alignment horizontal="center" vertical="center" wrapText="1"/>
    </xf>
    <xf numFmtId="0" fontId="14" fillId="10" borderId="52" xfId="0" quotePrefix="1" applyFont="1" applyFill="1" applyBorder="1" applyAlignment="1">
      <alignment horizontal="center" vertical="center" wrapText="1"/>
    </xf>
    <xf numFmtId="0" fontId="14" fillId="10" borderId="28" xfId="0" quotePrefix="1" applyFont="1" applyFill="1" applyBorder="1" applyAlignment="1">
      <alignment horizontal="center" vertical="center" wrapText="1"/>
    </xf>
    <xf numFmtId="0" fontId="14" fillId="10" borderId="31" xfId="0" applyFont="1" applyFill="1" applyBorder="1" applyAlignment="1">
      <alignment horizontal="center" vertical="center" wrapText="1"/>
    </xf>
    <xf numFmtId="0" fontId="14" fillId="10" borderId="55" xfId="0" quotePrefix="1" applyFont="1" applyFill="1" applyBorder="1" applyAlignment="1">
      <alignment horizontal="center" vertical="center" wrapText="1"/>
    </xf>
    <xf numFmtId="0" fontId="14" fillId="10" borderId="29" xfId="0" quotePrefix="1" applyFont="1" applyFill="1" applyBorder="1" applyAlignment="1">
      <alignment horizontal="center" vertical="center" wrapText="1"/>
    </xf>
    <xf numFmtId="0" fontId="22" fillId="0" borderId="1" xfId="0" applyFont="1" applyBorder="1" applyAlignment="1"/>
    <xf numFmtId="0" fontId="0" fillId="0" borderId="1" xfId="0" applyBorder="1" applyAlignment="1"/>
    <xf numFmtId="166" fontId="4" fillId="11" borderId="0" xfId="0" applyNumberFormat="1" applyFont="1" applyFill="1" applyAlignment="1">
      <alignment horizontal="left" vertical="center" indent="13"/>
    </xf>
    <xf numFmtId="0" fontId="10" fillId="49" borderId="4" xfId="0" applyFont="1" applyFill="1" applyBorder="1" applyAlignment="1">
      <alignment horizontal="center"/>
    </xf>
    <xf numFmtId="0" fontId="104" fillId="49" borderId="4" xfId="0" applyFont="1" applyFill="1" applyBorder="1" applyAlignment="1">
      <alignment horizontal="center"/>
    </xf>
    <xf numFmtId="0" fontId="105" fillId="0" borderId="20" xfId="0" applyFont="1" applyBorder="1" applyAlignment="1">
      <alignment horizontal="center" vertical="center" wrapText="1"/>
    </xf>
    <xf numFmtId="0" fontId="105" fillId="0" borderId="32" xfId="0" applyFont="1" applyBorder="1" applyAlignment="1">
      <alignment horizontal="center" vertical="center" wrapText="1"/>
    </xf>
    <xf numFmtId="0" fontId="61" fillId="51" borderId="1" xfId="0" applyFont="1" applyFill="1" applyBorder="1" applyAlignment="1">
      <alignment vertical="center" wrapText="1"/>
    </xf>
    <xf numFmtId="0" fontId="0" fillId="0" borderId="1" xfId="0" applyBorder="1" applyAlignment="1">
      <alignment wrapText="1"/>
    </xf>
    <xf numFmtId="0" fontId="14" fillId="10" borderId="1" xfId="0" applyFont="1" applyFill="1" applyBorder="1" applyAlignment="1">
      <alignment horizontal="center" vertical="center" wrapText="1"/>
    </xf>
    <xf numFmtId="1" fontId="58" fillId="51" borderId="2" xfId="0" applyNumberFormat="1" applyFont="1" applyFill="1" applyBorder="1" applyAlignment="1">
      <alignment horizontal="center" vertical="center"/>
    </xf>
    <xf numFmtId="0" fontId="0" fillId="0" borderId="25" xfId="0" applyBorder="1" applyAlignment="1">
      <alignment horizontal="center" vertical="center"/>
    </xf>
    <xf numFmtId="0" fontId="58" fillId="51" borderId="1" xfId="0" applyFont="1" applyFill="1" applyBorder="1" applyAlignment="1">
      <alignment wrapText="1"/>
    </xf>
    <xf numFmtId="0" fontId="9" fillId="10" borderId="56" xfId="0" applyFont="1" applyFill="1" applyBorder="1" applyAlignment="1">
      <alignment horizontal="center" vertical="center" wrapText="1"/>
    </xf>
    <xf numFmtId="0" fontId="105" fillId="0" borderId="0" xfId="0" applyFont="1" applyAlignment="1">
      <alignment horizontal="center" vertical="center" wrapText="1"/>
    </xf>
    <xf numFmtId="0" fontId="105" fillId="0" borderId="4" xfId="0" applyFont="1" applyBorder="1" applyAlignment="1">
      <alignment horizontal="center" vertical="center" wrapText="1"/>
    </xf>
    <xf numFmtId="0" fontId="97" fillId="49" borderId="4" xfId="0" applyFont="1" applyFill="1" applyBorder="1" applyAlignment="1">
      <alignment horizontal="center" wrapText="1"/>
    </xf>
    <xf numFmtId="0" fontId="14" fillId="10" borderId="1" xfId="0" applyFont="1" applyFill="1" applyBorder="1" applyAlignment="1">
      <alignment horizontal="center" vertical="center"/>
    </xf>
    <xf numFmtId="0" fontId="14" fillId="10" borderId="5" xfId="0" applyFont="1" applyFill="1" applyBorder="1" applyAlignment="1">
      <alignment horizontal="center" vertical="center"/>
    </xf>
    <xf numFmtId="0" fontId="14" fillId="10" borderId="6" xfId="0" applyFont="1" applyFill="1" applyBorder="1" applyAlignment="1">
      <alignment horizontal="center" vertical="center"/>
    </xf>
    <xf numFmtId="0" fontId="14" fillId="10" borderId="19" xfId="0" applyFont="1" applyFill="1" applyBorder="1" applyAlignment="1">
      <alignment horizontal="center" vertical="center"/>
    </xf>
    <xf numFmtId="0" fontId="90" fillId="55" borderId="5" xfId="0" applyFont="1" applyFill="1" applyBorder="1" applyAlignment="1">
      <alignment horizontal="center" vertical="center"/>
    </xf>
    <xf numFmtId="0" fontId="90" fillId="55" borderId="6" xfId="0" applyFont="1" applyFill="1" applyBorder="1" applyAlignment="1">
      <alignment horizontal="center" vertical="center"/>
    </xf>
    <xf numFmtId="0" fontId="90" fillId="55" borderId="19" xfId="0" applyFont="1" applyFill="1" applyBorder="1" applyAlignment="1">
      <alignment horizontal="center" vertical="center"/>
    </xf>
    <xf numFmtId="0" fontId="90" fillId="56" borderId="5" xfId="0" applyFont="1" applyFill="1" applyBorder="1" applyAlignment="1">
      <alignment horizontal="center" vertical="center"/>
    </xf>
    <xf numFmtId="0" fontId="90" fillId="56" borderId="6" xfId="0" applyFont="1" applyFill="1" applyBorder="1" applyAlignment="1">
      <alignment horizontal="center" vertical="center"/>
    </xf>
    <xf numFmtId="0" fontId="90" fillId="56" borderId="19" xfId="0" applyFont="1" applyFill="1" applyBorder="1" applyAlignment="1">
      <alignment horizontal="center" vertical="center"/>
    </xf>
    <xf numFmtId="0" fontId="9" fillId="10" borderId="27" xfId="0" applyFont="1" applyFill="1" applyBorder="1" applyAlignment="1">
      <alignment horizontal="center" vertical="center"/>
    </xf>
    <xf numFmtId="0" fontId="9" fillId="10" borderId="59" xfId="0" applyFont="1" applyFill="1" applyBorder="1" applyAlignment="1">
      <alignment horizontal="center" vertical="center"/>
    </xf>
    <xf numFmtId="0" fontId="43" fillId="9" borderId="0" xfId="0" applyFont="1" applyFill="1" applyAlignment="1">
      <alignment horizontal="left" vertical="center" indent="14"/>
    </xf>
    <xf numFmtId="0" fontId="46" fillId="5" borderId="0" xfId="0" applyFont="1" applyFill="1" applyAlignment="1">
      <alignment horizontal="left" vertical="center" wrapText="1" indent="14"/>
    </xf>
    <xf numFmtId="14" fontId="12" fillId="11" borderId="0" xfId="0" applyNumberFormat="1" applyFont="1" applyFill="1" applyAlignment="1">
      <alignment horizontal="left" vertical="center" indent="3"/>
    </xf>
    <xf numFmtId="0" fontId="43" fillId="9" borderId="0" xfId="0" applyFont="1" applyFill="1" applyAlignment="1">
      <alignment horizontal="left" vertical="center" indent="13"/>
    </xf>
    <xf numFmtId="0" fontId="64" fillId="5" borderId="0" xfId="0" applyFont="1" applyFill="1" applyAlignment="1">
      <alignment horizontal="left" vertical="center" wrapText="1" indent="11"/>
    </xf>
    <xf numFmtId="14" fontId="4" fillId="11" borderId="0" xfId="0" applyNumberFormat="1" applyFont="1" applyFill="1" applyAlignment="1">
      <alignment horizontal="left" vertical="center" indent="3"/>
    </xf>
    <xf numFmtId="0" fontId="11"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909">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900FF"/>
      <color rgb="FF66FFFF"/>
      <color rgb="FF6600FF"/>
      <color rgb="FFFF0000"/>
      <color rgb="FFDCC5ED"/>
      <color rgb="FFB07BD7"/>
      <color rgb="FF0066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hyperlink" Target="#'HMIP caseload cluster'!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9.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3.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7.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8.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0.xml.rels><?xml version="1.0" encoding="UTF-8" standalone="yes"?>
<Relationships xmlns="http://schemas.openxmlformats.org/package/2006/relationships"><Relationship Id="rId1" Type="http://schemas.openxmlformats.org/officeDocument/2006/relationships/hyperlink" Target="#Home!A1"/></Relationships>
</file>

<file path=xl/drawings/_rels/drawing21.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5.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6.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73715</xdr:colOff>
      <xdr:row>30</xdr:row>
      <xdr:rowOff>28575</xdr:rowOff>
    </xdr:from>
    <xdr:to>
      <xdr:col>21</xdr:col>
      <xdr:colOff>28575</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73715" y="6467475"/>
          <a:ext cx="13566085" cy="1219200"/>
        </a:xfrm>
        <a:prstGeom prst="rect">
          <a:avLst/>
        </a:prstGeom>
      </xdr:spPr>
    </xdr:pic>
    <xdr:clientData/>
  </xdr:twoCellAnchor>
  <xdr:twoCellAnchor editAs="oneCell">
    <xdr:from>
      <xdr:col>1</xdr:col>
      <xdr:colOff>257176</xdr:colOff>
      <xdr:row>30</xdr:row>
      <xdr:rowOff>168137</xdr:rowOff>
    </xdr:from>
    <xdr:to>
      <xdr:col>6</xdr:col>
      <xdr:colOff>27518</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508001</xdr:colOff>
      <xdr:row>2</xdr:row>
      <xdr:rowOff>84667</xdr:rowOff>
    </xdr:from>
    <xdr:to>
      <xdr:col>12</xdr:col>
      <xdr:colOff>465667</xdr:colOff>
      <xdr:row>26</xdr:row>
      <xdr:rowOff>0</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1312334" y="846667"/>
          <a:ext cx="6752166" cy="547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8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twoCellAnchor>
    <xdr:from>
      <xdr:col>16</xdr:col>
      <xdr:colOff>95250</xdr:colOff>
      <xdr:row>0</xdr:row>
      <xdr:rowOff>161925</xdr:rowOff>
    </xdr:from>
    <xdr:to>
      <xdr:col>18</xdr:col>
      <xdr:colOff>497417</xdr:colOff>
      <xdr:row>2</xdr:row>
      <xdr:rowOff>148167</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064750" y="161925"/>
          <a:ext cx="1820334" cy="7482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171450</xdr:rowOff>
    </xdr:from>
    <xdr:to>
      <xdr:col>16</xdr:col>
      <xdr:colOff>581025</xdr:colOff>
      <xdr:row>28</xdr:row>
      <xdr:rowOff>158750</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800"/>
          <a:ext cx="9886950" cy="513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offenders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origonally allocated points from that division or cluster to get an overall percentage capacity for that division or cluster. The HMIP tabs show the average capacity of an OM in a region or cluster and excludes OMs who currently do not have any assigned capacity points (hence some variation in results).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240661</xdr:colOff>
      <xdr:row>1</xdr:row>
      <xdr:rowOff>72920</xdr:rowOff>
    </xdr:from>
    <xdr:to>
      <xdr:col>22</xdr:col>
      <xdr:colOff>38314</xdr:colOff>
      <xdr:row>1</xdr:row>
      <xdr:rowOff>610802</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1056828" y="972503"/>
          <a:ext cx="181906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315686</xdr:colOff>
      <xdr:row>1</xdr:row>
      <xdr:rowOff>74662</xdr:rowOff>
    </xdr:from>
    <xdr:to>
      <xdr:col>22</xdr:col>
      <xdr:colOff>2154411</xdr:colOff>
      <xdr:row>1</xdr:row>
      <xdr:rowOff>612544</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2698186" y="972733"/>
          <a:ext cx="1838725"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1</xdr:row>
      <xdr:rowOff>43764</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940235"/>
          <a:ext cx="2083654" cy="5949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165287</xdr:colOff>
      <xdr:row>0</xdr:row>
      <xdr:rowOff>344020</xdr:rowOff>
    </xdr:from>
    <xdr:to>
      <xdr:col>1</xdr:col>
      <xdr:colOff>728382</xdr:colOff>
      <xdr:row>2</xdr:row>
      <xdr:rowOff>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165287" y="344020"/>
          <a:ext cx="832036" cy="49642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5.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46"/>
  <sheetViews>
    <sheetView showGridLines="0" showRowColHeaders="0" tabSelected="1" zoomScale="90" zoomScaleNormal="90" zoomScaleSheetLayoutView="85" workbookViewId="0">
      <selection activeCell="U4" sqref="U4"/>
    </sheetView>
  </sheetViews>
  <sheetFormatPr baseColWidth="10" defaultColWidth="8.83203125" defaultRowHeight="14" x14ac:dyDescent="0.15"/>
  <cols>
    <col min="1" max="1" width="3.1640625" customWidth="1"/>
    <col min="2" max="2" width="11.83203125" bestFit="1" customWidth="1"/>
    <col min="10" max="10" width="21.5" customWidth="1"/>
    <col min="11" max="11" width="9.5" bestFit="1" customWidth="1"/>
    <col min="17" max="17" width="12.5" customWidth="1"/>
    <col min="21" max="21" width="11.5" customWidth="1"/>
    <col min="31" max="31" width="6.5" customWidth="1"/>
  </cols>
  <sheetData>
    <row r="1" spans="1:24" ht="45" customHeight="1" x14ac:dyDescent="0.15">
      <c r="A1" s="351" t="s">
        <v>0</v>
      </c>
      <c r="B1" s="351"/>
      <c r="C1" s="351"/>
      <c r="D1" s="351"/>
      <c r="E1" s="351"/>
      <c r="F1" s="351"/>
      <c r="G1" s="351"/>
      <c r="H1" s="351"/>
      <c r="I1" s="351"/>
      <c r="J1" s="351"/>
      <c r="K1" s="351"/>
      <c r="L1" s="351"/>
      <c r="M1" s="351"/>
      <c r="N1" s="351"/>
      <c r="O1" s="351"/>
    </row>
    <row r="2" spans="1:24" x14ac:dyDescent="0.15">
      <c r="A2" s="9"/>
    </row>
    <row r="3" spans="1:24" ht="21.75" customHeight="1" x14ac:dyDescent="0.15">
      <c r="C3" s="214"/>
      <c r="D3" s="214"/>
      <c r="E3" s="214"/>
    </row>
    <row r="4" spans="1:24" ht="18" customHeight="1" x14ac:dyDescent="0.2">
      <c r="C4" s="213"/>
      <c r="D4" s="213"/>
      <c r="E4" s="213"/>
      <c r="Q4" s="325" t="s">
        <v>1</v>
      </c>
      <c r="R4" s="63"/>
      <c r="S4" s="63"/>
      <c r="T4" s="63"/>
      <c r="U4" s="63"/>
      <c r="V4" s="63"/>
      <c r="W4" s="64"/>
    </row>
    <row r="5" spans="1:24" ht="18" customHeight="1" x14ac:dyDescent="0.2">
      <c r="B5" s="303"/>
      <c r="C5" s="213"/>
      <c r="D5" s="213"/>
      <c r="E5" s="213"/>
      <c r="Q5" s="218" t="s">
        <v>2</v>
      </c>
      <c r="R5" s="63"/>
      <c r="S5" s="63"/>
      <c r="T5" s="63"/>
      <c r="U5" s="63"/>
      <c r="V5" s="63"/>
      <c r="W5" s="64"/>
    </row>
    <row r="6" spans="1:24" ht="18" customHeight="1" x14ac:dyDescent="0.2">
      <c r="C6" s="213"/>
      <c r="D6" s="213"/>
      <c r="E6" s="213"/>
      <c r="Q6" s="218" t="s">
        <v>3</v>
      </c>
      <c r="R6" s="63"/>
      <c r="S6" s="63"/>
      <c r="T6" s="63"/>
      <c r="U6" s="63"/>
      <c r="V6" s="63"/>
      <c r="W6" s="64"/>
    </row>
    <row r="7" spans="1:24" ht="18" customHeight="1" x14ac:dyDescent="0.2">
      <c r="C7" s="213"/>
      <c r="D7" s="213"/>
      <c r="E7" s="213"/>
      <c r="Q7" s="218" t="s">
        <v>4</v>
      </c>
      <c r="R7" s="63"/>
      <c r="S7" s="63"/>
      <c r="T7" s="63"/>
      <c r="U7" s="63"/>
      <c r="V7" s="63"/>
      <c r="W7" s="64"/>
    </row>
    <row r="8" spans="1:24" ht="18" customHeight="1" x14ac:dyDescent="0.2">
      <c r="C8" s="213"/>
      <c r="D8" s="213"/>
      <c r="E8" s="213"/>
      <c r="Q8" s="218" t="s">
        <v>5</v>
      </c>
      <c r="R8" s="63"/>
      <c r="S8" s="63"/>
      <c r="T8" s="63"/>
      <c r="U8" s="63"/>
      <c r="V8" s="63"/>
      <c r="W8" s="64"/>
    </row>
    <row r="9" spans="1:24" ht="18" customHeight="1" x14ac:dyDescent="0.2">
      <c r="C9" s="213"/>
      <c r="D9" s="213"/>
      <c r="E9" s="213"/>
      <c r="Q9" s="218" t="s">
        <v>6</v>
      </c>
      <c r="R9" s="63"/>
      <c r="S9" s="63"/>
      <c r="T9" s="63"/>
      <c r="U9" s="63"/>
      <c r="V9" s="63"/>
      <c r="W9" s="64"/>
    </row>
    <row r="10" spans="1:24" ht="17.25" customHeight="1" x14ac:dyDescent="0.2">
      <c r="C10" s="213"/>
      <c r="D10" s="213"/>
      <c r="E10" s="213"/>
      <c r="Q10" s="218" t="s">
        <v>7</v>
      </c>
      <c r="R10" s="218"/>
      <c r="S10" s="218"/>
      <c r="T10" s="218"/>
      <c r="U10" s="218"/>
      <c r="V10" s="218"/>
      <c r="W10" s="218"/>
    </row>
    <row r="11" spans="1:24" ht="15" customHeight="1" x14ac:dyDescent="0.2">
      <c r="Q11" s="218" t="s">
        <v>8</v>
      </c>
      <c r="R11" s="218"/>
      <c r="S11" s="218"/>
      <c r="T11" s="218"/>
      <c r="U11" s="218"/>
      <c r="V11" s="218"/>
      <c r="W11" s="218"/>
    </row>
    <row r="12" spans="1:24" ht="15" customHeight="1" x14ac:dyDescent="0.2">
      <c r="Q12" s="218" t="s">
        <v>9</v>
      </c>
      <c r="R12" s="217"/>
      <c r="S12" s="217"/>
      <c r="T12" s="217"/>
      <c r="U12" s="217"/>
      <c r="V12" s="217"/>
      <c r="W12" s="217"/>
    </row>
    <row r="13" spans="1:24" ht="18" x14ac:dyDescent="0.2">
      <c r="Q13" s="218" t="s">
        <v>10</v>
      </c>
      <c r="R13" s="248"/>
      <c r="S13" s="218"/>
      <c r="T13" s="218"/>
      <c r="U13" s="218"/>
      <c r="V13" s="218"/>
      <c r="W13" s="218"/>
    </row>
    <row r="14" spans="1:24" ht="18" x14ac:dyDescent="0.2">
      <c r="Q14" s="218" t="s">
        <v>11</v>
      </c>
      <c r="R14" s="218"/>
      <c r="S14" s="218"/>
      <c r="T14" s="218"/>
      <c r="U14" s="218"/>
      <c r="V14" s="218"/>
      <c r="W14" s="218"/>
      <c r="X14" s="218"/>
    </row>
    <row r="15" spans="1:24" ht="18" x14ac:dyDescent="0.2">
      <c r="Q15" s="218" t="s">
        <v>12</v>
      </c>
      <c r="R15" s="218"/>
      <c r="S15" s="218"/>
      <c r="T15" s="218"/>
      <c r="U15" s="218"/>
      <c r="V15" s="218"/>
      <c r="W15" s="218"/>
    </row>
    <row r="16" spans="1:24" ht="18" x14ac:dyDescent="0.2">
      <c r="Q16" s="218" t="s">
        <v>13</v>
      </c>
      <c r="R16" s="218"/>
      <c r="S16" s="218"/>
      <c r="T16" s="218"/>
      <c r="U16" s="218"/>
      <c r="V16" s="218"/>
      <c r="W16" s="218"/>
    </row>
    <row r="17" spans="17:23" ht="18" x14ac:dyDescent="0.2">
      <c r="Q17" s="218" t="s">
        <v>14</v>
      </c>
      <c r="R17" s="218"/>
      <c r="S17" s="218"/>
      <c r="T17" s="218"/>
      <c r="U17" s="218"/>
      <c r="V17" s="218"/>
      <c r="W17" s="218"/>
    </row>
    <row r="18" spans="17:23" ht="18" x14ac:dyDescent="0.2">
      <c r="Q18" s="218" t="s">
        <v>15</v>
      </c>
      <c r="R18" s="218"/>
      <c r="S18" s="218"/>
      <c r="T18" s="218"/>
      <c r="U18" s="218"/>
      <c r="V18" s="218"/>
      <c r="W18" s="218"/>
    </row>
    <row r="19" spans="17:23" ht="18" x14ac:dyDescent="0.2">
      <c r="Q19" s="218" t="s">
        <v>16</v>
      </c>
      <c r="R19" s="218"/>
      <c r="S19" s="218"/>
      <c r="T19" s="218"/>
      <c r="U19" s="218"/>
      <c r="V19" s="218"/>
      <c r="W19" s="218"/>
    </row>
    <row r="20" spans="17:23" ht="18" x14ac:dyDescent="0.2">
      <c r="Q20" s="218" t="s">
        <v>17</v>
      </c>
      <c r="R20" s="218"/>
      <c r="S20" s="218"/>
      <c r="T20" s="218"/>
      <c r="U20" s="218"/>
      <c r="V20" s="218"/>
      <c r="W20" s="218"/>
    </row>
    <row r="21" spans="17:23" ht="18" x14ac:dyDescent="0.2">
      <c r="Q21" s="218" t="s">
        <v>18</v>
      </c>
    </row>
    <row r="22" spans="17:23" ht="18" x14ac:dyDescent="0.2">
      <c r="Q22" s="218" t="s">
        <v>19</v>
      </c>
      <c r="R22" s="218"/>
      <c r="S22" s="218"/>
      <c r="T22" s="218"/>
      <c r="U22" s="218"/>
      <c r="V22" s="218"/>
      <c r="W22" s="218"/>
    </row>
    <row r="23" spans="17:23" ht="18" x14ac:dyDescent="0.2">
      <c r="Q23" s="218" t="s">
        <v>20</v>
      </c>
      <c r="R23" s="64"/>
      <c r="S23" s="64"/>
      <c r="T23" s="64"/>
      <c r="U23" s="64"/>
      <c r="V23" s="64"/>
      <c r="W23" s="64"/>
    </row>
    <row r="24" spans="17:23" ht="18" x14ac:dyDescent="0.2">
      <c r="Q24" s="217" t="s">
        <v>21</v>
      </c>
      <c r="R24" s="217"/>
      <c r="S24" s="217"/>
      <c r="T24" s="217"/>
      <c r="U24" s="217"/>
      <c r="V24" s="217"/>
      <c r="W24" s="217"/>
    </row>
    <row r="25" spans="17:23" ht="18" x14ac:dyDescent="0.2">
      <c r="Q25" s="218" t="s">
        <v>22</v>
      </c>
      <c r="R25" s="64"/>
      <c r="S25" s="64"/>
      <c r="T25" s="64"/>
      <c r="U25" s="64"/>
      <c r="V25" s="64"/>
      <c r="W25" s="64"/>
    </row>
    <row r="26" spans="17:23" ht="18" x14ac:dyDescent="0.2">
      <c r="R26" s="217"/>
      <c r="S26" s="217"/>
      <c r="T26" s="217"/>
      <c r="U26" s="217"/>
      <c r="V26" s="217"/>
      <c r="W26" s="217"/>
    </row>
    <row r="27" spans="17:23" ht="18" x14ac:dyDescent="0.2">
      <c r="R27" s="64"/>
      <c r="S27" s="64"/>
      <c r="T27" s="64"/>
      <c r="U27" s="64"/>
      <c r="V27" s="64"/>
      <c r="W27" s="64"/>
    </row>
    <row r="28" spans="17:23" ht="18" x14ac:dyDescent="0.2">
      <c r="Q28" s="218"/>
    </row>
    <row r="29" spans="17:23" ht="18" x14ac:dyDescent="0.2">
      <c r="Q29" s="218"/>
    </row>
    <row r="33" spans="2:11" x14ac:dyDescent="0.15">
      <c r="K33" s="7"/>
    </row>
    <row r="41" spans="2:11" x14ac:dyDescent="0.15">
      <c r="D41" s="56"/>
    </row>
    <row r="46" spans="2:11" x14ac:dyDescent="0.15">
      <c r="B46" s="56"/>
    </row>
  </sheetData>
  <sheetProtection selectLockedCells="1"/>
  <mergeCells count="1">
    <mergeCell ref="A1:O1"/>
  </mergeCells>
  <hyperlinks>
    <hyperlink ref="Q8" location="'cluster overview'!A1" display="'cluster overview'!A1" xr:uid="{00000000-0004-0000-0000-000000000000}"/>
    <hyperlink ref="Q9" location="'divisional &amp; regional overview'!A1" display="Regional overview" xr:uid="{00000000-0004-0000-0000-000001000000}"/>
    <hyperlink ref="Q12" location="'cluster capacity, unallocateds'!A1" display="'cluster capacity, unallocateds'!A1" xr:uid="{00000000-0004-0000-0000-000002000000}"/>
    <hyperlink ref="Q13" location="'cluster officer capacity ranks'!A1" display="PDU capacity top ten rankings" xr:uid="{00000000-0004-0000-0000-000003000000}"/>
    <hyperlink ref="Q14" location="'div &amp; regional over-capacities'!A1" display="Regional over-capacity ratios" xr:uid="{00000000-0004-0000-0000-000004000000}"/>
    <hyperlink ref="Q15" location="'reasons for reduction division'!A1" display="'reasons for reduction division'!A1" xr:uid="{00000000-0004-0000-0000-000005000000}"/>
    <hyperlink ref="Q16" location="'cluster reductions'!A1" display="PDU reasons for reduction" xr:uid="{00000000-0004-0000-0000-000006000000}"/>
    <hyperlink ref="Q17" location="'div &amp; regional reduction hours'!A1" display="Regional reduction in hours" xr:uid="{00000000-0004-0000-0000-000007000000}"/>
    <hyperlink ref="Q18" location="'national caseload'!A1" display="National Caseload Allocations" xr:uid="{00000000-0004-0000-0000-000008000000}"/>
    <hyperlink ref="Q20" location="'divisional &amp; regional caseload'!A1" display="Regional overall allocation of cases" xr:uid="{00000000-0004-0000-0000-000009000000}"/>
    <hyperlink ref="Q22" location="'custody caseload'!A1" display="Regional allocation of custody cases" xr:uid="{00000000-0004-0000-0000-00000A000000}"/>
    <hyperlink ref="Q24" location="'community caseload'!A1" display="Regional allocation of cases in the community" xr:uid="{00000000-0004-0000-0000-00000B000000}"/>
    <hyperlink ref="Q21" location="'divisional &amp; regional caseload%'!A1" display="intra-divisional / regional overall allocation of cases as percentage" xr:uid="{00000000-0004-0000-0000-00000C000000}"/>
    <hyperlink ref="Q23" location="'custody %'!A1" display="Regional allocation of custody cases as percentage" xr:uid="{00000000-0004-0000-0000-00000D000000}"/>
    <hyperlink ref="Q24:W24" location="'custody caseload'!A1" display="intra-divisional allocation of custody cases" xr:uid="{00000000-0004-0000-0000-00000E000000}"/>
    <hyperlink ref="Q26:W26" location="'community caseload'!A1" display="intra-divisional allocation of cases in the comunity" xr:uid="{00000000-0004-0000-0000-00000F000000}"/>
    <hyperlink ref="Q25" location="'community %'!A1" display="intra-divisional allocation of cases in the community as percentage" xr:uid="{00000000-0004-0000-0000-000010000000}"/>
    <hyperlink ref="Q19" location="'national tier ratios'!A1" display="National breakdown ratios of caseload allocation by tier" xr:uid="{00000000-0004-0000-0000-000011000000}"/>
    <hyperlink ref="Q10" location="'team overview'!A1" display="team overview" xr:uid="{00000000-0004-0000-0000-000013000000}"/>
    <hyperlink ref="Q5" location="FAQs!A1" display="FAQs" xr:uid="{00000000-0004-0000-0000-000014000000}"/>
    <hyperlink ref="Q11:W11" location="'divisional &amp; regional overview'!A1" display="divisional / regional overview" xr:uid="{E78FB61B-A580-48D2-A4E2-3EC2B2C40D75}"/>
    <hyperlink ref="Q22:W22" location="'divisional &amp; regional caseload'!A1" display="intra-divisional / regional overall allocation of cases" xr:uid="{E2874725-6FDB-4EAA-BF9C-841ADA1B97C9}"/>
    <hyperlink ref="Q6" location="'HMIP caseload divisional'!A1" display="Regional caseload per FTE " xr:uid="{D26B0511-B44F-4B16-91B1-849DE5931B85}"/>
    <hyperlink ref="Q7" location="'HMIP caseload cluster'!A1" display="PDU caseload per FTE" xr:uid="{F658710E-8DD2-4370-B8B2-62ED082E66AF}"/>
    <hyperlink ref="Q11" location="'divisional &amp; regional capacity'!A1" display="Regional capacities" xr:uid="{474D9EFC-901B-48AB-B1F5-5595E713E9DF}"/>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PDUs!$A$30:$A$42</xm:f>
          </x14:formula1>
          <xm:sqref>J33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9"/>
  <sheetViews>
    <sheetView zoomScale="70" zoomScaleNormal="70" workbookViewId="0">
      <selection activeCell="E12" sqref="E12"/>
    </sheetView>
  </sheetViews>
  <sheetFormatPr baseColWidth="10" defaultColWidth="8.83203125" defaultRowHeight="15" x14ac:dyDescent="0.2"/>
  <cols>
    <col min="1" max="1" width="31.5" style="254" bestFit="1" customWidth="1"/>
    <col min="2" max="2" width="29.5" style="254" bestFit="1" customWidth="1"/>
    <col min="3" max="3" width="26.5" style="254" bestFit="1" customWidth="1"/>
    <col min="4" max="4" width="31.83203125" style="254" customWidth="1"/>
    <col min="5" max="5" width="51.1640625" style="254" bestFit="1" customWidth="1"/>
    <col min="6" max="6" width="45.5" style="254" bestFit="1" customWidth="1"/>
    <col min="7" max="7" width="26.5" style="254" bestFit="1" customWidth="1"/>
    <col min="8" max="8" width="34.5" style="254" bestFit="1" customWidth="1"/>
    <col min="9" max="9" width="50.83203125" style="254" bestFit="1" customWidth="1"/>
    <col min="10" max="10" width="23.1640625" style="254" bestFit="1" customWidth="1"/>
    <col min="11" max="11" width="31.5" style="254" bestFit="1" customWidth="1"/>
    <col min="12" max="12" width="48.83203125" style="254" bestFit="1" customWidth="1"/>
    <col min="13" max="13" width="26.5" style="254" bestFit="1" customWidth="1"/>
    <col min="14" max="14" width="44.5" style="254" bestFit="1" customWidth="1"/>
    <col min="15" max="15" width="31.83203125" style="254" bestFit="1" customWidth="1"/>
    <col min="16" max="16" width="39.5" style="254" customWidth="1"/>
    <col min="17" max="17" width="33.5" style="254" bestFit="1" customWidth="1"/>
    <col min="18" max="18" width="55.1640625" style="254" bestFit="1" customWidth="1"/>
    <col min="19" max="19" width="30.5" style="258" bestFit="1" customWidth="1"/>
    <col min="20" max="20" width="41.5" style="254" bestFit="1" customWidth="1"/>
    <col min="21" max="22" width="45.1640625" style="254" customWidth="1"/>
    <col min="23" max="23" width="46.83203125" style="254" bestFit="1" customWidth="1"/>
    <col min="24" max="24" width="35.5" style="254" bestFit="1" customWidth="1"/>
    <col min="25" max="25" width="45.1640625" style="254" bestFit="1" customWidth="1"/>
    <col min="26" max="16384" width="8.83203125" style="254"/>
  </cols>
  <sheetData>
    <row r="1" spans="1:25" s="263" customFormat="1" x14ac:dyDescent="0.2">
      <c r="A1" s="259" t="s">
        <v>23</v>
      </c>
      <c r="B1" s="259" t="s">
        <v>24</v>
      </c>
      <c r="C1" s="259" t="s">
        <v>25</v>
      </c>
      <c r="D1" s="259" t="s">
        <v>26</v>
      </c>
      <c r="E1" s="259" t="s">
        <v>27</v>
      </c>
      <c r="F1" s="259" t="s">
        <v>28</v>
      </c>
      <c r="G1" s="259" t="s">
        <v>29</v>
      </c>
      <c r="H1" s="259" t="s">
        <v>30</v>
      </c>
      <c r="I1" s="259" t="s">
        <v>31</v>
      </c>
      <c r="J1" s="259" t="s">
        <v>32</v>
      </c>
      <c r="K1" s="259" t="s">
        <v>33</v>
      </c>
      <c r="L1" s="259" t="s">
        <v>34</v>
      </c>
      <c r="M1" s="261"/>
      <c r="N1" s="262" t="s">
        <v>23</v>
      </c>
      <c r="O1" s="319" t="s">
        <v>24</v>
      </c>
      <c r="P1" s="261" t="s">
        <v>25</v>
      </c>
      <c r="Q1" s="336" t="s">
        <v>26</v>
      </c>
      <c r="R1" s="319" t="s">
        <v>27</v>
      </c>
      <c r="S1" s="260" t="s">
        <v>28</v>
      </c>
      <c r="T1" s="259" t="s">
        <v>29</v>
      </c>
      <c r="U1" s="259" t="s">
        <v>30</v>
      </c>
      <c r="V1" s="259" t="s">
        <v>31</v>
      </c>
      <c r="W1" s="259" t="s">
        <v>32</v>
      </c>
      <c r="X1" s="261" t="s">
        <v>33</v>
      </c>
      <c r="Y1" s="262" t="s">
        <v>34</v>
      </c>
    </row>
    <row r="2" spans="1:25" x14ac:dyDescent="0.2">
      <c r="A2" s="254" t="s">
        <v>35</v>
      </c>
      <c r="B2" s="254" t="s">
        <v>36</v>
      </c>
      <c r="C2" s="254" t="s">
        <v>37</v>
      </c>
      <c r="D2" s="254" t="s">
        <v>38</v>
      </c>
      <c r="E2" s="254" t="s">
        <v>39</v>
      </c>
      <c r="F2" s="254" t="s">
        <v>40</v>
      </c>
      <c r="G2" s="254" t="s">
        <v>41</v>
      </c>
      <c r="H2" s="254" t="s">
        <v>42</v>
      </c>
      <c r="I2" s="254" t="s">
        <v>43</v>
      </c>
      <c r="J2" s="254" t="s">
        <v>44</v>
      </c>
      <c r="K2" s="254" t="s">
        <v>45</v>
      </c>
      <c r="L2" s="254" t="s">
        <v>46</v>
      </c>
      <c r="N2" s="255" t="s">
        <v>47</v>
      </c>
      <c r="O2" s="255" t="s">
        <v>48</v>
      </c>
      <c r="P2" s="255" t="s">
        <v>49</v>
      </c>
      <c r="Q2" s="337" t="s">
        <v>50</v>
      </c>
      <c r="R2" s="255" t="s">
        <v>51</v>
      </c>
      <c r="S2" s="256" t="s">
        <v>52</v>
      </c>
      <c r="T2" s="255" t="s">
        <v>53</v>
      </c>
      <c r="U2" s="255" t="s">
        <v>54</v>
      </c>
      <c r="V2" s="255" t="s">
        <v>55</v>
      </c>
      <c r="W2" s="255" t="s">
        <v>56</v>
      </c>
      <c r="X2" s="255" t="s">
        <v>57</v>
      </c>
      <c r="Y2" s="255" t="s">
        <v>58</v>
      </c>
    </row>
    <row r="3" spans="1:25" x14ac:dyDescent="0.2">
      <c r="A3" s="254" t="s">
        <v>59</v>
      </c>
      <c r="B3" s="254" t="s">
        <v>60</v>
      </c>
      <c r="C3" s="254" t="s">
        <v>61</v>
      </c>
      <c r="D3" s="254" t="s">
        <v>62</v>
      </c>
      <c r="E3" s="254" t="s">
        <v>63</v>
      </c>
      <c r="F3" s="254" t="s">
        <v>64</v>
      </c>
      <c r="G3" s="254" t="s">
        <v>65</v>
      </c>
      <c r="H3" s="254" t="s">
        <v>66</v>
      </c>
      <c r="I3" s="254" t="s">
        <v>67</v>
      </c>
      <c r="J3" s="254" t="s">
        <v>68</v>
      </c>
      <c r="K3" s="254" t="s">
        <v>69</v>
      </c>
      <c r="L3" s="254" t="s">
        <v>70</v>
      </c>
      <c r="N3" s="255" t="s">
        <v>71</v>
      </c>
      <c r="O3" s="255" t="s">
        <v>72</v>
      </c>
      <c r="P3" s="255" t="s">
        <v>73</v>
      </c>
      <c r="Q3" s="337" t="s">
        <v>74</v>
      </c>
      <c r="R3" s="255" t="s">
        <v>75</v>
      </c>
      <c r="S3" s="256" t="s">
        <v>76</v>
      </c>
      <c r="T3" s="255" t="s">
        <v>77</v>
      </c>
      <c r="U3" s="255" t="s">
        <v>78</v>
      </c>
      <c r="V3" s="255" t="s">
        <v>79</v>
      </c>
      <c r="W3" s="255" t="s">
        <v>80</v>
      </c>
      <c r="X3" s="255" t="s">
        <v>81</v>
      </c>
      <c r="Y3" s="255" t="s">
        <v>82</v>
      </c>
    </row>
    <row r="4" spans="1:25" x14ac:dyDescent="0.2">
      <c r="A4" s="254" t="s">
        <v>83</v>
      </c>
      <c r="B4" s="254" t="s">
        <v>84</v>
      </c>
      <c r="C4" s="254" t="s">
        <v>85</v>
      </c>
      <c r="D4" s="254" t="s">
        <v>86</v>
      </c>
      <c r="E4" s="254" t="s">
        <v>87</v>
      </c>
      <c r="F4" s="254" t="s">
        <v>88</v>
      </c>
      <c r="G4" s="254" t="s">
        <v>89</v>
      </c>
      <c r="H4" s="254" t="s">
        <v>90</v>
      </c>
      <c r="I4" s="254" t="s">
        <v>91</v>
      </c>
      <c r="J4" s="254" t="s">
        <v>92</v>
      </c>
      <c r="K4" s="254" t="s">
        <v>93</v>
      </c>
      <c r="L4" s="254" t="s">
        <v>94</v>
      </c>
      <c r="N4" s="255" t="s">
        <v>95</v>
      </c>
      <c r="O4" s="255" t="s">
        <v>96</v>
      </c>
      <c r="P4" s="255" t="s">
        <v>97</v>
      </c>
      <c r="Q4" s="337" t="s">
        <v>98</v>
      </c>
      <c r="R4" s="255" t="s">
        <v>99</v>
      </c>
      <c r="S4" s="255" t="s">
        <v>100</v>
      </c>
      <c r="T4" s="255" t="s">
        <v>101</v>
      </c>
      <c r="U4" s="324" t="s">
        <v>1381</v>
      </c>
      <c r="V4" s="255" t="s">
        <v>103</v>
      </c>
      <c r="W4" s="255" t="s">
        <v>104</v>
      </c>
      <c r="X4" s="255" t="s">
        <v>105</v>
      </c>
      <c r="Y4" s="255" t="s">
        <v>106</v>
      </c>
    </row>
    <row r="5" spans="1:25" x14ac:dyDescent="0.2">
      <c r="A5" s="254" t="s">
        <v>107</v>
      </c>
      <c r="B5" s="254" t="s">
        <v>108</v>
      </c>
      <c r="C5" s="254" t="s">
        <v>109</v>
      </c>
      <c r="D5" s="254" t="s">
        <v>110</v>
      </c>
      <c r="E5" s="254" t="s">
        <v>111</v>
      </c>
      <c r="F5" s="254" t="s">
        <v>112</v>
      </c>
      <c r="G5" s="254" t="s">
        <v>113</v>
      </c>
      <c r="H5" s="254" t="s">
        <v>114</v>
      </c>
      <c r="I5" s="254" t="s">
        <v>115</v>
      </c>
      <c r="J5" s="254" t="s">
        <v>116</v>
      </c>
      <c r="K5" s="254" t="s">
        <v>117</v>
      </c>
      <c r="L5" s="254" t="s">
        <v>118</v>
      </c>
      <c r="N5" s="255" t="s">
        <v>119</v>
      </c>
      <c r="O5" s="255" t="s">
        <v>120</v>
      </c>
      <c r="P5" s="255" t="s">
        <v>121</v>
      </c>
      <c r="Q5" s="337" t="s">
        <v>122</v>
      </c>
      <c r="R5" s="255" t="s">
        <v>123</v>
      </c>
      <c r="S5" s="255" t="s">
        <v>124</v>
      </c>
      <c r="T5" s="255" t="s">
        <v>125</v>
      </c>
      <c r="U5" s="324" t="s">
        <v>1382</v>
      </c>
      <c r="V5" s="255" t="s">
        <v>127</v>
      </c>
      <c r="W5" s="255" t="s">
        <v>128</v>
      </c>
      <c r="X5" s="255" t="s">
        <v>129</v>
      </c>
      <c r="Y5" s="255" t="s">
        <v>130</v>
      </c>
    </row>
    <row r="6" spans="1:25" x14ac:dyDescent="0.2">
      <c r="A6" s="254" t="s">
        <v>131</v>
      </c>
      <c r="B6" s="254" t="s">
        <v>132</v>
      </c>
      <c r="C6" s="254" t="s">
        <v>133</v>
      </c>
      <c r="D6" s="254" t="s">
        <v>134</v>
      </c>
      <c r="E6" s="254" t="s">
        <v>135</v>
      </c>
      <c r="F6" s="254" t="s">
        <v>136</v>
      </c>
      <c r="G6" s="254" t="s">
        <v>137</v>
      </c>
      <c r="H6" s="254" t="s">
        <v>138</v>
      </c>
      <c r="I6" s="254" t="s">
        <v>139</v>
      </c>
      <c r="J6" s="254" t="s">
        <v>140</v>
      </c>
      <c r="K6" s="254" t="s">
        <v>141</v>
      </c>
      <c r="L6" s="254" t="s">
        <v>142</v>
      </c>
      <c r="N6" s="255" t="s">
        <v>143</v>
      </c>
      <c r="O6" s="255" t="s">
        <v>144</v>
      </c>
      <c r="P6" s="255" t="s">
        <v>145</v>
      </c>
      <c r="Q6" s="337" t="s">
        <v>146</v>
      </c>
      <c r="R6" s="255" t="s">
        <v>147</v>
      </c>
      <c r="S6" s="255" t="s">
        <v>148</v>
      </c>
      <c r="T6" s="255" t="s">
        <v>149</v>
      </c>
      <c r="U6" s="324" t="s">
        <v>1383</v>
      </c>
      <c r="V6" s="255" t="s">
        <v>151</v>
      </c>
      <c r="W6" s="255" t="s">
        <v>152</v>
      </c>
      <c r="X6" s="255" t="s">
        <v>153</v>
      </c>
      <c r="Y6" s="255" t="s">
        <v>154</v>
      </c>
    </row>
    <row r="7" spans="1:25" x14ac:dyDescent="0.2">
      <c r="A7" s="254" t="s">
        <v>155</v>
      </c>
      <c r="B7" s="254" t="s">
        <v>156</v>
      </c>
      <c r="C7" s="254" t="s">
        <v>157</v>
      </c>
      <c r="D7" s="254" t="s">
        <v>158</v>
      </c>
      <c r="E7" s="254" t="s">
        <v>159</v>
      </c>
      <c r="F7" s="254" t="s">
        <v>160</v>
      </c>
      <c r="G7" s="254" t="s">
        <v>161</v>
      </c>
      <c r="H7" s="254" t="s">
        <v>162</v>
      </c>
      <c r="I7" s="254" t="s">
        <v>163</v>
      </c>
      <c r="J7" s="254" t="s">
        <v>164</v>
      </c>
      <c r="K7" s="254" t="s">
        <v>165</v>
      </c>
      <c r="L7" s="254" t="s">
        <v>166</v>
      </c>
      <c r="N7" s="255" t="s">
        <v>167</v>
      </c>
      <c r="O7" s="255" t="s">
        <v>168</v>
      </c>
      <c r="P7" s="255" t="s">
        <v>169</v>
      </c>
      <c r="Q7" s="337" t="s">
        <v>170</v>
      </c>
      <c r="R7" s="255" t="s">
        <v>171</v>
      </c>
      <c r="S7" s="255" t="s">
        <v>172</v>
      </c>
      <c r="T7" s="255" t="s">
        <v>173</v>
      </c>
      <c r="U7" s="324" t="s">
        <v>1384</v>
      </c>
      <c r="V7" s="255" t="s">
        <v>175</v>
      </c>
      <c r="W7" s="255" t="s">
        <v>176</v>
      </c>
      <c r="X7" s="255" t="s">
        <v>177</v>
      </c>
      <c r="Y7" s="255" t="s">
        <v>178</v>
      </c>
    </row>
    <row r="8" spans="1:25" x14ac:dyDescent="0.2">
      <c r="A8" s="254" t="s">
        <v>179</v>
      </c>
      <c r="B8" s="254" t="s">
        <v>180</v>
      </c>
      <c r="C8" s="254" t="s">
        <v>181</v>
      </c>
      <c r="D8" s="254" t="s">
        <v>182</v>
      </c>
      <c r="E8" s="254" t="s">
        <v>183</v>
      </c>
      <c r="F8" s="254" t="s">
        <v>184</v>
      </c>
      <c r="G8" s="254" t="s">
        <v>185</v>
      </c>
      <c r="H8" s="254" t="s">
        <v>186</v>
      </c>
      <c r="I8" s="254" t="s">
        <v>187</v>
      </c>
      <c r="J8" s="254" t="s">
        <v>188</v>
      </c>
      <c r="K8" s="254" t="s">
        <v>189</v>
      </c>
      <c r="L8" s="254" t="s">
        <v>190</v>
      </c>
      <c r="N8" s="255" t="s">
        <v>191</v>
      </c>
      <c r="O8" s="255" t="s">
        <v>192</v>
      </c>
      <c r="P8" s="255" t="s">
        <v>193</v>
      </c>
      <c r="Q8" s="337" t="s">
        <v>194</v>
      </c>
      <c r="R8" s="255" t="s">
        <v>195</v>
      </c>
      <c r="S8" s="255" t="s">
        <v>196</v>
      </c>
      <c r="T8" s="255" t="s">
        <v>197</v>
      </c>
      <c r="U8" s="324" t="s">
        <v>1385</v>
      </c>
      <c r="V8" s="255" t="s">
        <v>199</v>
      </c>
      <c r="W8" s="255" t="s">
        <v>200</v>
      </c>
      <c r="X8" s="255" t="s">
        <v>201</v>
      </c>
      <c r="Y8" s="255" t="s">
        <v>202</v>
      </c>
    </row>
    <row r="9" spans="1:25" x14ac:dyDescent="0.2">
      <c r="A9" s="254" t="s">
        <v>203</v>
      </c>
      <c r="B9" s="254" t="s">
        <v>204</v>
      </c>
      <c r="C9" s="254" t="s">
        <v>205</v>
      </c>
      <c r="E9" s="254" t="s">
        <v>206</v>
      </c>
      <c r="F9" s="254" t="s">
        <v>207</v>
      </c>
      <c r="G9" s="254" t="s">
        <v>208</v>
      </c>
      <c r="H9" s="254" t="s">
        <v>209</v>
      </c>
      <c r="I9" s="254" t="s">
        <v>210</v>
      </c>
      <c r="J9" s="254" t="s">
        <v>211</v>
      </c>
      <c r="K9" s="254" t="s">
        <v>212</v>
      </c>
      <c r="L9" s="254" t="s">
        <v>213</v>
      </c>
      <c r="N9" s="255" t="s">
        <v>214</v>
      </c>
      <c r="O9" s="255" t="s">
        <v>215</v>
      </c>
      <c r="P9" s="255" t="s">
        <v>216</v>
      </c>
      <c r="Q9" s="337" t="s">
        <v>217</v>
      </c>
      <c r="R9" s="255" t="s">
        <v>218</v>
      </c>
      <c r="S9" s="255" t="s">
        <v>219</v>
      </c>
      <c r="T9" s="255" t="s">
        <v>220</v>
      </c>
      <c r="U9" s="324" t="s">
        <v>1386</v>
      </c>
      <c r="V9" s="255" t="s">
        <v>222</v>
      </c>
      <c r="W9" s="255" t="s">
        <v>223</v>
      </c>
      <c r="X9" s="255" t="s">
        <v>224</v>
      </c>
      <c r="Y9" s="255" t="s">
        <v>225</v>
      </c>
    </row>
    <row r="10" spans="1:25" x14ac:dyDescent="0.2">
      <c r="B10" s="254" t="s">
        <v>226</v>
      </c>
      <c r="C10" s="254" t="s">
        <v>227</v>
      </c>
      <c r="E10" s="254" t="s">
        <v>228</v>
      </c>
      <c r="F10" s="254" t="s">
        <v>229</v>
      </c>
      <c r="G10" s="254" t="s">
        <v>230</v>
      </c>
      <c r="H10" s="254" t="s">
        <v>231</v>
      </c>
      <c r="I10" s="254" t="s">
        <v>232</v>
      </c>
      <c r="K10" s="254" t="s">
        <v>233</v>
      </c>
      <c r="L10" s="254" t="s">
        <v>234</v>
      </c>
      <c r="N10" s="255" t="s">
        <v>235</v>
      </c>
      <c r="O10" s="255" t="s">
        <v>236</v>
      </c>
      <c r="P10" s="255" t="s">
        <v>237</v>
      </c>
      <c r="Q10" s="337" t="s">
        <v>238</v>
      </c>
      <c r="R10" s="255" t="s">
        <v>239</v>
      </c>
      <c r="S10" s="255" t="s">
        <v>240</v>
      </c>
      <c r="T10" s="255" t="s">
        <v>241</v>
      </c>
      <c r="U10" s="324" t="s">
        <v>1387</v>
      </c>
      <c r="V10" s="255" t="s">
        <v>243</v>
      </c>
      <c r="W10" s="255" t="s">
        <v>244</v>
      </c>
      <c r="X10" s="255" t="s">
        <v>245</v>
      </c>
      <c r="Y10" s="255" t="s">
        <v>246</v>
      </c>
    </row>
    <row r="11" spans="1:25" x14ac:dyDescent="0.2">
      <c r="B11" s="254" t="s">
        <v>247</v>
      </c>
      <c r="C11" s="254" t="s">
        <v>248</v>
      </c>
      <c r="E11" s="254" t="s">
        <v>249</v>
      </c>
      <c r="F11" s="254" t="s">
        <v>250</v>
      </c>
      <c r="G11" s="254" t="s">
        <v>251</v>
      </c>
      <c r="I11" s="254" t="s">
        <v>252</v>
      </c>
      <c r="K11" s="254" t="s">
        <v>253</v>
      </c>
      <c r="L11" s="254" t="s">
        <v>254</v>
      </c>
      <c r="N11" s="255" t="s">
        <v>255</v>
      </c>
      <c r="O11" s="255" t="s">
        <v>256</v>
      </c>
      <c r="P11" s="255" t="s">
        <v>257</v>
      </c>
      <c r="Q11" s="337" t="s">
        <v>258</v>
      </c>
      <c r="R11" s="255" t="s">
        <v>259</v>
      </c>
      <c r="S11" s="255" t="s">
        <v>260</v>
      </c>
      <c r="T11" s="255" t="s">
        <v>261</v>
      </c>
      <c r="U11" s="324" t="s">
        <v>1388</v>
      </c>
      <c r="V11" s="255" t="s">
        <v>263</v>
      </c>
      <c r="W11" s="255" t="s">
        <v>264</v>
      </c>
      <c r="X11" s="255" t="s">
        <v>265</v>
      </c>
      <c r="Y11" s="255" t="s">
        <v>266</v>
      </c>
    </row>
    <row r="12" spans="1:25" x14ac:dyDescent="0.2">
      <c r="B12" s="254" t="s">
        <v>267</v>
      </c>
      <c r="C12" s="254" t="s">
        <v>268</v>
      </c>
      <c r="E12" s="254" t="s">
        <v>269</v>
      </c>
      <c r="F12" s="254" t="s">
        <v>270</v>
      </c>
      <c r="G12" s="254" t="s">
        <v>271</v>
      </c>
      <c r="I12" s="254" t="s">
        <v>272</v>
      </c>
      <c r="K12" s="254" t="s">
        <v>273</v>
      </c>
      <c r="L12" s="254" t="s">
        <v>274</v>
      </c>
      <c r="N12" s="255" t="s">
        <v>275</v>
      </c>
      <c r="O12" s="255" t="s">
        <v>276</v>
      </c>
      <c r="P12" s="255" t="s">
        <v>277</v>
      </c>
      <c r="Q12" s="337" t="s">
        <v>278</v>
      </c>
      <c r="R12" s="255" t="s">
        <v>279</v>
      </c>
      <c r="S12" s="255" t="s">
        <v>280</v>
      </c>
      <c r="T12" s="255" t="s">
        <v>281</v>
      </c>
      <c r="U12" s="255" t="s">
        <v>102</v>
      </c>
      <c r="V12" s="255" t="s">
        <v>283</v>
      </c>
      <c r="W12" s="255" t="s">
        <v>284</v>
      </c>
      <c r="X12" s="255" t="s">
        <v>285</v>
      </c>
      <c r="Y12" s="255" t="s">
        <v>286</v>
      </c>
    </row>
    <row r="13" spans="1:25" x14ac:dyDescent="0.2">
      <c r="B13" s="254" t="s">
        <v>287</v>
      </c>
      <c r="C13" s="254" t="s">
        <v>288</v>
      </c>
      <c r="E13" s="254" t="s">
        <v>289</v>
      </c>
      <c r="G13" s="254" t="s">
        <v>290</v>
      </c>
      <c r="I13" s="254" t="s">
        <v>291</v>
      </c>
      <c r="K13" s="254" t="s">
        <v>292</v>
      </c>
      <c r="L13" s="254" t="s">
        <v>293</v>
      </c>
      <c r="N13" s="255" t="s">
        <v>294</v>
      </c>
      <c r="O13" s="255" t="s">
        <v>295</v>
      </c>
      <c r="P13" s="255" t="s">
        <v>296</v>
      </c>
      <c r="Q13" s="337" t="s">
        <v>297</v>
      </c>
      <c r="R13" s="255" t="s">
        <v>298</v>
      </c>
      <c r="S13" s="255" t="s">
        <v>299</v>
      </c>
      <c r="T13" s="255" t="s">
        <v>300</v>
      </c>
      <c r="U13" s="255" t="s">
        <v>126</v>
      </c>
      <c r="V13" s="255" t="s">
        <v>302</v>
      </c>
      <c r="W13" s="255" t="s">
        <v>303</v>
      </c>
      <c r="X13" s="255" t="s">
        <v>117</v>
      </c>
      <c r="Y13" s="255" t="s">
        <v>304</v>
      </c>
    </row>
    <row r="14" spans="1:25" x14ac:dyDescent="0.2">
      <c r="E14" s="254" t="s">
        <v>305</v>
      </c>
      <c r="G14" s="254" t="s">
        <v>306</v>
      </c>
      <c r="K14" s="254" t="s">
        <v>307</v>
      </c>
      <c r="L14" s="254" t="s">
        <v>308</v>
      </c>
      <c r="N14" s="255" t="s">
        <v>309</v>
      </c>
      <c r="O14" s="255" t="s">
        <v>310</v>
      </c>
      <c r="P14" s="255" t="s">
        <v>311</v>
      </c>
      <c r="Q14" s="337" t="s">
        <v>312</v>
      </c>
      <c r="R14" s="255" t="s">
        <v>313</v>
      </c>
      <c r="S14" s="255" t="s">
        <v>314</v>
      </c>
      <c r="T14" s="255" t="s">
        <v>315</v>
      </c>
      <c r="U14" s="255" t="s">
        <v>150</v>
      </c>
      <c r="V14" s="255" t="s">
        <v>317</v>
      </c>
      <c r="W14" s="255" t="s">
        <v>318</v>
      </c>
      <c r="X14" s="255" t="s">
        <v>319</v>
      </c>
      <c r="Y14" s="255" t="s">
        <v>320</v>
      </c>
    </row>
    <row r="15" spans="1:25" x14ac:dyDescent="0.2">
      <c r="E15" s="254" t="s">
        <v>321</v>
      </c>
      <c r="G15" s="254" t="s">
        <v>322</v>
      </c>
      <c r="K15" s="254" t="s">
        <v>323</v>
      </c>
      <c r="L15" s="254" t="s">
        <v>324</v>
      </c>
      <c r="N15" s="255" t="s">
        <v>325</v>
      </c>
      <c r="O15" s="255" t="s">
        <v>326</v>
      </c>
      <c r="P15" s="255" t="s">
        <v>327</v>
      </c>
      <c r="Q15" s="337" t="s">
        <v>328</v>
      </c>
      <c r="R15" s="255" t="s">
        <v>329</v>
      </c>
      <c r="S15" s="255" t="s">
        <v>330</v>
      </c>
      <c r="T15" s="255" t="s">
        <v>331</v>
      </c>
      <c r="U15" s="255" t="s">
        <v>174</v>
      </c>
      <c r="V15" s="255" t="s">
        <v>333</v>
      </c>
      <c r="W15" s="255" t="s">
        <v>334</v>
      </c>
      <c r="X15" s="255" t="s">
        <v>335</v>
      </c>
      <c r="Y15" s="255" t="s">
        <v>336</v>
      </c>
    </row>
    <row r="16" spans="1:25" x14ac:dyDescent="0.2">
      <c r="E16" s="254" t="s">
        <v>337</v>
      </c>
      <c r="G16" s="254" t="s">
        <v>338</v>
      </c>
      <c r="L16" s="254" t="s">
        <v>339</v>
      </c>
      <c r="N16" s="255" t="s">
        <v>340</v>
      </c>
      <c r="O16" s="255" t="s">
        <v>341</v>
      </c>
      <c r="P16" s="255" t="s">
        <v>342</v>
      </c>
      <c r="Q16" s="337" t="s">
        <v>343</v>
      </c>
      <c r="R16" s="255" t="s">
        <v>344</v>
      </c>
      <c r="S16" s="255" t="s">
        <v>345</v>
      </c>
      <c r="T16" s="255" t="s">
        <v>346</v>
      </c>
      <c r="U16" s="255" t="s">
        <v>198</v>
      </c>
      <c r="V16" s="255" t="s">
        <v>348</v>
      </c>
      <c r="W16" s="255" t="s">
        <v>349</v>
      </c>
      <c r="X16" s="255" t="s">
        <v>350</v>
      </c>
      <c r="Y16" s="255" t="s">
        <v>351</v>
      </c>
    </row>
    <row r="17" spans="5:25" x14ac:dyDescent="0.2">
      <c r="E17" s="254" t="s">
        <v>352</v>
      </c>
      <c r="G17" s="254" t="s">
        <v>353</v>
      </c>
      <c r="L17" s="254" t="s">
        <v>354</v>
      </c>
      <c r="N17" s="255" t="s">
        <v>355</v>
      </c>
      <c r="O17" s="255" t="s">
        <v>356</v>
      </c>
      <c r="P17" s="255" t="s">
        <v>357</v>
      </c>
      <c r="Q17" s="337" t="s">
        <v>358</v>
      </c>
      <c r="R17" s="255" t="s">
        <v>359</v>
      </c>
      <c r="S17" s="255" t="s">
        <v>360</v>
      </c>
      <c r="T17" s="255" t="s">
        <v>361</v>
      </c>
      <c r="U17" s="255" t="s">
        <v>221</v>
      </c>
      <c r="V17" s="255" t="s">
        <v>363</v>
      </c>
      <c r="W17" s="255" t="s">
        <v>364</v>
      </c>
      <c r="X17" s="255" t="s">
        <v>365</v>
      </c>
      <c r="Y17" s="255" t="s">
        <v>366</v>
      </c>
    </row>
    <row r="18" spans="5:25" x14ac:dyDescent="0.2">
      <c r="E18" s="254" t="s">
        <v>367</v>
      </c>
      <c r="G18" s="254" t="s">
        <v>368</v>
      </c>
      <c r="L18" s="254" t="s">
        <v>369</v>
      </c>
      <c r="N18" s="255" t="s">
        <v>370</v>
      </c>
      <c r="O18" s="255" t="s">
        <v>371</v>
      </c>
      <c r="P18" s="255" t="s">
        <v>372</v>
      </c>
      <c r="Q18" s="337" t="s">
        <v>373</v>
      </c>
      <c r="R18" s="255" t="s">
        <v>374</v>
      </c>
      <c r="S18" s="255" t="s">
        <v>375</v>
      </c>
      <c r="T18" s="255" t="s">
        <v>376</v>
      </c>
      <c r="U18" s="255" t="s">
        <v>242</v>
      </c>
      <c r="V18" s="255" t="s">
        <v>378</v>
      </c>
      <c r="W18" s="255" t="s">
        <v>379</v>
      </c>
      <c r="X18" s="255" t="s">
        <v>380</v>
      </c>
      <c r="Y18" s="255" t="s">
        <v>381</v>
      </c>
    </row>
    <row r="19" spans="5:25" x14ac:dyDescent="0.2">
      <c r="E19" s="254" t="s">
        <v>382</v>
      </c>
      <c r="G19" s="254" t="s">
        <v>383</v>
      </c>
      <c r="N19" s="255" t="s">
        <v>384</v>
      </c>
      <c r="O19" s="255" t="s">
        <v>385</v>
      </c>
      <c r="P19" s="255" t="s">
        <v>386</v>
      </c>
      <c r="Q19" s="337" t="s">
        <v>387</v>
      </c>
      <c r="R19" s="255" t="s">
        <v>388</v>
      </c>
      <c r="S19" s="255" t="s">
        <v>389</v>
      </c>
      <c r="T19" s="255" t="s">
        <v>390</v>
      </c>
      <c r="U19" s="255" t="s">
        <v>262</v>
      </c>
      <c r="V19" s="255" t="s">
        <v>392</v>
      </c>
      <c r="W19" s="255" t="s">
        <v>393</v>
      </c>
      <c r="X19" s="255" t="s">
        <v>394</v>
      </c>
      <c r="Y19" s="255" t="s">
        <v>395</v>
      </c>
    </row>
    <row r="20" spans="5:25" x14ac:dyDescent="0.2">
      <c r="E20" s="254" t="s">
        <v>396</v>
      </c>
      <c r="G20" s="254" t="s">
        <v>397</v>
      </c>
      <c r="N20" s="255" t="s">
        <v>398</v>
      </c>
      <c r="O20" s="255" t="s">
        <v>399</v>
      </c>
      <c r="P20" s="255" t="s">
        <v>400</v>
      </c>
      <c r="Q20" s="337" t="s">
        <v>401</v>
      </c>
      <c r="R20" s="255" t="s">
        <v>402</v>
      </c>
      <c r="S20" s="255" t="s">
        <v>403</v>
      </c>
      <c r="T20" s="255" t="s">
        <v>404</v>
      </c>
      <c r="U20" s="255" t="s">
        <v>282</v>
      </c>
      <c r="V20" s="255" t="s">
        <v>406</v>
      </c>
      <c r="W20" s="255" t="s">
        <v>407</v>
      </c>
      <c r="X20" s="255" t="s">
        <v>408</v>
      </c>
      <c r="Y20" s="255" t="s">
        <v>409</v>
      </c>
    </row>
    <row r="21" spans="5:25" x14ac:dyDescent="0.2">
      <c r="E21" s="254" t="s">
        <v>410</v>
      </c>
      <c r="N21" s="255" t="s">
        <v>411</v>
      </c>
      <c r="O21" s="255" t="s">
        <v>412</v>
      </c>
      <c r="P21" s="255" t="s">
        <v>413</v>
      </c>
      <c r="Q21" s="337" t="s">
        <v>414</v>
      </c>
      <c r="R21" s="255" t="s">
        <v>415</v>
      </c>
      <c r="S21" s="255" t="s">
        <v>416</v>
      </c>
      <c r="T21" s="255" t="s">
        <v>417</v>
      </c>
      <c r="U21" s="255" t="s">
        <v>301</v>
      </c>
      <c r="V21" s="255" t="s">
        <v>419</v>
      </c>
      <c r="W21" s="255" t="s">
        <v>420</v>
      </c>
      <c r="X21" s="255" t="s">
        <v>421</v>
      </c>
      <c r="Y21" s="255" t="s">
        <v>422</v>
      </c>
    </row>
    <row r="22" spans="5:25" x14ac:dyDescent="0.2">
      <c r="E22" s="254" t="s">
        <v>423</v>
      </c>
      <c r="N22" s="255" t="s">
        <v>424</v>
      </c>
      <c r="O22" s="255" t="s">
        <v>425</v>
      </c>
      <c r="P22" s="255" t="s">
        <v>426</v>
      </c>
      <c r="Q22" s="337" t="s">
        <v>427</v>
      </c>
      <c r="R22" s="255" t="s">
        <v>428</v>
      </c>
      <c r="S22" s="255" t="s">
        <v>429</v>
      </c>
      <c r="T22" s="255" t="s">
        <v>430</v>
      </c>
      <c r="U22" s="255" t="s">
        <v>316</v>
      </c>
      <c r="V22" s="255" t="s">
        <v>432</v>
      </c>
      <c r="W22" s="255" t="s">
        <v>433</v>
      </c>
      <c r="X22" s="255" t="s">
        <v>434</v>
      </c>
      <c r="Y22" s="255" t="s">
        <v>435</v>
      </c>
    </row>
    <row r="23" spans="5:25" x14ac:dyDescent="0.2">
      <c r="E23" s="254" t="s">
        <v>436</v>
      </c>
      <c r="N23" s="255" t="s">
        <v>437</v>
      </c>
      <c r="O23" s="255" t="s">
        <v>438</v>
      </c>
      <c r="P23" s="255" t="s">
        <v>439</v>
      </c>
      <c r="Q23" s="337" t="s">
        <v>50</v>
      </c>
      <c r="R23" s="255" t="s">
        <v>440</v>
      </c>
      <c r="S23" s="255" t="s">
        <v>441</v>
      </c>
      <c r="T23" s="255" t="s">
        <v>442</v>
      </c>
      <c r="U23" s="255" t="s">
        <v>332</v>
      </c>
      <c r="V23" s="255" t="s">
        <v>444</v>
      </c>
      <c r="W23" s="255" t="s">
        <v>445</v>
      </c>
      <c r="X23" s="255" t="s">
        <v>446</v>
      </c>
      <c r="Y23" s="255" t="s">
        <v>447</v>
      </c>
    </row>
    <row r="24" spans="5:25" x14ac:dyDescent="0.2">
      <c r="E24" s="254" t="s">
        <v>448</v>
      </c>
      <c r="N24" s="255" t="s">
        <v>449</v>
      </c>
      <c r="O24" s="255" t="s">
        <v>450</v>
      </c>
      <c r="P24" s="255" t="s">
        <v>451</v>
      </c>
      <c r="Q24" s="337" t="s">
        <v>452</v>
      </c>
      <c r="R24" s="255" t="s">
        <v>453</v>
      </c>
      <c r="S24" s="255" t="s">
        <v>454</v>
      </c>
      <c r="T24" s="255" t="s">
        <v>455</v>
      </c>
      <c r="U24" s="255" t="s">
        <v>347</v>
      </c>
      <c r="V24" s="255" t="s">
        <v>457</v>
      </c>
      <c r="W24" s="255" t="s">
        <v>458</v>
      </c>
      <c r="X24" s="255" t="s">
        <v>459</v>
      </c>
      <c r="Y24" s="255" t="s">
        <v>460</v>
      </c>
    </row>
    <row r="25" spans="5:25" x14ac:dyDescent="0.2">
      <c r="E25" s="254" t="s">
        <v>461</v>
      </c>
      <c r="N25" s="255" t="s">
        <v>462</v>
      </c>
      <c r="O25" s="255" t="s">
        <v>463</v>
      </c>
      <c r="P25" s="255" t="s">
        <v>464</v>
      </c>
      <c r="Q25" s="337" t="s">
        <v>465</v>
      </c>
      <c r="R25" s="255" t="s">
        <v>466</v>
      </c>
      <c r="S25" s="255" t="s">
        <v>467</v>
      </c>
      <c r="T25" s="255" t="s">
        <v>468</v>
      </c>
      <c r="U25" s="255" t="s">
        <v>362</v>
      </c>
      <c r="V25" s="255" t="s">
        <v>470</v>
      </c>
      <c r="W25" s="255" t="s">
        <v>471</v>
      </c>
      <c r="X25" s="255" t="s">
        <v>472</v>
      </c>
      <c r="Y25" s="255" t="s">
        <v>473</v>
      </c>
    </row>
    <row r="26" spans="5:25" x14ac:dyDescent="0.2">
      <c r="N26" s="255" t="s">
        <v>474</v>
      </c>
      <c r="O26" s="255" t="s">
        <v>475</v>
      </c>
      <c r="P26" s="255" t="s">
        <v>476</v>
      </c>
      <c r="Q26" s="337" t="s">
        <v>477</v>
      </c>
      <c r="R26" s="255" t="s">
        <v>478</v>
      </c>
      <c r="S26" s="255" t="s">
        <v>479</v>
      </c>
      <c r="T26" s="255" t="s">
        <v>480</v>
      </c>
      <c r="U26" s="255" t="s">
        <v>377</v>
      </c>
      <c r="V26" s="255" t="s">
        <v>482</v>
      </c>
      <c r="W26" s="255" t="s">
        <v>483</v>
      </c>
      <c r="X26" s="255" t="s">
        <v>484</v>
      </c>
      <c r="Y26" s="255" t="s">
        <v>485</v>
      </c>
    </row>
    <row r="27" spans="5:25" x14ac:dyDescent="0.2">
      <c r="N27" s="255" t="s">
        <v>486</v>
      </c>
      <c r="O27" s="255" t="s">
        <v>487</v>
      </c>
      <c r="P27" s="255" t="s">
        <v>488</v>
      </c>
      <c r="Q27" s="337" t="s">
        <v>489</v>
      </c>
      <c r="R27" s="255" t="s">
        <v>490</v>
      </c>
      <c r="S27" s="255" t="s">
        <v>491</v>
      </c>
      <c r="T27" s="255" t="s">
        <v>492</v>
      </c>
      <c r="U27" s="255" t="s">
        <v>391</v>
      </c>
      <c r="V27" s="255" t="s">
        <v>494</v>
      </c>
      <c r="W27" s="255" t="s">
        <v>495</v>
      </c>
      <c r="X27" s="255" t="s">
        <v>496</v>
      </c>
      <c r="Y27" s="255" t="s">
        <v>497</v>
      </c>
    </row>
    <row r="28" spans="5:25" x14ac:dyDescent="0.2">
      <c r="N28" s="255" t="s">
        <v>498</v>
      </c>
      <c r="O28" s="255" t="s">
        <v>499</v>
      </c>
      <c r="P28" s="255" t="s">
        <v>500</v>
      </c>
      <c r="Q28" s="337" t="s">
        <v>501</v>
      </c>
      <c r="R28" s="255" t="s">
        <v>502</v>
      </c>
      <c r="S28" s="255" t="s">
        <v>503</v>
      </c>
      <c r="T28" s="255" t="s">
        <v>504</v>
      </c>
      <c r="U28" s="255" t="s">
        <v>405</v>
      </c>
      <c r="V28" s="255" t="s">
        <v>506</v>
      </c>
      <c r="W28" s="255" t="s">
        <v>507</v>
      </c>
      <c r="X28" s="255" t="s">
        <v>508</v>
      </c>
      <c r="Y28" s="255" t="s">
        <v>509</v>
      </c>
    </row>
    <row r="29" spans="5:25" x14ac:dyDescent="0.2">
      <c r="N29" s="255" t="s">
        <v>510</v>
      </c>
      <c r="O29" s="255" t="s">
        <v>511</v>
      </c>
      <c r="P29" s="255" t="s">
        <v>512</v>
      </c>
      <c r="Q29" s="337" t="s">
        <v>513</v>
      </c>
      <c r="R29" s="255" t="s">
        <v>514</v>
      </c>
      <c r="S29" s="255" t="s">
        <v>515</v>
      </c>
      <c r="T29" s="255" t="s">
        <v>516</v>
      </c>
      <c r="U29" s="255" t="s">
        <v>418</v>
      </c>
      <c r="V29" s="255" t="s">
        <v>518</v>
      </c>
      <c r="W29" s="255" t="s">
        <v>519</v>
      </c>
      <c r="X29" s="255" t="s">
        <v>520</v>
      </c>
      <c r="Y29" s="255" t="s">
        <v>521</v>
      </c>
    </row>
    <row r="30" spans="5:25" x14ac:dyDescent="0.2">
      <c r="N30" s="255" t="s">
        <v>522</v>
      </c>
      <c r="O30" s="255" t="s">
        <v>523</v>
      </c>
      <c r="P30" s="255" t="s">
        <v>524</v>
      </c>
      <c r="Q30" s="337" t="s">
        <v>525</v>
      </c>
      <c r="R30" s="255" t="s">
        <v>526</v>
      </c>
      <c r="S30" s="255" t="s">
        <v>527</v>
      </c>
      <c r="T30" s="255" t="s">
        <v>528</v>
      </c>
      <c r="U30" s="255" t="s">
        <v>431</v>
      </c>
      <c r="V30" s="255" t="s">
        <v>530</v>
      </c>
      <c r="W30" s="255" t="s">
        <v>531</v>
      </c>
      <c r="X30" s="255" t="s">
        <v>532</v>
      </c>
      <c r="Y30" s="255" t="s">
        <v>533</v>
      </c>
    </row>
    <row r="31" spans="5:25" x14ac:dyDescent="0.2">
      <c r="N31" s="255" t="s">
        <v>534</v>
      </c>
      <c r="O31" s="255" t="s">
        <v>535</v>
      </c>
      <c r="P31" s="255" t="s">
        <v>536</v>
      </c>
      <c r="Q31" s="337" t="s">
        <v>537</v>
      </c>
      <c r="R31" s="255" t="s">
        <v>538</v>
      </c>
      <c r="S31" s="255" t="s">
        <v>539</v>
      </c>
      <c r="T31" s="255" t="s">
        <v>540</v>
      </c>
      <c r="U31" s="255" t="s">
        <v>443</v>
      </c>
      <c r="V31" s="255" t="s">
        <v>542</v>
      </c>
      <c r="W31" s="255" t="s">
        <v>543</v>
      </c>
      <c r="X31" s="255" t="s">
        <v>544</v>
      </c>
      <c r="Y31" s="255" t="s">
        <v>545</v>
      </c>
    </row>
    <row r="32" spans="5:25" x14ac:dyDescent="0.2">
      <c r="N32" s="255" t="s">
        <v>546</v>
      </c>
      <c r="O32" s="255" t="s">
        <v>547</v>
      </c>
      <c r="P32" s="255" t="s">
        <v>548</v>
      </c>
      <c r="Q32" s="337" t="s">
        <v>549</v>
      </c>
      <c r="R32" s="255" t="s">
        <v>550</v>
      </c>
      <c r="S32" s="255" t="s">
        <v>551</v>
      </c>
      <c r="T32" s="255" t="s">
        <v>552</v>
      </c>
      <c r="U32" s="255" t="s">
        <v>456</v>
      </c>
      <c r="V32" s="255" t="s">
        <v>554</v>
      </c>
      <c r="W32" s="255" t="s">
        <v>555</v>
      </c>
      <c r="X32" s="255" t="s">
        <v>556</v>
      </c>
      <c r="Y32" s="255" t="s">
        <v>557</v>
      </c>
    </row>
    <row r="33" spans="14:25" x14ac:dyDescent="0.2">
      <c r="N33" s="255" t="s">
        <v>558</v>
      </c>
      <c r="O33" s="255" t="s">
        <v>559</v>
      </c>
      <c r="P33" s="255" t="s">
        <v>560</v>
      </c>
      <c r="Q33" s="337" t="s">
        <v>561</v>
      </c>
      <c r="R33" s="255" t="s">
        <v>562</v>
      </c>
      <c r="S33" s="255" t="s">
        <v>563</v>
      </c>
      <c r="T33" s="255" t="s">
        <v>564</v>
      </c>
      <c r="U33" s="324" t="s">
        <v>1389</v>
      </c>
      <c r="V33" s="255" t="s">
        <v>566</v>
      </c>
      <c r="W33" s="255" t="s">
        <v>567</v>
      </c>
      <c r="X33" s="255" t="s">
        <v>568</v>
      </c>
      <c r="Y33" s="255" t="s">
        <v>569</v>
      </c>
    </row>
    <row r="34" spans="14:25" x14ac:dyDescent="0.2">
      <c r="N34" s="255" t="s">
        <v>570</v>
      </c>
      <c r="O34" s="255" t="s">
        <v>571</v>
      </c>
      <c r="P34" s="255" t="s">
        <v>572</v>
      </c>
      <c r="Q34" s="337" t="s">
        <v>573</v>
      </c>
      <c r="R34" s="255" t="s">
        <v>574</v>
      </c>
      <c r="S34" s="255" t="s">
        <v>575</v>
      </c>
      <c r="T34" s="255" t="s">
        <v>576</v>
      </c>
      <c r="U34" s="324" t="s">
        <v>1390</v>
      </c>
      <c r="V34" s="255" t="s">
        <v>578</v>
      </c>
      <c r="W34" s="255" t="s">
        <v>579</v>
      </c>
      <c r="X34" s="255" t="s">
        <v>580</v>
      </c>
      <c r="Y34" s="255" t="s">
        <v>581</v>
      </c>
    </row>
    <row r="35" spans="14:25" x14ac:dyDescent="0.2">
      <c r="N35" s="255" t="s">
        <v>582</v>
      </c>
      <c r="O35" s="255" t="s">
        <v>583</v>
      </c>
      <c r="P35" s="255" t="s">
        <v>584</v>
      </c>
      <c r="Q35" s="337" t="s">
        <v>585</v>
      </c>
      <c r="R35" s="255" t="s">
        <v>586</v>
      </c>
      <c r="S35" s="255" t="s">
        <v>587</v>
      </c>
      <c r="T35" s="255" t="s">
        <v>588</v>
      </c>
      <c r="U35" s="324" t="s">
        <v>1391</v>
      </c>
      <c r="V35" s="255" t="s">
        <v>590</v>
      </c>
      <c r="W35" s="255" t="s">
        <v>591</v>
      </c>
      <c r="X35" s="255" t="s">
        <v>592</v>
      </c>
      <c r="Y35" s="255" t="s">
        <v>593</v>
      </c>
    </row>
    <row r="36" spans="14:25" x14ac:dyDescent="0.2">
      <c r="N36" s="255" t="s">
        <v>594</v>
      </c>
      <c r="O36" s="255" t="s">
        <v>595</v>
      </c>
      <c r="P36" s="255" t="s">
        <v>596</v>
      </c>
      <c r="Q36" s="338" t="s">
        <v>1433</v>
      </c>
      <c r="R36" s="255" t="s">
        <v>597</v>
      </c>
      <c r="S36" s="256" t="s">
        <v>598</v>
      </c>
      <c r="T36" s="255" t="s">
        <v>599</v>
      </c>
      <c r="U36" s="324" t="s">
        <v>1392</v>
      </c>
      <c r="W36" s="255" t="s">
        <v>601</v>
      </c>
      <c r="X36" s="255" t="s">
        <v>602</v>
      </c>
      <c r="Y36" s="255" t="s">
        <v>603</v>
      </c>
    </row>
    <row r="37" spans="14:25" x14ac:dyDescent="0.2">
      <c r="N37" s="255" t="s">
        <v>604</v>
      </c>
      <c r="O37" s="255" t="s">
        <v>605</v>
      </c>
      <c r="P37" s="255" t="s">
        <v>606</v>
      </c>
      <c r="R37" s="255" t="s">
        <v>607</v>
      </c>
      <c r="S37" s="255" t="s">
        <v>608</v>
      </c>
      <c r="T37" s="255" t="s">
        <v>609</v>
      </c>
      <c r="U37" s="324" t="s">
        <v>1393</v>
      </c>
      <c r="W37" s="255" t="s">
        <v>611</v>
      </c>
      <c r="X37" s="255" t="s">
        <v>612</v>
      </c>
      <c r="Y37" s="255" t="s">
        <v>613</v>
      </c>
    </row>
    <row r="38" spans="14:25" x14ac:dyDescent="0.2">
      <c r="N38" s="255" t="s">
        <v>614</v>
      </c>
      <c r="O38" s="255" t="s">
        <v>615</v>
      </c>
      <c r="P38" s="255" t="s">
        <v>616</v>
      </c>
      <c r="R38" s="255" t="s">
        <v>617</v>
      </c>
      <c r="S38" s="255" t="s">
        <v>618</v>
      </c>
      <c r="T38" s="255" t="s">
        <v>619</v>
      </c>
      <c r="U38" s="324" t="s">
        <v>1394</v>
      </c>
      <c r="W38" s="255" t="s">
        <v>621</v>
      </c>
      <c r="X38" s="255" t="s">
        <v>622</v>
      </c>
      <c r="Y38" s="255" t="s">
        <v>623</v>
      </c>
    </row>
    <row r="39" spans="14:25" x14ac:dyDescent="0.2">
      <c r="N39" s="255" t="s">
        <v>624</v>
      </c>
      <c r="O39" s="255" t="s">
        <v>625</v>
      </c>
      <c r="P39" s="255" t="s">
        <v>626</v>
      </c>
      <c r="R39" s="255" t="s">
        <v>627</v>
      </c>
      <c r="S39" s="255" t="s">
        <v>628</v>
      </c>
      <c r="T39" s="255" t="s">
        <v>629</v>
      </c>
      <c r="U39" s="324" t="s">
        <v>1395</v>
      </c>
      <c r="W39" s="255" t="s">
        <v>631</v>
      </c>
      <c r="X39" s="255" t="s">
        <v>632</v>
      </c>
      <c r="Y39" s="255" t="s">
        <v>633</v>
      </c>
    </row>
    <row r="40" spans="14:25" x14ac:dyDescent="0.2">
      <c r="N40" s="255" t="s">
        <v>634</v>
      </c>
      <c r="O40" s="255" t="s">
        <v>635</v>
      </c>
      <c r="P40" s="255" t="s">
        <v>636</v>
      </c>
      <c r="R40" s="255" t="s">
        <v>637</v>
      </c>
      <c r="S40" s="255" t="s">
        <v>638</v>
      </c>
      <c r="T40" s="255" t="s">
        <v>639</v>
      </c>
      <c r="U40" s="324" t="s">
        <v>1396</v>
      </c>
      <c r="W40" s="255" t="s">
        <v>641</v>
      </c>
      <c r="X40" s="255" t="s">
        <v>642</v>
      </c>
      <c r="Y40" s="255" t="s">
        <v>643</v>
      </c>
    </row>
    <row r="41" spans="14:25" x14ac:dyDescent="0.2">
      <c r="N41" s="255" t="s">
        <v>644</v>
      </c>
      <c r="O41" s="255" t="s">
        <v>645</v>
      </c>
      <c r="P41" s="255" t="s">
        <v>646</v>
      </c>
      <c r="R41" s="255" t="s">
        <v>647</v>
      </c>
      <c r="S41" s="255" t="s">
        <v>648</v>
      </c>
      <c r="T41" s="255" t="s">
        <v>649</v>
      </c>
      <c r="U41" s="324" t="s">
        <v>1397</v>
      </c>
      <c r="W41" s="255" t="s">
        <v>651</v>
      </c>
      <c r="X41" s="255" t="s">
        <v>652</v>
      </c>
      <c r="Y41" s="255" t="s">
        <v>653</v>
      </c>
    </row>
    <row r="42" spans="14:25" x14ac:dyDescent="0.2">
      <c r="N42" s="255" t="s">
        <v>654</v>
      </c>
      <c r="O42" s="255" t="s">
        <v>655</v>
      </c>
      <c r="P42" s="255" t="s">
        <v>656</v>
      </c>
      <c r="R42" s="255" t="s">
        <v>657</v>
      </c>
      <c r="S42" s="255" t="s">
        <v>658</v>
      </c>
      <c r="T42" s="255" t="s">
        <v>659</v>
      </c>
      <c r="U42" s="255" t="s">
        <v>469</v>
      </c>
      <c r="W42" s="255" t="s">
        <v>661</v>
      </c>
      <c r="X42" s="255" t="s">
        <v>662</v>
      </c>
      <c r="Y42" s="255" t="s">
        <v>663</v>
      </c>
    </row>
    <row r="43" spans="14:25" x14ac:dyDescent="0.2">
      <c r="N43" s="255" t="s">
        <v>664</v>
      </c>
      <c r="P43" s="255" t="s">
        <v>665</v>
      </c>
      <c r="R43" s="255" t="s">
        <v>666</v>
      </c>
      <c r="S43" s="256" t="s">
        <v>667</v>
      </c>
      <c r="T43" s="255" t="s">
        <v>668</v>
      </c>
      <c r="U43" s="255" t="s">
        <v>481</v>
      </c>
      <c r="W43" s="255" t="s">
        <v>670</v>
      </c>
      <c r="X43" s="255" t="s">
        <v>671</v>
      </c>
      <c r="Y43" s="255" t="s">
        <v>672</v>
      </c>
    </row>
    <row r="44" spans="14:25" x14ac:dyDescent="0.2">
      <c r="N44" s="255" t="s">
        <v>673</v>
      </c>
      <c r="P44" s="255" t="s">
        <v>674</v>
      </c>
      <c r="R44" s="255" t="s">
        <v>675</v>
      </c>
      <c r="S44" s="256" t="s">
        <v>676</v>
      </c>
      <c r="T44" s="255" t="s">
        <v>677</v>
      </c>
      <c r="U44" s="255" t="s">
        <v>493</v>
      </c>
      <c r="W44" s="255" t="s">
        <v>679</v>
      </c>
      <c r="X44" s="255" t="s">
        <v>680</v>
      </c>
      <c r="Y44" s="255" t="s">
        <v>681</v>
      </c>
    </row>
    <row r="45" spans="14:25" x14ac:dyDescent="0.2">
      <c r="N45" s="255" t="s">
        <v>682</v>
      </c>
      <c r="P45" s="255" t="s">
        <v>683</v>
      </c>
      <c r="R45" s="255" t="s">
        <v>684</v>
      </c>
      <c r="S45" s="256" t="s">
        <v>685</v>
      </c>
      <c r="T45" s="255" t="s">
        <v>686</v>
      </c>
      <c r="U45" s="255" t="s">
        <v>505</v>
      </c>
      <c r="W45" s="255" t="s">
        <v>688</v>
      </c>
      <c r="X45" s="255" t="s">
        <v>689</v>
      </c>
      <c r="Y45" s="255" t="s">
        <v>690</v>
      </c>
    </row>
    <row r="46" spans="14:25" x14ac:dyDescent="0.2">
      <c r="N46" s="255" t="s">
        <v>691</v>
      </c>
      <c r="P46" s="255" t="s">
        <v>692</v>
      </c>
      <c r="R46" s="255" t="s">
        <v>693</v>
      </c>
      <c r="S46" s="254"/>
      <c r="T46" s="255" t="s">
        <v>694</v>
      </c>
      <c r="U46" s="255" t="s">
        <v>517</v>
      </c>
      <c r="W46" s="255" t="s">
        <v>696</v>
      </c>
      <c r="X46" s="255" t="s">
        <v>697</v>
      </c>
      <c r="Y46" s="255" t="s">
        <v>698</v>
      </c>
    </row>
    <row r="47" spans="14:25" x14ac:dyDescent="0.2">
      <c r="N47" s="255" t="s">
        <v>699</v>
      </c>
      <c r="R47" s="255" t="s">
        <v>700</v>
      </c>
      <c r="S47" s="254"/>
      <c r="T47" s="255" t="s">
        <v>701</v>
      </c>
      <c r="U47" s="255" t="s">
        <v>529</v>
      </c>
      <c r="W47" s="255" t="s">
        <v>703</v>
      </c>
      <c r="X47" s="255" t="s">
        <v>704</v>
      </c>
      <c r="Y47" s="255" t="s">
        <v>705</v>
      </c>
    </row>
    <row r="48" spans="14:25" x14ac:dyDescent="0.2">
      <c r="N48" s="255" t="s">
        <v>706</v>
      </c>
      <c r="R48" s="255" t="s">
        <v>707</v>
      </c>
      <c r="S48" s="254"/>
      <c r="T48" s="255" t="s">
        <v>708</v>
      </c>
      <c r="U48" s="255" t="s">
        <v>541</v>
      </c>
      <c r="W48" s="255" t="s">
        <v>710</v>
      </c>
      <c r="X48" s="255" t="s">
        <v>711</v>
      </c>
      <c r="Y48" s="255" t="s">
        <v>712</v>
      </c>
    </row>
    <row r="49" spans="14:25" x14ac:dyDescent="0.2">
      <c r="N49" s="255" t="s">
        <v>713</v>
      </c>
      <c r="R49" s="255" t="s">
        <v>714</v>
      </c>
      <c r="S49" s="254"/>
      <c r="T49" s="255" t="s">
        <v>715</v>
      </c>
      <c r="U49" s="255" t="s">
        <v>553</v>
      </c>
      <c r="W49" s="255" t="s">
        <v>717</v>
      </c>
      <c r="X49" s="255" t="s">
        <v>718</v>
      </c>
      <c r="Y49" s="255" t="s">
        <v>719</v>
      </c>
    </row>
    <row r="50" spans="14:25" x14ac:dyDescent="0.2">
      <c r="N50" s="255" t="s">
        <v>720</v>
      </c>
      <c r="R50" s="255" t="s">
        <v>721</v>
      </c>
      <c r="S50" s="254"/>
      <c r="T50" s="255" t="s">
        <v>722</v>
      </c>
      <c r="U50" s="255" t="s">
        <v>565</v>
      </c>
      <c r="W50" s="255" t="s">
        <v>724</v>
      </c>
      <c r="X50" s="255" t="s">
        <v>725</v>
      </c>
      <c r="Y50" s="255" t="s">
        <v>726</v>
      </c>
    </row>
    <row r="51" spans="14:25" x14ac:dyDescent="0.2">
      <c r="N51" s="255" t="s">
        <v>727</v>
      </c>
      <c r="R51" s="255" t="s">
        <v>728</v>
      </c>
      <c r="S51" s="254"/>
      <c r="T51" s="255" t="s">
        <v>729</v>
      </c>
      <c r="U51" s="255" t="s">
        <v>577</v>
      </c>
      <c r="W51" s="255" t="s">
        <v>731</v>
      </c>
      <c r="X51" s="255" t="s">
        <v>732</v>
      </c>
      <c r="Y51" s="255" t="s">
        <v>733</v>
      </c>
    </row>
    <row r="52" spans="14:25" x14ac:dyDescent="0.2">
      <c r="N52" s="255" t="s">
        <v>734</v>
      </c>
      <c r="R52" s="255" t="s">
        <v>735</v>
      </c>
      <c r="S52" s="254"/>
      <c r="T52" s="255" t="s">
        <v>736</v>
      </c>
      <c r="U52" s="255" t="s">
        <v>589</v>
      </c>
      <c r="W52" s="255" t="s">
        <v>738</v>
      </c>
      <c r="X52" s="255" t="s">
        <v>739</v>
      </c>
      <c r="Y52" s="255" t="s">
        <v>740</v>
      </c>
    </row>
    <row r="53" spans="14:25" x14ac:dyDescent="0.2">
      <c r="N53" s="255" t="s">
        <v>741</v>
      </c>
      <c r="R53" s="255" t="s">
        <v>742</v>
      </c>
      <c r="S53" s="254"/>
      <c r="T53" s="255" t="s">
        <v>743</v>
      </c>
      <c r="U53" s="255" t="s">
        <v>600</v>
      </c>
      <c r="W53" s="255" t="s">
        <v>745</v>
      </c>
      <c r="X53" s="255" t="s">
        <v>746</v>
      </c>
      <c r="Y53" s="255" t="s">
        <v>747</v>
      </c>
    </row>
    <row r="54" spans="14:25" x14ac:dyDescent="0.2">
      <c r="N54" s="255" t="s">
        <v>748</v>
      </c>
      <c r="R54" s="255" t="s">
        <v>749</v>
      </c>
      <c r="S54" s="254"/>
      <c r="T54" s="255" t="s">
        <v>750</v>
      </c>
      <c r="U54" s="324" t="s">
        <v>1398</v>
      </c>
      <c r="W54" s="255" t="s">
        <v>752</v>
      </c>
      <c r="X54" s="255" t="s">
        <v>753</v>
      </c>
      <c r="Y54" s="255" t="s">
        <v>754</v>
      </c>
    </row>
    <row r="55" spans="14:25" x14ac:dyDescent="0.2">
      <c r="N55" s="255" t="s">
        <v>755</v>
      </c>
      <c r="R55" s="255" t="s">
        <v>756</v>
      </c>
      <c r="S55" s="254"/>
      <c r="T55" s="255" t="s">
        <v>757</v>
      </c>
      <c r="U55" s="324" t="s">
        <v>1399</v>
      </c>
      <c r="W55" s="255" t="s">
        <v>759</v>
      </c>
      <c r="X55" s="255" t="s">
        <v>760</v>
      </c>
      <c r="Y55" s="255" t="s">
        <v>761</v>
      </c>
    </row>
    <row r="56" spans="14:25" x14ac:dyDescent="0.2">
      <c r="N56" s="255" t="s">
        <v>762</v>
      </c>
      <c r="R56" s="255" t="s">
        <v>763</v>
      </c>
      <c r="S56" s="254"/>
      <c r="T56" s="255" t="s">
        <v>764</v>
      </c>
      <c r="U56" s="324" t="s">
        <v>1400</v>
      </c>
      <c r="W56" s="255" t="s">
        <v>766</v>
      </c>
      <c r="X56" s="255" t="s">
        <v>767</v>
      </c>
      <c r="Y56" s="255" t="s">
        <v>768</v>
      </c>
    </row>
    <row r="57" spans="14:25" x14ac:dyDescent="0.2">
      <c r="N57" s="255" t="s">
        <v>769</v>
      </c>
      <c r="R57" s="255" t="s">
        <v>770</v>
      </c>
      <c r="S57" s="254"/>
      <c r="T57" s="255" t="s">
        <v>771</v>
      </c>
      <c r="U57" s="324" t="s">
        <v>1401</v>
      </c>
      <c r="W57" s="255" t="s">
        <v>773</v>
      </c>
      <c r="X57" s="255" t="s">
        <v>774</v>
      </c>
      <c r="Y57" s="255" t="s">
        <v>775</v>
      </c>
    </row>
    <row r="58" spans="14:25" x14ac:dyDescent="0.2">
      <c r="R58" s="255" t="s">
        <v>776</v>
      </c>
      <c r="S58" s="254"/>
      <c r="T58" s="255" t="s">
        <v>777</v>
      </c>
      <c r="U58" s="324" t="s">
        <v>1402</v>
      </c>
      <c r="X58" s="255" t="s">
        <v>779</v>
      </c>
      <c r="Y58" s="255" t="s">
        <v>780</v>
      </c>
    </row>
    <row r="59" spans="14:25" x14ac:dyDescent="0.2">
      <c r="R59" s="255" t="s">
        <v>781</v>
      </c>
      <c r="S59" s="254"/>
      <c r="T59" s="255" t="s">
        <v>782</v>
      </c>
      <c r="U59" s="324" t="s">
        <v>1403</v>
      </c>
      <c r="X59" s="255" t="s">
        <v>784</v>
      </c>
      <c r="Y59" s="255" t="s">
        <v>785</v>
      </c>
    </row>
    <row r="60" spans="14:25" x14ac:dyDescent="0.2">
      <c r="R60" s="255" t="s">
        <v>786</v>
      </c>
      <c r="S60" s="254"/>
      <c r="T60" s="255" t="s">
        <v>787</v>
      </c>
      <c r="U60" s="324" t="s">
        <v>1404</v>
      </c>
      <c r="X60" s="255" t="s">
        <v>789</v>
      </c>
      <c r="Y60" s="255" t="s">
        <v>790</v>
      </c>
    </row>
    <row r="61" spans="14:25" x14ac:dyDescent="0.2">
      <c r="R61" s="255" t="s">
        <v>791</v>
      </c>
      <c r="S61" s="254"/>
      <c r="T61" s="255" t="s">
        <v>792</v>
      </c>
      <c r="U61" s="324" t="s">
        <v>1405</v>
      </c>
      <c r="X61" s="255" t="s">
        <v>794</v>
      </c>
      <c r="Y61" s="255" t="s">
        <v>795</v>
      </c>
    </row>
    <row r="62" spans="14:25" x14ac:dyDescent="0.2">
      <c r="R62" s="255" t="s">
        <v>796</v>
      </c>
      <c r="S62" s="254"/>
      <c r="T62" s="255" t="s">
        <v>797</v>
      </c>
      <c r="U62" s="255" t="s">
        <v>610</v>
      </c>
      <c r="X62" s="255" t="s">
        <v>799</v>
      </c>
      <c r="Y62" s="255" t="s">
        <v>800</v>
      </c>
    </row>
    <row r="63" spans="14:25" x14ac:dyDescent="0.2">
      <c r="R63" s="255" t="s">
        <v>801</v>
      </c>
      <c r="S63" s="254"/>
      <c r="T63" s="255" t="s">
        <v>802</v>
      </c>
      <c r="U63" s="255" t="s">
        <v>620</v>
      </c>
      <c r="X63" s="255" t="s">
        <v>803</v>
      </c>
      <c r="Y63" s="255" t="s">
        <v>804</v>
      </c>
    </row>
    <row r="64" spans="14:25" x14ac:dyDescent="0.2">
      <c r="R64" s="255" t="s">
        <v>805</v>
      </c>
      <c r="S64" s="254"/>
      <c r="T64" s="255" t="s">
        <v>806</v>
      </c>
      <c r="U64" s="255" t="s">
        <v>630</v>
      </c>
      <c r="X64" s="255" t="s">
        <v>807</v>
      </c>
      <c r="Y64" s="255" t="s">
        <v>808</v>
      </c>
    </row>
    <row r="65" spans="18:25" x14ac:dyDescent="0.2">
      <c r="R65" s="255" t="s">
        <v>809</v>
      </c>
      <c r="S65" s="254"/>
      <c r="T65" s="255" t="s">
        <v>810</v>
      </c>
      <c r="U65" s="255" t="s">
        <v>640</v>
      </c>
      <c r="X65" s="255" t="s">
        <v>811</v>
      </c>
      <c r="Y65" s="255" t="s">
        <v>812</v>
      </c>
    </row>
    <row r="66" spans="18:25" x14ac:dyDescent="0.2">
      <c r="R66" s="255" t="s">
        <v>813</v>
      </c>
      <c r="S66" s="254"/>
      <c r="T66" s="255" t="s">
        <v>814</v>
      </c>
      <c r="U66" s="324" t="s">
        <v>1406</v>
      </c>
      <c r="X66" s="255" t="s">
        <v>815</v>
      </c>
      <c r="Y66" s="255" t="s">
        <v>816</v>
      </c>
    </row>
    <row r="67" spans="18:25" x14ac:dyDescent="0.2">
      <c r="R67" s="255" t="s">
        <v>817</v>
      </c>
      <c r="S67" s="254"/>
      <c r="T67" s="255" t="s">
        <v>818</v>
      </c>
      <c r="U67" s="324" t="s">
        <v>1407</v>
      </c>
      <c r="X67" s="255" t="s">
        <v>819</v>
      </c>
      <c r="Y67" s="255" t="s">
        <v>820</v>
      </c>
    </row>
    <row r="68" spans="18:25" x14ac:dyDescent="0.2">
      <c r="R68" s="255" t="s">
        <v>821</v>
      </c>
      <c r="S68" s="254"/>
      <c r="T68" s="255" t="s">
        <v>822</v>
      </c>
      <c r="U68" s="324" t="s">
        <v>1408</v>
      </c>
      <c r="X68" s="255" t="s">
        <v>823</v>
      </c>
      <c r="Y68" s="255" t="s">
        <v>824</v>
      </c>
    </row>
    <row r="69" spans="18:25" x14ac:dyDescent="0.2">
      <c r="R69" s="255" t="s">
        <v>825</v>
      </c>
      <c r="S69" s="254"/>
      <c r="T69" s="255" t="s">
        <v>826</v>
      </c>
      <c r="U69" s="324" t="s">
        <v>1409</v>
      </c>
      <c r="X69" s="255" t="s">
        <v>828</v>
      </c>
      <c r="Y69" s="255" t="s">
        <v>829</v>
      </c>
    </row>
    <row r="70" spans="18:25" x14ac:dyDescent="0.2">
      <c r="R70" s="255" t="s">
        <v>830</v>
      </c>
      <c r="S70" s="254"/>
      <c r="T70" s="255" t="s">
        <v>831</v>
      </c>
      <c r="U70" s="324" t="s">
        <v>1410</v>
      </c>
      <c r="X70" s="255" t="s">
        <v>833</v>
      </c>
      <c r="Y70" s="255" t="s">
        <v>834</v>
      </c>
    </row>
    <row r="71" spans="18:25" x14ac:dyDescent="0.2">
      <c r="R71" s="255" t="s">
        <v>835</v>
      </c>
      <c r="S71" s="254"/>
      <c r="T71" s="255" t="s">
        <v>836</v>
      </c>
      <c r="U71" s="324" t="s">
        <v>1411</v>
      </c>
      <c r="X71" s="255" t="s">
        <v>838</v>
      </c>
      <c r="Y71" s="255" t="s">
        <v>839</v>
      </c>
    </row>
    <row r="72" spans="18:25" x14ac:dyDescent="0.2">
      <c r="R72" s="255" t="s">
        <v>840</v>
      </c>
      <c r="S72" s="254"/>
      <c r="T72" s="255" t="s">
        <v>841</v>
      </c>
      <c r="U72" s="324" t="s">
        <v>1412</v>
      </c>
      <c r="X72" s="255" t="s">
        <v>843</v>
      </c>
      <c r="Y72" s="255" t="s">
        <v>844</v>
      </c>
    </row>
    <row r="73" spans="18:25" x14ac:dyDescent="0.2">
      <c r="R73" s="255" t="s">
        <v>845</v>
      </c>
      <c r="S73" s="254"/>
      <c r="T73" s="255" t="s">
        <v>846</v>
      </c>
      <c r="U73" s="324" t="s">
        <v>1413</v>
      </c>
      <c r="X73" s="255" t="s">
        <v>848</v>
      </c>
      <c r="Y73" s="255" t="s">
        <v>849</v>
      </c>
    </row>
    <row r="74" spans="18:25" x14ac:dyDescent="0.2">
      <c r="R74" s="255" t="s">
        <v>850</v>
      </c>
      <c r="S74" s="254"/>
      <c r="T74" s="255" t="s">
        <v>851</v>
      </c>
      <c r="U74" s="255" t="s">
        <v>650</v>
      </c>
      <c r="X74" s="255" t="s">
        <v>852</v>
      </c>
      <c r="Y74" s="255" t="s">
        <v>853</v>
      </c>
    </row>
    <row r="75" spans="18:25" x14ac:dyDescent="0.2">
      <c r="R75" s="255" t="s">
        <v>854</v>
      </c>
      <c r="S75" s="254"/>
      <c r="T75" s="255" t="s">
        <v>855</v>
      </c>
      <c r="U75" s="255" t="s">
        <v>660</v>
      </c>
      <c r="X75" s="255" t="s">
        <v>856</v>
      </c>
      <c r="Y75" s="255" t="s">
        <v>857</v>
      </c>
    </row>
    <row r="76" spans="18:25" x14ac:dyDescent="0.2">
      <c r="R76" s="255" t="s">
        <v>858</v>
      </c>
      <c r="S76" s="254"/>
      <c r="T76" s="255" t="s">
        <v>859</v>
      </c>
      <c r="U76" s="255" t="s">
        <v>669</v>
      </c>
      <c r="X76" s="255" t="s">
        <v>860</v>
      </c>
      <c r="Y76" s="255" t="s">
        <v>861</v>
      </c>
    </row>
    <row r="77" spans="18:25" x14ac:dyDescent="0.2">
      <c r="R77" s="255" t="s">
        <v>862</v>
      </c>
      <c r="S77" s="254"/>
      <c r="T77" s="255" t="s">
        <v>863</v>
      </c>
      <c r="U77" s="255" t="s">
        <v>678</v>
      </c>
      <c r="X77" s="255" t="s">
        <v>864</v>
      </c>
      <c r="Y77" s="255" t="s">
        <v>865</v>
      </c>
    </row>
    <row r="78" spans="18:25" x14ac:dyDescent="0.2">
      <c r="R78" s="255" t="s">
        <v>866</v>
      </c>
      <c r="S78" s="254"/>
      <c r="T78" s="255" t="s">
        <v>867</v>
      </c>
      <c r="U78" s="255" t="s">
        <v>687</v>
      </c>
      <c r="X78" s="255" t="s">
        <v>868</v>
      </c>
      <c r="Y78" s="255" t="s">
        <v>869</v>
      </c>
    </row>
    <row r="79" spans="18:25" x14ac:dyDescent="0.2">
      <c r="R79" s="255" t="s">
        <v>870</v>
      </c>
      <c r="S79" s="254"/>
      <c r="T79" s="255" t="s">
        <v>871</v>
      </c>
      <c r="U79" s="255" t="s">
        <v>695</v>
      </c>
      <c r="X79" s="255" t="s">
        <v>872</v>
      </c>
      <c r="Y79" s="255" t="s">
        <v>873</v>
      </c>
    </row>
    <row r="80" spans="18:25" x14ac:dyDescent="0.2">
      <c r="R80" s="255" t="s">
        <v>874</v>
      </c>
      <c r="S80" s="254"/>
      <c r="T80" s="255" t="s">
        <v>875</v>
      </c>
      <c r="U80" s="255" t="s">
        <v>702</v>
      </c>
      <c r="X80" s="255" t="s">
        <v>876</v>
      </c>
      <c r="Y80" s="255" t="s">
        <v>877</v>
      </c>
    </row>
    <row r="81" spans="18:25" x14ac:dyDescent="0.2">
      <c r="R81" s="255" t="s">
        <v>878</v>
      </c>
      <c r="S81" s="254"/>
      <c r="T81" s="255" t="s">
        <v>879</v>
      </c>
      <c r="U81" s="255" t="s">
        <v>709</v>
      </c>
      <c r="X81" s="255" t="s">
        <v>880</v>
      </c>
      <c r="Y81" s="266" t="s">
        <v>881</v>
      </c>
    </row>
    <row r="82" spans="18:25" x14ac:dyDescent="0.2">
      <c r="R82" s="255" t="s">
        <v>882</v>
      </c>
      <c r="S82" s="254"/>
      <c r="T82" s="255" t="s">
        <v>883</v>
      </c>
      <c r="U82" s="255" t="s">
        <v>716</v>
      </c>
      <c r="V82" s="323"/>
      <c r="X82" s="255" t="s">
        <v>884</v>
      </c>
      <c r="Y82" s="266" t="s">
        <v>885</v>
      </c>
    </row>
    <row r="83" spans="18:25" x14ac:dyDescent="0.2">
      <c r="R83" s="255" t="s">
        <v>886</v>
      </c>
      <c r="S83" s="254"/>
      <c r="T83" s="255" t="s">
        <v>887</v>
      </c>
      <c r="U83" s="255" t="s">
        <v>723</v>
      </c>
      <c r="V83" s="323"/>
      <c r="X83" s="255" t="s">
        <v>888</v>
      </c>
      <c r="Y83" s="266" t="s">
        <v>889</v>
      </c>
    </row>
    <row r="84" spans="18:25" x14ac:dyDescent="0.2">
      <c r="R84" s="255" t="s">
        <v>890</v>
      </c>
      <c r="S84" s="254"/>
      <c r="T84" s="255" t="s">
        <v>891</v>
      </c>
      <c r="U84" s="255" t="s">
        <v>730</v>
      </c>
      <c r="V84" s="323"/>
      <c r="X84" s="255" t="s">
        <v>892</v>
      </c>
      <c r="Y84" s="266" t="s">
        <v>893</v>
      </c>
    </row>
    <row r="85" spans="18:25" x14ac:dyDescent="0.2">
      <c r="R85" s="255" t="s">
        <v>894</v>
      </c>
      <c r="S85" s="254"/>
      <c r="T85" s="255" t="s">
        <v>895</v>
      </c>
      <c r="U85" s="255" t="s">
        <v>737</v>
      </c>
      <c r="V85" s="323"/>
      <c r="X85" s="255" t="s">
        <v>896</v>
      </c>
      <c r="Y85" s="266" t="s">
        <v>897</v>
      </c>
    </row>
    <row r="86" spans="18:25" x14ac:dyDescent="0.2">
      <c r="R86" s="255" t="s">
        <v>898</v>
      </c>
      <c r="S86" s="254"/>
      <c r="T86" s="255" t="s">
        <v>899</v>
      </c>
      <c r="U86" s="255" t="s">
        <v>744</v>
      </c>
      <c r="V86" s="323"/>
      <c r="X86" s="255" t="s">
        <v>900</v>
      </c>
      <c r="Y86" s="266" t="s">
        <v>901</v>
      </c>
    </row>
    <row r="87" spans="18:25" x14ac:dyDescent="0.2">
      <c r="R87" s="255" t="s">
        <v>902</v>
      </c>
      <c r="S87" s="254"/>
      <c r="T87" s="255" t="s">
        <v>903</v>
      </c>
      <c r="U87" s="255" t="s">
        <v>751</v>
      </c>
      <c r="V87" s="323"/>
      <c r="X87" s="255" t="s">
        <v>904</v>
      </c>
      <c r="Y87" s="266" t="s">
        <v>905</v>
      </c>
    </row>
    <row r="88" spans="18:25" x14ac:dyDescent="0.2">
      <c r="R88" s="255" t="s">
        <v>906</v>
      </c>
      <c r="S88" s="254"/>
      <c r="T88" s="255" t="s">
        <v>907</v>
      </c>
      <c r="U88" s="324" t="s">
        <v>1414</v>
      </c>
      <c r="V88" s="323"/>
      <c r="X88" s="255" t="s">
        <v>908</v>
      </c>
      <c r="Y88" s="266" t="s">
        <v>909</v>
      </c>
    </row>
    <row r="89" spans="18:25" x14ac:dyDescent="0.2">
      <c r="R89" s="255" t="s">
        <v>910</v>
      </c>
      <c r="S89" s="254"/>
      <c r="T89" s="255" t="s">
        <v>911</v>
      </c>
      <c r="U89" s="324" t="s">
        <v>1415</v>
      </c>
      <c r="V89" s="323"/>
      <c r="X89" s="255"/>
      <c r="Y89" s="266" t="s">
        <v>912</v>
      </c>
    </row>
    <row r="90" spans="18:25" x14ac:dyDescent="0.2">
      <c r="R90" s="255" t="s">
        <v>913</v>
      </c>
      <c r="S90" s="254"/>
      <c r="T90" s="255" t="s">
        <v>914</v>
      </c>
      <c r="U90" s="324" t="s">
        <v>1416</v>
      </c>
      <c r="V90" s="323"/>
      <c r="X90" s="255"/>
      <c r="Y90" s="266" t="s">
        <v>915</v>
      </c>
    </row>
    <row r="91" spans="18:25" x14ac:dyDescent="0.2">
      <c r="R91" s="255" t="s">
        <v>916</v>
      </c>
      <c r="S91" s="254"/>
      <c r="T91" s="255" t="s">
        <v>917</v>
      </c>
      <c r="U91" s="324" t="s">
        <v>1417</v>
      </c>
      <c r="V91" s="323"/>
      <c r="Y91" s="266" t="s">
        <v>918</v>
      </c>
    </row>
    <row r="92" spans="18:25" x14ac:dyDescent="0.2">
      <c r="R92" s="255" t="s">
        <v>919</v>
      </c>
      <c r="S92" s="254"/>
      <c r="T92" s="255" t="s">
        <v>920</v>
      </c>
      <c r="U92" s="324" t="s">
        <v>1418</v>
      </c>
      <c r="V92" s="323"/>
      <c r="Y92" s="266" t="s">
        <v>921</v>
      </c>
    </row>
    <row r="93" spans="18:25" x14ac:dyDescent="0.2">
      <c r="R93" s="255" t="s">
        <v>922</v>
      </c>
      <c r="S93" s="254"/>
      <c r="T93" s="255" t="s">
        <v>923</v>
      </c>
      <c r="U93" s="324" t="s">
        <v>1419</v>
      </c>
      <c r="V93" s="323"/>
      <c r="Y93" s="266" t="s">
        <v>924</v>
      </c>
    </row>
    <row r="94" spans="18:25" x14ac:dyDescent="0.2">
      <c r="R94" s="255" t="s">
        <v>925</v>
      </c>
      <c r="S94" s="254"/>
      <c r="T94" s="255" t="s">
        <v>926</v>
      </c>
      <c r="U94" s="324" t="s">
        <v>1420</v>
      </c>
      <c r="V94" s="323"/>
      <c r="Y94" s="266" t="s">
        <v>927</v>
      </c>
    </row>
    <row r="95" spans="18:25" x14ac:dyDescent="0.2">
      <c r="R95" s="255" t="s">
        <v>928</v>
      </c>
      <c r="S95" s="254"/>
      <c r="T95" s="255" t="s">
        <v>929</v>
      </c>
      <c r="U95" s="255" t="s">
        <v>758</v>
      </c>
      <c r="V95" s="323"/>
    </row>
    <row r="96" spans="18:25" x14ac:dyDescent="0.2">
      <c r="R96" s="255" t="s">
        <v>930</v>
      </c>
      <c r="S96" s="254"/>
      <c r="T96" s="255" t="s">
        <v>931</v>
      </c>
      <c r="U96" s="255" t="s">
        <v>765</v>
      </c>
      <c r="V96" s="323"/>
    </row>
    <row r="97" spans="15:22" x14ac:dyDescent="0.2">
      <c r="R97" s="255" t="s">
        <v>932</v>
      </c>
      <c r="S97" s="254"/>
      <c r="T97" s="255" t="s">
        <v>933</v>
      </c>
      <c r="U97" s="255" t="s">
        <v>772</v>
      </c>
      <c r="V97" s="323"/>
    </row>
    <row r="98" spans="15:22" x14ac:dyDescent="0.2">
      <c r="R98" s="255" t="s">
        <v>934</v>
      </c>
      <c r="S98" s="254"/>
      <c r="T98" s="255" t="s">
        <v>935</v>
      </c>
      <c r="U98" s="255" t="s">
        <v>778</v>
      </c>
      <c r="V98" s="323"/>
    </row>
    <row r="99" spans="15:22" x14ac:dyDescent="0.2">
      <c r="R99" s="255" t="s">
        <v>936</v>
      </c>
      <c r="S99" s="254"/>
      <c r="T99" s="255" t="s">
        <v>937</v>
      </c>
      <c r="U99" s="255" t="s">
        <v>783</v>
      </c>
      <c r="V99" s="323"/>
    </row>
    <row r="100" spans="15:22" x14ac:dyDescent="0.2">
      <c r="R100" s="255" t="s">
        <v>938</v>
      </c>
      <c r="S100" s="254"/>
      <c r="T100" s="255" t="s">
        <v>939</v>
      </c>
      <c r="U100" s="255" t="s">
        <v>788</v>
      </c>
      <c r="V100" s="323"/>
    </row>
    <row r="101" spans="15:22" x14ac:dyDescent="0.2">
      <c r="R101" s="255" t="s">
        <v>940</v>
      </c>
      <c r="S101" s="254"/>
      <c r="T101" s="255" t="s">
        <v>941</v>
      </c>
      <c r="U101" s="255" t="s">
        <v>793</v>
      </c>
      <c r="V101" s="323"/>
    </row>
    <row r="102" spans="15:22" x14ac:dyDescent="0.2">
      <c r="R102" s="255" t="s">
        <v>942</v>
      </c>
      <c r="S102" s="254"/>
      <c r="T102" s="255" t="s">
        <v>943</v>
      </c>
      <c r="U102" s="324" t="s">
        <v>1421</v>
      </c>
      <c r="V102" s="323"/>
    </row>
    <row r="103" spans="15:22" x14ac:dyDescent="0.2">
      <c r="O103" s="257"/>
      <c r="R103" s="255" t="s">
        <v>944</v>
      </c>
      <c r="S103" s="254"/>
      <c r="T103" s="255" t="s">
        <v>945</v>
      </c>
      <c r="U103" s="324" t="s">
        <v>1422</v>
      </c>
      <c r="V103" s="323"/>
    </row>
    <row r="104" spans="15:22" x14ac:dyDescent="0.2">
      <c r="O104" s="257"/>
      <c r="R104" s="255" t="s">
        <v>946</v>
      </c>
      <c r="S104" s="254"/>
      <c r="T104" s="255" t="s">
        <v>947</v>
      </c>
      <c r="U104" s="324" t="s">
        <v>1423</v>
      </c>
      <c r="V104" s="323"/>
    </row>
    <row r="105" spans="15:22" x14ac:dyDescent="0.2">
      <c r="O105" s="257"/>
      <c r="R105" s="255" t="s">
        <v>948</v>
      </c>
      <c r="S105" s="254"/>
      <c r="U105" s="324" t="s">
        <v>1424</v>
      </c>
      <c r="V105" s="323"/>
    </row>
    <row r="106" spans="15:22" x14ac:dyDescent="0.2">
      <c r="O106" s="257"/>
      <c r="R106" s="255" t="s">
        <v>949</v>
      </c>
      <c r="S106" s="254"/>
      <c r="U106" s="324" t="s">
        <v>1425</v>
      </c>
      <c r="V106" s="323"/>
    </row>
    <row r="107" spans="15:22" x14ac:dyDescent="0.2">
      <c r="O107" s="257"/>
      <c r="R107" s="255" t="s">
        <v>950</v>
      </c>
      <c r="S107" s="254"/>
      <c r="U107" s="324" t="s">
        <v>1426</v>
      </c>
      <c r="V107" s="323"/>
    </row>
    <row r="108" spans="15:22" x14ac:dyDescent="0.2">
      <c r="O108" s="257"/>
      <c r="R108" s="255" t="s">
        <v>951</v>
      </c>
      <c r="S108" s="254"/>
      <c r="U108" s="324" t="s">
        <v>798</v>
      </c>
      <c r="V108" s="323"/>
    </row>
    <row r="109" spans="15:22" x14ac:dyDescent="0.2">
      <c r="O109" s="257"/>
      <c r="R109" s="255" t="s">
        <v>952</v>
      </c>
      <c r="S109" s="254"/>
      <c r="U109" s="255" t="s">
        <v>827</v>
      </c>
      <c r="V109" s="323"/>
    </row>
    <row r="110" spans="15:22" x14ac:dyDescent="0.2">
      <c r="O110" s="257"/>
      <c r="R110" s="255" t="s">
        <v>953</v>
      </c>
      <c r="S110" s="254"/>
      <c r="U110" s="255" t="s">
        <v>832</v>
      </c>
      <c r="V110" s="323"/>
    </row>
    <row r="111" spans="15:22" x14ac:dyDescent="0.2">
      <c r="O111" s="257"/>
      <c r="R111" s="255" t="s">
        <v>954</v>
      </c>
      <c r="S111" s="254"/>
      <c r="U111" s="255" t="s">
        <v>837</v>
      </c>
      <c r="V111" s="323"/>
    </row>
    <row r="112" spans="15:22" x14ac:dyDescent="0.2">
      <c r="O112" s="257"/>
      <c r="R112" s="255" t="s">
        <v>955</v>
      </c>
      <c r="S112" s="254"/>
      <c r="U112" s="255" t="s">
        <v>842</v>
      </c>
      <c r="V112" s="323"/>
    </row>
    <row r="113" spans="15:22" x14ac:dyDescent="0.2">
      <c r="O113" s="257"/>
      <c r="R113" s="255" t="s">
        <v>956</v>
      </c>
      <c r="S113" s="254"/>
      <c r="U113" s="255" t="s">
        <v>847</v>
      </c>
      <c r="V113" s="323"/>
    </row>
    <row r="114" spans="15:22" x14ac:dyDescent="0.2">
      <c r="O114" s="257"/>
      <c r="R114" s="255" t="s">
        <v>957</v>
      </c>
      <c r="S114" s="254"/>
      <c r="V114" s="323"/>
    </row>
    <row r="115" spans="15:22" x14ac:dyDescent="0.2">
      <c r="O115" s="257"/>
      <c r="R115" s="255" t="s">
        <v>958</v>
      </c>
      <c r="S115" s="254"/>
      <c r="V115" s="323"/>
    </row>
    <row r="116" spans="15:22" x14ac:dyDescent="0.2">
      <c r="O116" s="257"/>
      <c r="R116" s="255" t="s">
        <v>959</v>
      </c>
      <c r="S116" s="254"/>
      <c r="V116" s="323"/>
    </row>
    <row r="117" spans="15:22" x14ac:dyDescent="0.2">
      <c r="O117" s="257"/>
      <c r="R117" s="255" t="s">
        <v>960</v>
      </c>
      <c r="S117" s="254"/>
      <c r="V117" s="323"/>
    </row>
    <row r="118" spans="15:22" x14ac:dyDescent="0.2">
      <c r="O118" s="257"/>
      <c r="R118" s="255" t="s">
        <v>961</v>
      </c>
      <c r="S118" s="254"/>
      <c r="V118" s="323"/>
    </row>
    <row r="119" spans="15:22" x14ac:dyDescent="0.2">
      <c r="O119" s="257"/>
      <c r="R119" s="255" t="s">
        <v>962</v>
      </c>
      <c r="S119" s="254"/>
      <c r="V119" s="323"/>
    </row>
    <row r="120" spans="15:22" x14ac:dyDescent="0.2">
      <c r="O120" s="257"/>
      <c r="R120" s="255" t="s">
        <v>963</v>
      </c>
      <c r="S120" s="254"/>
      <c r="V120" s="323"/>
    </row>
    <row r="121" spans="15:22" x14ac:dyDescent="0.2">
      <c r="O121" s="257"/>
      <c r="R121" s="255" t="s">
        <v>964</v>
      </c>
      <c r="S121" s="254"/>
    </row>
    <row r="122" spans="15:22" x14ac:dyDescent="0.2">
      <c r="O122" s="257"/>
      <c r="R122" s="255" t="s">
        <v>965</v>
      </c>
      <c r="S122" s="254"/>
    </row>
    <row r="123" spans="15:22" x14ac:dyDescent="0.2">
      <c r="O123" s="257"/>
      <c r="R123" s="255" t="s">
        <v>966</v>
      </c>
      <c r="S123" s="254"/>
    </row>
    <row r="124" spans="15:22" x14ac:dyDescent="0.2">
      <c r="O124" s="257"/>
      <c r="R124" s="255" t="s">
        <v>967</v>
      </c>
      <c r="S124" s="254"/>
    </row>
    <row r="125" spans="15:22" x14ac:dyDescent="0.2">
      <c r="O125" s="257"/>
      <c r="R125" s="255" t="s">
        <v>968</v>
      </c>
      <c r="S125" s="254"/>
    </row>
    <row r="126" spans="15:22" x14ac:dyDescent="0.2">
      <c r="O126" s="257"/>
      <c r="R126" s="255" t="s">
        <v>969</v>
      </c>
      <c r="S126" s="254"/>
    </row>
    <row r="127" spans="15:22" x14ac:dyDescent="0.2">
      <c r="O127" s="257"/>
      <c r="R127" s="255" t="s">
        <v>970</v>
      </c>
      <c r="S127" s="254"/>
    </row>
    <row r="128" spans="15:22" x14ac:dyDescent="0.2">
      <c r="O128" s="257"/>
      <c r="R128" s="255" t="s">
        <v>971</v>
      </c>
      <c r="S128" s="254"/>
    </row>
    <row r="129" spans="15:19" x14ac:dyDescent="0.2">
      <c r="O129" s="257"/>
      <c r="R129" s="255" t="s">
        <v>972</v>
      </c>
      <c r="S129" s="254"/>
    </row>
    <row r="130" spans="15:19" x14ac:dyDescent="0.2">
      <c r="O130" s="257"/>
      <c r="R130" s="255" t="s">
        <v>973</v>
      </c>
      <c r="S130" s="254"/>
    </row>
    <row r="131" spans="15:19" x14ac:dyDescent="0.2">
      <c r="O131" s="257"/>
      <c r="R131" s="255" t="s">
        <v>974</v>
      </c>
      <c r="S131" s="254"/>
    </row>
    <row r="132" spans="15:19" x14ac:dyDescent="0.2">
      <c r="O132" s="257"/>
      <c r="R132" s="255" t="s">
        <v>975</v>
      </c>
      <c r="S132" s="254"/>
    </row>
    <row r="133" spans="15:19" x14ac:dyDescent="0.2">
      <c r="O133" s="257"/>
      <c r="R133" s="255" t="s">
        <v>976</v>
      </c>
      <c r="S133" s="254"/>
    </row>
    <row r="134" spans="15:19" x14ac:dyDescent="0.2">
      <c r="O134" s="257"/>
      <c r="R134" s="255" t="s">
        <v>977</v>
      </c>
      <c r="S134" s="254"/>
    </row>
    <row r="135" spans="15:19" x14ac:dyDescent="0.2">
      <c r="O135" s="257"/>
      <c r="R135" s="255" t="s">
        <v>978</v>
      </c>
      <c r="S135" s="254"/>
    </row>
    <row r="136" spans="15:19" x14ac:dyDescent="0.2">
      <c r="O136" s="257"/>
      <c r="R136" s="255" t="s">
        <v>979</v>
      </c>
      <c r="S136" s="254"/>
    </row>
    <row r="137" spans="15:19" x14ac:dyDescent="0.2">
      <c r="O137" s="257"/>
      <c r="R137" s="255" t="s">
        <v>980</v>
      </c>
      <c r="S137" s="254"/>
    </row>
    <row r="138" spans="15:19" x14ac:dyDescent="0.2">
      <c r="O138" s="257"/>
      <c r="R138" s="255" t="s">
        <v>981</v>
      </c>
      <c r="S138" s="254"/>
    </row>
    <row r="139" spans="15:19" x14ac:dyDescent="0.2">
      <c r="O139" s="257"/>
      <c r="R139" s="255" t="s">
        <v>982</v>
      </c>
      <c r="S139" s="254"/>
    </row>
    <row r="140" spans="15:19" x14ac:dyDescent="0.2">
      <c r="O140" s="257"/>
      <c r="R140" s="255" t="s">
        <v>983</v>
      </c>
      <c r="S140" s="254"/>
    </row>
    <row r="141" spans="15:19" x14ac:dyDescent="0.2">
      <c r="O141" s="257"/>
      <c r="R141" s="255" t="s">
        <v>984</v>
      </c>
      <c r="S141" s="254"/>
    </row>
    <row r="142" spans="15:19" x14ac:dyDescent="0.2">
      <c r="O142" s="257"/>
      <c r="R142" s="255" t="s">
        <v>985</v>
      </c>
      <c r="S142" s="254"/>
    </row>
    <row r="143" spans="15:19" x14ac:dyDescent="0.2">
      <c r="O143" s="257"/>
      <c r="R143" s="255" t="s">
        <v>986</v>
      </c>
      <c r="S143" s="254"/>
    </row>
    <row r="144" spans="15:19" x14ac:dyDescent="0.2">
      <c r="O144" s="257"/>
      <c r="R144" s="255" t="s">
        <v>987</v>
      </c>
      <c r="S144" s="254"/>
    </row>
    <row r="145" spans="15:19" x14ac:dyDescent="0.2">
      <c r="O145" s="257"/>
      <c r="R145" s="255" t="s">
        <v>988</v>
      </c>
      <c r="S145" s="254"/>
    </row>
    <row r="146" spans="15:19" x14ac:dyDescent="0.2">
      <c r="O146" s="257"/>
      <c r="R146" s="255" t="s">
        <v>989</v>
      </c>
      <c r="S146" s="254"/>
    </row>
    <row r="147" spans="15:19" x14ac:dyDescent="0.2">
      <c r="O147" s="257"/>
      <c r="R147" s="255" t="s">
        <v>990</v>
      </c>
      <c r="S147" s="254"/>
    </row>
    <row r="148" spans="15:19" x14ac:dyDescent="0.2">
      <c r="O148" s="257"/>
      <c r="R148" s="255" t="s">
        <v>991</v>
      </c>
      <c r="S148" s="254"/>
    </row>
    <row r="149" spans="15:19" x14ac:dyDescent="0.2">
      <c r="R149" s="254" t="s">
        <v>992</v>
      </c>
      <c r="S149" s="254"/>
    </row>
    <row r="150" spans="15:19" x14ac:dyDescent="0.2">
      <c r="R150" s="254" t="s">
        <v>993</v>
      </c>
      <c r="S150" s="254"/>
    </row>
    <row r="151" spans="15:19" x14ac:dyDescent="0.2">
      <c r="R151" s="254" t="s">
        <v>994</v>
      </c>
      <c r="S151" s="254"/>
    </row>
    <row r="152" spans="15:19" x14ac:dyDescent="0.2">
      <c r="R152" s="254" t="s">
        <v>995</v>
      </c>
      <c r="S152" s="254"/>
    </row>
    <row r="153" spans="15:19" x14ac:dyDescent="0.2">
      <c r="S153" s="254"/>
    </row>
    <row r="154" spans="15:19" x14ac:dyDescent="0.2">
      <c r="S154" s="254"/>
    </row>
    <row r="155" spans="15:19" x14ac:dyDescent="0.2">
      <c r="S155" s="254"/>
    </row>
    <row r="156" spans="15:19" x14ac:dyDescent="0.2">
      <c r="S156" s="254"/>
    </row>
    <row r="157" spans="15:19" x14ac:dyDescent="0.2">
      <c r="S157" s="254"/>
    </row>
    <row r="158" spans="15:19" x14ac:dyDescent="0.2">
      <c r="S158" s="254"/>
    </row>
    <row r="159" spans="15:19" x14ac:dyDescent="0.2">
      <c r="S159" s="254"/>
    </row>
    <row r="160" spans="15:19" x14ac:dyDescent="0.2">
      <c r="S160" s="254"/>
    </row>
    <row r="161" spans="19:19" x14ac:dyDescent="0.2">
      <c r="S161" s="254"/>
    </row>
    <row r="162" spans="19:19" x14ac:dyDescent="0.2">
      <c r="S162" s="254"/>
    </row>
    <row r="163" spans="19:19" x14ac:dyDescent="0.2">
      <c r="S163" s="254"/>
    </row>
    <row r="164" spans="19:19" x14ac:dyDescent="0.2">
      <c r="S164" s="254"/>
    </row>
    <row r="165" spans="19:19" x14ac:dyDescent="0.2">
      <c r="S165" s="254"/>
    </row>
    <row r="166" spans="19:19" x14ac:dyDescent="0.2">
      <c r="S166" s="254"/>
    </row>
    <row r="167" spans="19:19" x14ac:dyDescent="0.2">
      <c r="S167" s="254"/>
    </row>
    <row r="168" spans="19:19" x14ac:dyDescent="0.2">
      <c r="S168" s="254"/>
    </row>
    <row r="169" spans="19:19" x14ac:dyDescent="0.2">
      <c r="S169" s="254"/>
    </row>
    <row r="170" spans="19:19" x14ac:dyDescent="0.2">
      <c r="S170" s="254"/>
    </row>
    <row r="171" spans="19:19" x14ac:dyDescent="0.2">
      <c r="S171" s="254"/>
    </row>
    <row r="172" spans="19:19" x14ac:dyDescent="0.2">
      <c r="S172" s="254"/>
    </row>
    <row r="173" spans="19:19" x14ac:dyDescent="0.2">
      <c r="S173" s="254"/>
    </row>
    <row r="174" spans="19:19" x14ac:dyDescent="0.2">
      <c r="S174" s="254"/>
    </row>
    <row r="175" spans="19:19" x14ac:dyDescent="0.2">
      <c r="S175" s="254"/>
    </row>
    <row r="176" spans="19:19" x14ac:dyDescent="0.2">
      <c r="S176" s="254"/>
    </row>
    <row r="177" spans="19:19" x14ac:dyDescent="0.2">
      <c r="S177" s="254"/>
    </row>
    <row r="178" spans="19:19" x14ac:dyDescent="0.2">
      <c r="S178" s="254"/>
    </row>
    <row r="179" spans="19:19" x14ac:dyDescent="0.2">
      <c r="S179" s="254"/>
    </row>
    <row r="180" spans="19:19" x14ac:dyDescent="0.2">
      <c r="S180" s="254"/>
    </row>
    <row r="181" spans="19:19" x14ac:dyDescent="0.2">
      <c r="S181" s="254"/>
    </row>
    <row r="182" spans="19:19" x14ac:dyDescent="0.2">
      <c r="S182" s="254"/>
    </row>
    <row r="183" spans="19:19" x14ac:dyDescent="0.2">
      <c r="S183" s="254"/>
    </row>
    <row r="184" spans="19:19" x14ac:dyDescent="0.2">
      <c r="S184" s="254"/>
    </row>
    <row r="185" spans="19:19" x14ac:dyDescent="0.2">
      <c r="S185" s="254"/>
    </row>
    <row r="186" spans="19:19" x14ac:dyDescent="0.2">
      <c r="S186" s="254"/>
    </row>
    <row r="187" spans="19:19" x14ac:dyDescent="0.2">
      <c r="S187" s="254"/>
    </row>
    <row r="188" spans="19:19" x14ac:dyDescent="0.2">
      <c r="S188" s="254"/>
    </row>
    <row r="189" spans="19:19" x14ac:dyDescent="0.2">
      <c r="S189" s="254"/>
    </row>
    <row r="190" spans="19:19" x14ac:dyDescent="0.2">
      <c r="S190" s="254"/>
    </row>
    <row r="191" spans="19:19" x14ac:dyDescent="0.2">
      <c r="S191" s="254"/>
    </row>
    <row r="192" spans="19:19" x14ac:dyDescent="0.2">
      <c r="S192" s="254"/>
    </row>
    <row r="193" spans="19:19" x14ac:dyDescent="0.2">
      <c r="S193" s="254"/>
    </row>
    <row r="194" spans="19:19" x14ac:dyDescent="0.2">
      <c r="S194" s="254"/>
    </row>
    <row r="195" spans="19:19" x14ac:dyDescent="0.2">
      <c r="S195" s="254"/>
    </row>
    <row r="196" spans="19:19" x14ac:dyDescent="0.2">
      <c r="S196" s="254"/>
    </row>
    <row r="197" spans="19:19" x14ac:dyDescent="0.2">
      <c r="S197" s="254"/>
    </row>
    <row r="198" spans="19:19" x14ac:dyDescent="0.2">
      <c r="S198" s="254"/>
    </row>
    <row r="199" spans="19:19" x14ac:dyDescent="0.2">
      <c r="S199" s="254"/>
    </row>
    <row r="200" spans="19:19" x14ac:dyDescent="0.2">
      <c r="S200" s="254"/>
    </row>
    <row r="201" spans="19:19" x14ac:dyDescent="0.2">
      <c r="S201" s="254"/>
    </row>
    <row r="202" spans="19:19" x14ac:dyDescent="0.2">
      <c r="S202" s="254"/>
    </row>
    <row r="203" spans="19:19" x14ac:dyDescent="0.2">
      <c r="S203" s="254"/>
    </row>
    <row r="204" spans="19:19" x14ac:dyDescent="0.2">
      <c r="S204" s="254"/>
    </row>
    <row r="205" spans="19:19" x14ac:dyDescent="0.2">
      <c r="S205" s="254"/>
    </row>
    <row r="206" spans="19:19" x14ac:dyDescent="0.2">
      <c r="S206" s="254"/>
    </row>
    <row r="207" spans="19:19" x14ac:dyDescent="0.2">
      <c r="S207" s="254"/>
    </row>
    <row r="208" spans="19:19" x14ac:dyDescent="0.2">
      <c r="S208" s="254"/>
    </row>
    <row r="209" spans="19:19" x14ac:dyDescent="0.2">
      <c r="S209" s="254"/>
    </row>
    <row r="210" spans="19:19" x14ac:dyDescent="0.2">
      <c r="S210" s="254"/>
    </row>
    <row r="211" spans="19:19" x14ac:dyDescent="0.2">
      <c r="S211" s="254"/>
    </row>
    <row r="212" spans="19:19" x14ac:dyDescent="0.2">
      <c r="S212" s="254"/>
    </row>
    <row r="213" spans="19:19" x14ac:dyDescent="0.2">
      <c r="S213" s="254"/>
    </row>
    <row r="214" spans="19:19" x14ac:dyDescent="0.2">
      <c r="S214" s="254"/>
    </row>
    <row r="215" spans="19:19" x14ac:dyDescent="0.2">
      <c r="S215" s="254"/>
    </row>
    <row r="216" spans="19:19" x14ac:dyDescent="0.2">
      <c r="S216" s="254"/>
    </row>
    <row r="217" spans="19:19" x14ac:dyDescent="0.2">
      <c r="S217" s="254"/>
    </row>
    <row r="218" spans="19:19" x14ac:dyDescent="0.2">
      <c r="S218" s="254"/>
    </row>
    <row r="219" spans="19:19" x14ac:dyDescent="0.2">
      <c r="S219" s="254"/>
    </row>
    <row r="220" spans="19:19" x14ac:dyDescent="0.2">
      <c r="S220" s="254"/>
    </row>
    <row r="221" spans="19:19" x14ac:dyDescent="0.2">
      <c r="S221" s="254"/>
    </row>
    <row r="222" spans="19:19" x14ac:dyDescent="0.2">
      <c r="S222" s="254"/>
    </row>
    <row r="223" spans="19:19" x14ac:dyDescent="0.2">
      <c r="S223" s="254"/>
    </row>
    <row r="224" spans="19:19" x14ac:dyDescent="0.2">
      <c r="S224" s="254"/>
    </row>
    <row r="225" spans="19:19" x14ac:dyDescent="0.2">
      <c r="S225" s="254"/>
    </row>
    <row r="226" spans="19:19" x14ac:dyDescent="0.2">
      <c r="S226" s="254"/>
    </row>
    <row r="227" spans="19:19" x14ac:dyDescent="0.2">
      <c r="S227" s="254"/>
    </row>
    <row r="228" spans="19:19" x14ac:dyDescent="0.2">
      <c r="S228" s="254"/>
    </row>
    <row r="229" spans="19:19" x14ac:dyDescent="0.2">
      <c r="S229" s="254"/>
    </row>
    <row r="230" spans="19:19" x14ac:dyDescent="0.2">
      <c r="S230" s="254"/>
    </row>
    <row r="231" spans="19:19" x14ac:dyDescent="0.2">
      <c r="S231" s="254"/>
    </row>
    <row r="232" spans="19:19" x14ac:dyDescent="0.2">
      <c r="S232" s="254"/>
    </row>
    <row r="233" spans="19:19" x14ac:dyDescent="0.2">
      <c r="S233" s="254"/>
    </row>
    <row r="234" spans="19:19" x14ac:dyDescent="0.2">
      <c r="S234" s="254"/>
    </row>
    <row r="235" spans="19:19" x14ac:dyDescent="0.2">
      <c r="S235" s="254"/>
    </row>
    <row r="236" spans="19:19" x14ac:dyDescent="0.2">
      <c r="S236" s="254"/>
    </row>
    <row r="237" spans="19:19" x14ac:dyDescent="0.2">
      <c r="S237" s="254"/>
    </row>
    <row r="238" spans="19:19" x14ac:dyDescent="0.2">
      <c r="S238" s="254"/>
    </row>
    <row r="239" spans="19:19" x14ac:dyDescent="0.2">
      <c r="S239" s="254"/>
    </row>
    <row r="240" spans="19:19" x14ac:dyDescent="0.2">
      <c r="S240" s="254"/>
    </row>
    <row r="241" spans="19:19" x14ac:dyDescent="0.2">
      <c r="S241" s="254"/>
    </row>
    <row r="242" spans="19:19" x14ac:dyDescent="0.2">
      <c r="S242" s="254"/>
    </row>
    <row r="243" spans="19:19" x14ac:dyDescent="0.2">
      <c r="S243" s="254"/>
    </row>
    <row r="244" spans="19:19" x14ac:dyDescent="0.2">
      <c r="S244" s="254"/>
    </row>
    <row r="245" spans="19:19" x14ac:dyDescent="0.2">
      <c r="S245" s="254"/>
    </row>
    <row r="246" spans="19:19" x14ac:dyDescent="0.2">
      <c r="S246" s="254"/>
    </row>
    <row r="247" spans="19:19" x14ac:dyDescent="0.2">
      <c r="S247" s="254"/>
    </row>
    <row r="248" spans="19:19" x14ac:dyDescent="0.2">
      <c r="S248" s="254"/>
    </row>
    <row r="249" spans="19:19" x14ac:dyDescent="0.2">
      <c r="S249" s="254"/>
    </row>
    <row r="250" spans="19:19" x14ac:dyDescent="0.2">
      <c r="S250" s="254"/>
    </row>
    <row r="251" spans="19:19" x14ac:dyDescent="0.2">
      <c r="S251" s="254"/>
    </row>
    <row r="252" spans="19:19" x14ac:dyDescent="0.2">
      <c r="S252" s="254"/>
    </row>
    <row r="253" spans="19:19" x14ac:dyDescent="0.2">
      <c r="S253" s="254"/>
    </row>
    <row r="254" spans="19:19" x14ac:dyDescent="0.2">
      <c r="S254" s="254"/>
    </row>
    <row r="255" spans="19:19" x14ac:dyDescent="0.2">
      <c r="S255" s="254"/>
    </row>
    <row r="256" spans="19:19" x14ac:dyDescent="0.2">
      <c r="S256" s="254"/>
    </row>
    <row r="257" spans="19:19" x14ac:dyDescent="0.2">
      <c r="S257" s="254"/>
    </row>
    <row r="258" spans="19:19" x14ac:dyDescent="0.2">
      <c r="S258" s="254"/>
    </row>
    <row r="259" spans="19:19" x14ac:dyDescent="0.2">
      <c r="S259" s="254"/>
    </row>
    <row r="260" spans="19:19" x14ac:dyDescent="0.2">
      <c r="S260" s="254"/>
    </row>
    <row r="261" spans="19:19" x14ac:dyDescent="0.2">
      <c r="S261" s="254"/>
    </row>
    <row r="262" spans="19:19" x14ac:dyDescent="0.2">
      <c r="S262" s="254"/>
    </row>
    <row r="263" spans="19:19" x14ac:dyDescent="0.2">
      <c r="S263" s="254"/>
    </row>
    <row r="264" spans="19:19" x14ac:dyDescent="0.2">
      <c r="S264" s="254"/>
    </row>
    <row r="265" spans="19:19" x14ac:dyDescent="0.2">
      <c r="S265" s="254"/>
    </row>
    <row r="266" spans="19:19" x14ac:dyDescent="0.2">
      <c r="S266" s="254"/>
    </row>
    <row r="267" spans="19:19" x14ac:dyDescent="0.2">
      <c r="S267" s="254"/>
    </row>
    <row r="268" spans="19:19" x14ac:dyDescent="0.2">
      <c r="S268" s="254"/>
    </row>
    <row r="269" spans="19:19" x14ac:dyDescent="0.2">
      <c r="S269" s="254"/>
    </row>
    <row r="270" spans="19:19" x14ac:dyDescent="0.2">
      <c r="S270" s="254"/>
    </row>
    <row r="271" spans="19:19" x14ac:dyDescent="0.2">
      <c r="S271" s="254"/>
    </row>
    <row r="272" spans="19:19" x14ac:dyDescent="0.2">
      <c r="S272" s="254"/>
    </row>
    <row r="273" spans="19:19" x14ac:dyDescent="0.2">
      <c r="S273" s="254"/>
    </row>
    <row r="274" spans="19:19" x14ac:dyDescent="0.2">
      <c r="S274" s="254"/>
    </row>
    <row r="275" spans="19:19" x14ac:dyDescent="0.2">
      <c r="S275" s="254"/>
    </row>
    <row r="276" spans="19:19" x14ac:dyDescent="0.2">
      <c r="S276" s="254"/>
    </row>
    <row r="277" spans="19:19" x14ac:dyDescent="0.2">
      <c r="S277" s="254"/>
    </row>
    <row r="278" spans="19:19" x14ac:dyDescent="0.2">
      <c r="S278" s="254"/>
    </row>
    <row r="279" spans="19:19" x14ac:dyDescent="0.2">
      <c r="S279" s="254"/>
    </row>
    <row r="280" spans="19:19" x14ac:dyDescent="0.2">
      <c r="S280" s="254"/>
    </row>
    <row r="281" spans="19:19" x14ac:dyDescent="0.2">
      <c r="S281" s="254"/>
    </row>
    <row r="282" spans="19:19" x14ac:dyDescent="0.2">
      <c r="S282" s="254"/>
    </row>
    <row r="283" spans="19:19" x14ac:dyDescent="0.2">
      <c r="S283" s="254"/>
    </row>
    <row r="284" spans="19:19" x14ac:dyDescent="0.2">
      <c r="S284" s="254"/>
    </row>
    <row r="285" spans="19:19" x14ac:dyDescent="0.2">
      <c r="S285" s="254"/>
    </row>
    <row r="286" spans="19:19" x14ac:dyDescent="0.2">
      <c r="S286" s="254"/>
    </row>
    <row r="287" spans="19:19" x14ac:dyDescent="0.2">
      <c r="S287" s="254"/>
    </row>
    <row r="288" spans="19:19" x14ac:dyDescent="0.2">
      <c r="S288" s="254"/>
    </row>
    <row r="289" spans="19:19" x14ac:dyDescent="0.2">
      <c r="S289" s="254"/>
    </row>
    <row r="290" spans="19:19" x14ac:dyDescent="0.2">
      <c r="S290" s="254"/>
    </row>
    <row r="291" spans="19:19" x14ac:dyDescent="0.2">
      <c r="S291" s="254"/>
    </row>
    <row r="292" spans="19:19" x14ac:dyDescent="0.2">
      <c r="S292" s="254"/>
    </row>
    <row r="293" spans="19:19" x14ac:dyDescent="0.2">
      <c r="S293" s="254"/>
    </row>
    <row r="294" spans="19:19" x14ac:dyDescent="0.2">
      <c r="S294" s="254"/>
    </row>
    <row r="295" spans="19:19" x14ac:dyDescent="0.2">
      <c r="S295" s="254"/>
    </row>
    <row r="296" spans="19:19" x14ac:dyDescent="0.2">
      <c r="S296" s="254"/>
    </row>
    <row r="297" spans="19:19" x14ac:dyDescent="0.2">
      <c r="S297" s="254"/>
    </row>
    <row r="298" spans="19:19" x14ac:dyDescent="0.2">
      <c r="S298" s="254"/>
    </row>
    <row r="299" spans="19:19" x14ac:dyDescent="0.2">
      <c r="S299" s="254"/>
    </row>
    <row r="300" spans="19:19" x14ac:dyDescent="0.2">
      <c r="S300" s="254"/>
    </row>
    <row r="301" spans="19:19" x14ac:dyDescent="0.2">
      <c r="S301" s="254"/>
    </row>
    <row r="302" spans="19:19" x14ac:dyDescent="0.2">
      <c r="S302" s="254"/>
    </row>
    <row r="303" spans="19:19" x14ac:dyDescent="0.2">
      <c r="S303" s="254"/>
    </row>
    <row r="304" spans="19:19" x14ac:dyDescent="0.2">
      <c r="S304" s="254"/>
    </row>
    <row r="305" spans="19:19" x14ac:dyDescent="0.2">
      <c r="S305" s="254"/>
    </row>
    <row r="306" spans="19:19" x14ac:dyDescent="0.2">
      <c r="S306" s="254"/>
    </row>
    <row r="307" spans="19:19" x14ac:dyDescent="0.2">
      <c r="S307" s="254"/>
    </row>
    <row r="308" spans="19:19" x14ac:dyDescent="0.2">
      <c r="S308" s="254"/>
    </row>
    <row r="309" spans="19:19" x14ac:dyDescent="0.2">
      <c r="S309" s="254"/>
    </row>
    <row r="310" spans="19:19" x14ac:dyDescent="0.2">
      <c r="S310" s="254"/>
    </row>
    <row r="311" spans="19:19" x14ac:dyDescent="0.2">
      <c r="S311" s="254"/>
    </row>
    <row r="312" spans="19:19" x14ac:dyDescent="0.2">
      <c r="S312" s="254"/>
    </row>
    <row r="313" spans="19:19" x14ac:dyDescent="0.2">
      <c r="S313" s="254"/>
    </row>
    <row r="314" spans="19:19" x14ac:dyDescent="0.2">
      <c r="S314" s="254"/>
    </row>
    <row r="315" spans="19:19" x14ac:dyDescent="0.2">
      <c r="S315" s="254"/>
    </row>
    <row r="316" spans="19:19" x14ac:dyDescent="0.2">
      <c r="S316" s="254"/>
    </row>
    <row r="317" spans="19:19" x14ac:dyDescent="0.2">
      <c r="S317" s="254"/>
    </row>
    <row r="318" spans="19:19" x14ac:dyDescent="0.2">
      <c r="S318" s="254"/>
    </row>
    <row r="319" spans="19:19" x14ac:dyDescent="0.2">
      <c r="S319" s="254"/>
    </row>
    <row r="320" spans="19:19" x14ac:dyDescent="0.2">
      <c r="S320" s="254"/>
    </row>
    <row r="321" spans="19:19" x14ac:dyDescent="0.2">
      <c r="S321" s="254"/>
    </row>
    <row r="322" spans="19:19" x14ac:dyDescent="0.2">
      <c r="S322" s="254"/>
    </row>
    <row r="323" spans="19:19" x14ac:dyDescent="0.2">
      <c r="S323" s="254"/>
    </row>
    <row r="324" spans="19:19" x14ac:dyDescent="0.2">
      <c r="S324" s="254"/>
    </row>
    <row r="325" spans="19:19" x14ac:dyDescent="0.2">
      <c r="S325" s="254"/>
    </row>
    <row r="326" spans="19:19" x14ac:dyDescent="0.2">
      <c r="S326" s="254"/>
    </row>
    <row r="327" spans="19:19" x14ac:dyDescent="0.2">
      <c r="S327" s="254"/>
    </row>
    <row r="328" spans="19:19" x14ac:dyDescent="0.2">
      <c r="S328" s="254"/>
    </row>
    <row r="329" spans="19:19" x14ac:dyDescent="0.2">
      <c r="S329" s="254"/>
    </row>
    <row r="330" spans="19:19" x14ac:dyDescent="0.2">
      <c r="S330" s="254"/>
    </row>
    <row r="331" spans="19:19" x14ac:dyDescent="0.2">
      <c r="S331" s="254"/>
    </row>
    <row r="332" spans="19:19" x14ac:dyDescent="0.2">
      <c r="S332" s="254"/>
    </row>
    <row r="333" spans="19:19" x14ac:dyDescent="0.2">
      <c r="S333" s="254"/>
    </row>
    <row r="334" spans="19:19" x14ac:dyDescent="0.2">
      <c r="S334" s="254"/>
    </row>
    <row r="335" spans="19:19" x14ac:dyDescent="0.2">
      <c r="S335" s="254"/>
    </row>
    <row r="336" spans="19:19" x14ac:dyDescent="0.2">
      <c r="S336" s="254"/>
    </row>
    <row r="337" spans="19:19" x14ac:dyDescent="0.2">
      <c r="S337" s="254"/>
    </row>
    <row r="338" spans="19:19" x14ac:dyDescent="0.2">
      <c r="S338" s="254"/>
    </row>
    <row r="339" spans="19:19" x14ac:dyDescent="0.2">
      <c r="S339" s="254"/>
    </row>
    <row r="340" spans="19:19" x14ac:dyDescent="0.2">
      <c r="S340" s="254"/>
    </row>
    <row r="341" spans="19:19" x14ac:dyDescent="0.2">
      <c r="S341" s="254"/>
    </row>
    <row r="342" spans="19:19" x14ac:dyDescent="0.2">
      <c r="S342" s="254"/>
    </row>
    <row r="343" spans="19:19" x14ac:dyDescent="0.2">
      <c r="S343" s="254"/>
    </row>
    <row r="344" spans="19:19" x14ac:dyDescent="0.2">
      <c r="S344" s="254"/>
    </row>
    <row r="345" spans="19:19" x14ac:dyDescent="0.2">
      <c r="S345" s="254"/>
    </row>
    <row r="346" spans="19:19" x14ac:dyDescent="0.2">
      <c r="S346" s="254"/>
    </row>
    <row r="347" spans="19:19" x14ac:dyDescent="0.2">
      <c r="S347" s="254"/>
    </row>
    <row r="348" spans="19:19" x14ac:dyDescent="0.2">
      <c r="S348" s="254"/>
    </row>
    <row r="349" spans="19:19" x14ac:dyDescent="0.2">
      <c r="S349" s="254"/>
    </row>
    <row r="350" spans="19:19" x14ac:dyDescent="0.2">
      <c r="S350" s="254"/>
    </row>
    <row r="351" spans="19:19" x14ac:dyDescent="0.2">
      <c r="S351" s="254"/>
    </row>
    <row r="352" spans="19:19" x14ac:dyDescent="0.2">
      <c r="S352" s="254"/>
    </row>
    <row r="353" spans="19:19" x14ac:dyDescent="0.2">
      <c r="S353" s="254"/>
    </row>
    <row r="354" spans="19:19" x14ac:dyDescent="0.2">
      <c r="S354" s="254"/>
    </row>
    <row r="355" spans="19:19" x14ac:dyDescent="0.2">
      <c r="S355" s="254"/>
    </row>
    <row r="356" spans="19:19" x14ac:dyDescent="0.2">
      <c r="S356" s="254"/>
    </row>
    <row r="357" spans="19:19" x14ac:dyDescent="0.2">
      <c r="S357" s="254"/>
    </row>
    <row r="358" spans="19:19" x14ac:dyDescent="0.2">
      <c r="S358" s="254"/>
    </row>
    <row r="359" spans="19:19" x14ac:dyDescent="0.2">
      <c r="S359" s="254"/>
    </row>
    <row r="360" spans="19:19" x14ac:dyDescent="0.2">
      <c r="S360" s="254"/>
    </row>
    <row r="361" spans="19:19" x14ac:dyDescent="0.2">
      <c r="S361" s="254"/>
    </row>
    <row r="362" spans="19:19" x14ac:dyDescent="0.2">
      <c r="S362" s="254"/>
    </row>
    <row r="363" spans="19:19" x14ac:dyDescent="0.2">
      <c r="S363" s="254"/>
    </row>
    <row r="364" spans="19:19" x14ac:dyDescent="0.2">
      <c r="S364" s="254"/>
    </row>
    <row r="365" spans="19:19" x14ac:dyDescent="0.2">
      <c r="S365" s="254"/>
    </row>
    <row r="366" spans="19:19" x14ac:dyDescent="0.2">
      <c r="S366" s="254"/>
    </row>
    <row r="367" spans="19:19" x14ac:dyDescent="0.2">
      <c r="S367" s="254"/>
    </row>
    <row r="368" spans="19:19" x14ac:dyDescent="0.2">
      <c r="S368" s="254"/>
    </row>
    <row r="369" spans="19:19" x14ac:dyDescent="0.2">
      <c r="S369" s="254"/>
    </row>
    <row r="370" spans="19:19" x14ac:dyDescent="0.2">
      <c r="S370" s="254"/>
    </row>
    <row r="371" spans="19:19" x14ac:dyDescent="0.2">
      <c r="S371" s="254"/>
    </row>
    <row r="372" spans="19:19" x14ac:dyDescent="0.2">
      <c r="S372" s="254"/>
    </row>
    <row r="373" spans="19:19" x14ac:dyDescent="0.2">
      <c r="S373" s="254"/>
    </row>
    <row r="374" spans="19:19" x14ac:dyDescent="0.2">
      <c r="S374" s="254"/>
    </row>
    <row r="375" spans="19:19" x14ac:dyDescent="0.2">
      <c r="S375" s="254"/>
    </row>
    <row r="376" spans="19:19" x14ac:dyDescent="0.2">
      <c r="S376" s="254"/>
    </row>
    <row r="377" spans="19:19" x14ac:dyDescent="0.2">
      <c r="S377" s="254"/>
    </row>
    <row r="378" spans="19:19" x14ac:dyDescent="0.2">
      <c r="S378" s="254"/>
    </row>
    <row r="379" spans="19:19" x14ac:dyDescent="0.2">
      <c r="S379" s="254"/>
    </row>
    <row r="380" spans="19:19" x14ac:dyDescent="0.2">
      <c r="S380" s="254"/>
    </row>
    <row r="381" spans="19:19" x14ac:dyDescent="0.2">
      <c r="S381" s="254"/>
    </row>
    <row r="382" spans="19:19" x14ac:dyDescent="0.2">
      <c r="S382" s="254"/>
    </row>
    <row r="383" spans="19:19" x14ac:dyDescent="0.2">
      <c r="S383" s="254"/>
    </row>
    <row r="384" spans="19:19" x14ac:dyDescent="0.2">
      <c r="S384" s="254"/>
    </row>
    <row r="385" spans="19:19" x14ac:dyDescent="0.2">
      <c r="S385" s="254"/>
    </row>
    <row r="386" spans="19:19" x14ac:dyDescent="0.2">
      <c r="S386" s="254"/>
    </row>
    <row r="387" spans="19:19" x14ac:dyDescent="0.2">
      <c r="S387" s="254"/>
    </row>
    <row r="388" spans="19:19" x14ac:dyDescent="0.2">
      <c r="S388" s="254"/>
    </row>
    <row r="389" spans="19:19" x14ac:dyDescent="0.2">
      <c r="S389" s="254"/>
    </row>
    <row r="390" spans="19:19" x14ac:dyDescent="0.2">
      <c r="S390" s="254"/>
    </row>
    <row r="391" spans="19:19" x14ac:dyDescent="0.2">
      <c r="S391" s="254"/>
    </row>
    <row r="392" spans="19:19" x14ac:dyDescent="0.2">
      <c r="S392" s="254"/>
    </row>
    <row r="393" spans="19:19" x14ac:dyDescent="0.2">
      <c r="S393" s="254"/>
    </row>
    <row r="394" spans="19:19" x14ac:dyDescent="0.2">
      <c r="S394" s="254"/>
    </row>
    <row r="395" spans="19:19" x14ac:dyDescent="0.2">
      <c r="S395" s="254"/>
    </row>
    <row r="396" spans="19:19" x14ac:dyDescent="0.2">
      <c r="S396" s="254"/>
    </row>
    <row r="397" spans="19:19" x14ac:dyDescent="0.2">
      <c r="S397" s="254"/>
    </row>
    <row r="398" spans="19:19" x14ac:dyDescent="0.2">
      <c r="S398" s="254"/>
    </row>
    <row r="399" spans="19:19" x14ac:dyDescent="0.2">
      <c r="S399" s="254"/>
    </row>
    <row r="400" spans="19:19" x14ac:dyDescent="0.2">
      <c r="S400" s="254"/>
    </row>
    <row r="401" spans="19:19" x14ac:dyDescent="0.2">
      <c r="S401" s="254"/>
    </row>
    <row r="402" spans="19:19" x14ac:dyDescent="0.2">
      <c r="S402" s="254"/>
    </row>
    <row r="403" spans="19:19" x14ac:dyDescent="0.2">
      <c r="S403" s="254"/>
    </row>
    <row r="404" spans="19:19" x14ac:dyDescent="0.2">
      <c r="S404" s="254"/>
    </row>
    <row r="405" spans="19:19" x14ac:dyDescent="0.2">
      <c r="S405" s="254"/>
    </row>
    <row r="406" spans="19:19" x14ac:dyDescent="0.2">
      <c r="S406" s="254"/>
    </row>
    <row r="407" spans="19:19" x14ac:dyDescent="0.2">
      <c r="S407" s="254"/>
    </row>
    <row r="408" spans="19:19" x14ac:dyDescent="0.2">
      <c r="S408" s="254"/>
    </row>
    <row r="409" spans="19:19" x14ac:dyDescent="0.2">
      <c r="S409" s="254"/>
    </row>
    <row r="410" spans="19:19" x14ac:dyDescent="0.2">
      <c r="S410" s="254"/>
    </row>
    <row r="411" spans="19:19" x14ac:dyDescent="0.2">
      <c r="S411" s="254"/>
    </row>
    <row r="412" spans="19:19" x14ac:dyDescent="0.2">
      <c r="S412" s="254"/>
    </row>
    <row r="413" spans="19:19" x14ac:dyDescent="0.2">
      <c r="S413" s="254"/>
    </row>
    <row r="414" spans="19:19" x14ac:dyDescent="0.2">
      <c r="S414" s="254"/>
    </row>
    <row r="415" spans="19:19" x14ac:dyDescent="0.2">
      <c r="S415" s="254"/>
    </row>
    <row r="416" spans="19:19" x14ac:dyDescent="0.2">
      <c r="S416" s="254"/>
    </row>
    <row r="417" spans="19:19" x14ac:dyDescent="0.2">
      <c r="S417" s="254"/>
    </row>
    <row r="418" spans="19:19" x14ac:dyDescent="0.2">
      <c r="S418" s="254"/>
    </row>
    <row r="419" spans="19:19" x14ac:dyDescent="0.2">
      <c r="S419" s="254"/>
    </row>
    <row r="420" spans="19:19" x14ac:dyDescent="0.2">
      <c r="S420" s="254"/>
    </row>
    <row r="421" spans="19:19" x14ac:dyDescent="0.2">
      <c r="S421" s="254"/>
    </row>
    <row r="422" spans="19:19" x14ac:dyDescent="0.2">
      <c r="S422" s="254"/>
    </row>
    <row r="423" spans="19:19" x14ac:dyDescent="0.2">
      <c r="S423" s="254"/>
    </row>
    <row r="424" spans="19:19" x14ac:dyDescent="0.2">
      <c r="S424" s="254"/>
    </row>
    <row r="425" spans="19:19" x14ac:dyDescent="0.2">
      <c r="S425" s="254"/>
    </row>
    <row r="426" spans="19:19" x14ac:dyDescent="0.2">
      <c r="S426" s="254"/>
    </row>
    <row r="427" spans="19:19" x14ac:dyDescent="0.2">
      <c r="S427" s="254"/>
    </row>
    <row r="428" spans="19:19" x14ac:dyDescent="0.2">
      <c r="S428" s="254"/>
    </row>
    <row r="429" spans="19:19" x14ac:dyDescent="0.2">
      <c r="S429" s="254"/>
    </row>
    <row r="430" spans="19:19" x14ac:dyDescent="0.2">
      <c r="S430" s="254"/>
    </row>
    <row r="431" spans="19:19" x14ac:dyDescent="0.2">
      <c r="S431" s="254"/>
    </row>
    <row r="432" spans="19:19" x14ac:dyDescent="0.2">
      <c r="S432" s="254"/>
    </row>
    <row r="433" spans="19:19" x14ac:dyDescent="0.2">
      <c r="S433" s="254"/>
    </row>
    <row r="434" spans="19:19" x14ac:dyDescent="0.2">
      <c r="S434" s="254"/>
    </row>
    <row r="435" spans="19:19" x14ac:dyDescent="0.2">
      <c r="S435" s="254"/>
    </row>
    <row r="436" spans="19:19" x14ac:dyDescent="0.2">
      <c r="S436" s="254"/>
    </row>
    <row r="437" spans="19:19" x14ac:dyDescent="0.2">
      <c r="S437" s="254"/>
    </row>
    <row r="438" spans="19:19" x14ac:dyDescent="0.2">
      <c r="S438" s="254"/>
    </row>
    <row r="439" spans="19:19" x14ac:dyDescent="0.2">
      <c r="S439" s="254"/>
    </row>
    <row r="440" spans="19:19" x14ac:dyDescent="0.2">
      <c r="S440" s="254"/>
    </row>
    <row r="441" spans="19:19" x14ac:dyDescent="0.2">
      <c r="S441" s="254"/>
    </row>
    <row r="442" spans="19:19" x14ac:dyDescent="0.2">
      <c r="S442" s="254"/>
    </row>
    <row r="443" spans="19:19" x14ac:dyDescent="0.2">
      <c r="S443" s="254"/>
    </row>
    <row r="444" spans="19:19" x14ac:dyDescent="0.2">
      <c r="S444" s="254"/>
    </row>
    <row r="445" spans="19:19" x14ac:dyDescent="0.2">
      <c r="S445" s="254"/>
    </row>
    <row r="446" spans="19:19" x14ac:dyDescent="0.2">
      <c r="S446" s="254"/>
    </row>
    <row r="447" spans="19:19" x14ac:dyDescent="0.2">
      <c r="S447" s="254"/>
    </row>
    <row r="448" spans="19:19" x14ac:dyDescent="0.2">
      <c r="S448" s="254"/>
    </row>
    <row r="449" spans="19:19" x14ac:dyDescent="0.2">
      <c r="S449" s="254"/>
    </row>
    <row r="450" spans="19:19" x14ac:dyDescent="0.2">
      <c r="S450" s="254"/>
    </row>
    <row r="451" spans="19:19" x14ac:dyDescent="0.2">
      <c r="S451" s="254"/>
    </row>
    <row r="452" spans="19:19" x14ac:dyDescent="0.2">
      <c r="S452" s="254"/>
    </row>
    <row r="453" spans="19:19" x14ac:dyDescent="0.2">
      <c r="S453" s="254"/>
    </row>
    <row r="454" spans="19:19" x14ac:dyDescent="0.2">
      <c r="S454" s="254"/>
    </row>
    <row r="455" spans="19:19" x14ac:dyDescent="0.2">
      <c r="S455" s="254"/>
    </row>
    <row r="456" spans="19:19" x14ac:dyDescent="0.2">
      <c r="S456" s="254"/>
    </row>
    <row r="457" spans="19:19" x14ac:dyDescent="0.2">
      <c r="S457" s="254"/>
    </row>
    <row r="458" spans="19:19" x14ac:dyDescent="0.2">
      <c r="S458" s="254"/>
    </row>
    <row r="459" spans="19:19" x14ac:dyDescent="0.2">
      <c r="S459" s="254"/>
    </row>
    <row r="460" spans="19:19" x14ac:dyDescent="0.2">
      <c r="S460" s="254"/>
    </row>
    <row r="461" spans="19:19" x14ac:dyDescent="0.2">
      <c r="S461" s="254"/>
    </row>
    <row r="462" spans="19:19" x14ac:dyDescent="0.2">
      <c r="S462" s="254"/>
    </row>
    <row r="463" spans="19:19" x14ac:dyDescent="0.2">
      <c r="S463" s="254"/>
    </row>
    <row r="464" spans="19:19" x14ac:dyDescent="0.2">
      <c r="S464" s="254"/>
    </row>
    <row r="465" spans="19:19" x14ac:dyDescent="0.2">
      <c r="S465" s="254"/>
    </row>
    <row r="466" spans="19:19" x14ac:dyDescent="0.2">
      <c r="S466" s="254"/>
    </row>
    <row r="467" spans="19:19" x14ac:dyDescent="0.2">
      <c r="S467" s="254"/>
    </row>
    <row r="468" spans="19:19" x14ac:dyDescent="0.2">
      <c r="S468" s="254"/>
    </row>
    <row r="469" spans="19:19" x14ac:dyDescent="0.2">
      <c r="S469" s="254"/>
    </row>
    <row r="470" spans="19:19" x14ac:dyDescent="0.2">
      <c r="S470" s="254"/>
    </row>
    <row r="471" spans="19:19" x14ac:dyDescent="0.2">
      <c r="S471" s="254"/>
    </row>
    <row r="472" spans="19:19" x14ac:dyDescent="0.2">
      <c r="S472" s="254"/>
    </row>
    <row r="473" spans="19:19" x14ac:dyDescent="0.2">
      <c r="S473" s="254"/>
    </row>
    <row r="474" spans="19:19" x14ac:dyDescent="0.2">
      <c r="S474" s="254"/>
    </row>
    <row r="475" spans="19:19" x14ac:dyDescent="0.2">
      <c r="S475" s="254"/>
    </row>
    <row r="476" spans="19:19" x14ac:dyDescent="0.2">
      <c r="S476" s="254"/>
    </row>
    <row r="477" spans="19:19" x14ac:dyDescent="0.2">
      <c r="S477" s="254"/>
    </row>
    <row r="478" spans="19:19" x14ac:dyDescent="0.2">
      <c r="S478" s="254"/>
    </row>
    <row r="479" spans="19:19" x14ac:dyDescent="0.2">
      <c r="S479" s="254"/>
    </row>
    <row r="480" spans="19:19" x14ac:dyDescent="0.2">
      <c r="S480" s="254"/>
    </row>
    <row r="481" spans="19:19" x14ac:dyDescent="0.2">
      <c r="S481" s="254"/>
    </row>
    <row r="482" spans="19:19" x14ac:dyDescent="0.2">
      <c r="S482" s="254"/>
    </row>
    <row r="483" spans="19:19" x14ac:dyDescent="0.2">
      <c r="S483" s="254"/>
    </row>
    <row r="484" spans="19:19" x14ac:dyDescent="0.2">
      <c r="S484" s="254"/>
    </row>
    <row r="485" spans="19:19" x14ac:dyDescent="0.2">
      <c r="S485" s="254"/>
    </row>
    <row r="486" spans="19:19" x14ac:dyDescent="0.2">
      <c r="S486" s="254"/>
    </row>
    <row r="487" spans="19:19" x14ac:dyDescent="0.2">
      <c r="S487" s="254"/>
    </row>
    <row r="488" spans="19:19" x14ac:dyDescent="0.2">
      <c r="S488" s="254"/>
    </row>
    <row r="489" spans="19:19" x14ac:dyDescent="0.2">
      <c r="S489" s="254"/>
    </row>
  </sheetData>
  <sheetProtection selectLockedCells="1" selectUnlockedCells="1"/>
  <sortState xmlns:xlrd2="http://schemas.microsoft.com/office/spreadsheetml/2017/richdata2" ref="U2:U113">
    <sortCondition ref="U2"/>
  </sortState>
  <phoneticPr fontId="78" type="noConversion"/>
  <conditionalFormatting sqref="F2:F12">
    <cfRule type="duplicateValues" dxfId="6908" priority="4358"/>
  </conditionalFormatting>
  <conditionalFormatting sqref="H3:H10">
    <cfRule type="duplicateValues" dxfId="6907" priority="4689"/>
  </conditionalFormatting>
  <conditionalFormatting sqref="F7:F12 B2 A2:A8 D2:E3 D4:D7 C2:C10 I2:J6 J7 E4:E23 J9 I7:I11 K2:L12 G2 F3:G6 G7:G16">
    <cfRule type="duplicateValues" dxfId="6906" priority="4697"/>
  </conditionalFormatting>
  <conditionalFormatting sqref="S33:S38 S2:S3">
    <cfRule type="duplicateValues" dxfId="6905" priority="4724"/>
  </conditionalFormatting>
  <conditionalFormatting sqref="O2">
    <cfRule type="duplicateValues" dxfId="6904" priority="65"/>
  </conditionalFormatting>
  <conditionalFormatting sqref="Q34">
    <cfRule type="duplicateValues" dxfId="6903" priority="63"/>
  </conditionalFormatting>
  <conditionalFormatting sqref="T38">
    <cfRule type="duplicateValues" dxfId="6902" priority="59"/>
  </conditionalFormatting>
  <conditionalFormatting sqref="S20:S30">
    <cfRule type="duplicateValues" dxfId="6901" priority="58"/>
  </conditionalFormatting>
  <conditionalFormatting sqref="O3">
    <cfRule type="duplicateValues" dxfId="6900" priority="57"/>
  </conditionalFormatting>
  <conditionalFormatting sqref="O4">
    <cfRule type="duplicateValues" dxfId="6899" priority="56"/>
  </conditionalFormatting>
  <conditionalFormatting sqref="O5">
    <cfRule type="duplicateValues" dxfId="6898" priority="55"/>
  </conditionalFormatting>
  <conditionalFormatting sqref="O6">
    <cfRule type="duplicateValues" dxfId="6897" priority="54"/>
  </conditionalFormatting>
  <conditionalFormatting sqref="O7">
    <cfRule type="duplicateValues" dxfId="6896" priority="53"/>
  </conditionalFormatting>
  <conditionalFormatting sqref="O8">
    <cfRule type="duplicateValues" dxfId="6895" priority="52"/>
  </conditionalFormatting>
  <conditionalFormatting sqref="O9">
    <cfRule type="duplicateValues" dxfId="6894" priority="51"/>
  </conditionalFormatting>
  <conditionalFormatting sqref="O10">
    <cfRule type="duplicateValues" dxfId="6893" priority="50"/>
  </conditionalFormatting>
  <conditionalFormatting sqref="O11">
    <cfRule type="duplicateValues" dxfId="6892" priority="49"/>
  </conditionalFormatting>
  <conditionalFormatting sqref="O12">
    <cfRule type="duplicateValues" dxfId="6891" priority="48"/>
  </conditionalFormatting>
  <conditionalFormatting sqref="O13">
    <cfRule type="duplicateValues" dxfId="6890" priority="47"/>
  </conditionalFormatting>
  <conditionalFormatting sqref="O14">
    <cfRule type="duplicateValues" dxfId="6889" priority="46"/>
  </conditionalFormatting>
  <conditionalFormatting sqref="O15">
    <cfRule type="duplicateValues" dxfId="6888" priority="45"/>
  </conditionalFormatting>
  <conditionalFormatting sqref="O16">
    <cfRule type="duplicateValues" dxfId="6887" priority="44"/>
  </conditionalFormatting>
  <conditionalFormatting sqref="O17">
    <cfRule type="duplicateValues" dxfId="6886" priority="43"/>
  </conditionalFormatting>
  <conditionalFormatting sqref="O18">
    <cfRule type="duplicateValues" dxfId="6885" priority="42"/>
  </conditionalFormatting>
  <conditionalFormatting sqref="O19">
    <cfRule type="duplicateValues" dxfId="6884" priority="41"/>
  </conditionalFormatting>
  <conditionalFormatting sqref="O20">
    <cfRule type="duplicateValues" dxfId="6883" priority="40"/>
  </conditionalFormatting>
  <conditionalFormatting sqref="O21">
    <cfRule type="duplicateValues" dxfId="6882" priority="39"/>
  </conditionalFormatting>
  <conditionalFormatting sqref="O22">
    <cfRule type="duplicateValues" dxfId="6881" priority="38"/>
  </conditionalFormatting>
  <conditionalFormatting sqref="O23">
    <cfRule type="duplicateValues" dxfId="6880" priority="37"/>
  </conditionalFormatting>
  <conditionalFormatting sqref="O26">
    <cfRule type="duplicateValues" dxfId="6879" priority="34"/>
  </conditionalFormatting>
  <conditionalFormatting sqref="O27">
    <cfRule type="duplicateValues" dxfId="6878" priority="33"/>
  </conditionalFormatting>
  <conditionalFormatting sqref="O28">
    <cfRule type="duplicateValues" dxfId="6877" priority="32"/>
  </conditionalFormatting>
  <conditionalFormatting sqref="O29">
    <cfRule type="duplicateValues" dxfId="6876" priority="31"/>
  </conditionalFormatting>
  <conditionalFormatting sqref="O30">
    <cfRule type="duplicateValues" dxfId="6875" priority="30"/>
  </conditionalFormatting>
  <conditionalFormatting sqref="O31">
    <cfRule type="duplicateValues" dxfId="6874" priority="29"/>
  </conditionalFormatting>
  <conditionalFormatting sqref="O32">
    <cfRule type="duplicateValues" dxfId="6873" priority="28"/>
  </conditionalFormatting>
  <conditionalFormatting sqref="O33">
    <cfRule type="duplicateValues" dxfId="6872" priority="27"/>
  </conditionalFormatting>
  <conditionalFormatting sqref="O34">
    <cfRule type="duplicateValues" dxfId="6871" priority="26"/>
  </conditionalFormatting>
  <conditionalFormatting sqref="O35">
    <cfRule type="duplicateValues" dxfId="6870" priority="25"/>
  </conditionalFormatting>
  <conditionalFormatting sqref="O36">
    <cfRule type="duplicateValues" dxfId="6869" priority="24"/>
  </conditionalFormatting>
  <conditionalFormatting sqref="O37">
    <cfRule type="duplicateValues" dxfId="6868" priority="23"/>
  </conditionalFormatting>
  <conditionalFormatting sqref="O38">
    <cfRule type="duplicateValues" dxfId="6867" priority="22"/>
  </conditionalFormatting>
  <conditionalFormatting sqref="O39">
    <cfRule type="duplicateValues" dxfId="6866" priority="21"/>
  </conditionalFormatting>
  <conditionalFormatting sqref="X2">
    <cfRule type="duplicateValues" dxfId="6865" priority="16"/>
  </conditionalFormatting>
  <conditionalFormatting sqref="X62:X72">
    <cfRule type="duplicateValues" dxfId="6864" priority="13"/>
  </conditionalFormatting>
  <conditionalFormatting sqref="W2">
    <cfRule type="duplicateValues" dxfId="6863" priority="12"/>
  </conditionalFormatting>
  <conditionalFormatting sqref="S16:S19">
    <cfRule type="duplicateValues" dxfId="6862" priority="11"/>
  </conditionalFormatting>
  <conditionalFormatting sqref="S40:S43">
    <cfRule type="duplicateValues" dxfId="6861" priority="10"/>
  </conditionalFormatting>
  <conditionalFormatting sqref="S44:S45">
    <cfRule type="duplicateValues" dxfId="6860" priority="9"/>
  </conditionalFormatting>
  <conditionalFormatting sqref="O40:O42">
    <cfRule type="duplicateValues" dxfId="6859" priority="8"/>
  </conditionalFormatting>
  <conditionalFormatting sqref="P42:P46">
    <cfRule type="duplicateValues" dxfId="6858" priority="7"/>
  </conditionalFormatting>
  <conditionalFormatting sqref="Q35">
    <cfRule type="duplicateValues" dxfId="6857" priority="6"/>
  </conditionalFormatting>
  <conditionalFormatting sqref="V34:V35">
    <cfRule type="duplicateValues" dxfId="6856" priority="5"/>
  </conditionalFormatting>
  <conditionalFormatting sqref="U4:U37 S31:S32 P4:Q33 T16:T33 S4:T15 V4:Y33">
    <cfRule type="duplicateValues" dxfId="6855" priority="4740"/>
  </conditionalFormatting>
  <conditionalFormatting sqref="Y37:Y53">
    <cfRule type="duplicateValues" dxfId="6854" priority="4741"/>
  </conditionalFormatting>
  <conditionalFormatting sqref="U57:U61 U2:U3 U38:U49">
    <cfRule type="duplicateValues" dxfId="6853" priority="4807"/>
  </conditionalFormatting>
  <conditionalFormatting sqref="U38:U42 P2:P3 N2 S2:V2 X3:Z3 X34:Y36 X37:X39 S3:U3 T34:T37 T39:T55 Z4:Z95 Y2:Z2">
    <cfRule type="duplicateValues" dxfId="6852" priority="4808"/>
  </conditionalFormatting>
  <conditionalFormatting sqref="U45:U56">
    <cfRule type="duplicateValues" dxfId="6851" priority="4"/>
  </conditionalFormatting>
  <conditionalFormatting sqref="U62:U66">
    <cfRule type="duplicateValues" dxfId="6850" priority="2"/>
  </conditionalFormatting>
  <conditionalFormatting sqref="U62:U64">
    <cfRule type="duplicateValues" dxfId="6849" priority="3"/>
  </conditionalFormatting>
  <conditionalFormatting sqref="U43:U45">
    <cfRule type="duplicateValues" dxfId="6848"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U153"/>
  <sheetViews>
    <sheetView zoomScale="70" zoomScaleNormal="70" workbookViewId="0">
      <pane ySplit="1" topLeftCell="A2" activePane="bottomLeft" state="frozen"/>
      <selection activeCell="B20" sqref="B20"/>
      <selection pane="bottomLeft" activeCell="B16" sqref="B16"/>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34" bestFit="1" customWidth="1"/>
    <col min="7" max="7" width="13.5" bestFit="1" customWidth="1"/>
    <col min="8" max="8" width="18.5" bestFit="1" customWidth="1"/>
    <col min="9" max="9" width="15.5" bestFit="1" customWidth="1"/>
    <col min="10" max="10" width="18.5" bestFit="1" customWidth="1"/>
    <col min="11" max="12" width="11" customWidth="1"/>
    <col min="13" max="13" width="14.5" style="233" customWidth="1"/>
    <col min="14" max="14" width="11.83203125" bestFit="1" customWidth="1"/>
    <col min="15" max="15" width="31.5" bestFit="1" customWidth="1"/>
    <col min="16" max="16" width="26.83203125" customWidth="1"/>
    <col min="17" max="17" width="15.5" customWidth="1"/>
    <col min="18" max="18" width="19.5" customWidth="1"/>
    <col min="19" max="19" width="13.83203125" bestFit="1" customWidth="1"/>
    <col min="20" max="20" width="15.83203125" customWidth="1"/>
    <col min="21" max="21" width="12.5" customWidth="1"/>
  </cols>
  <sheetData>
    <row r="1" spans="1:21" ht="45" customHeight="1" x14ac:dyDescent="0.2">
      <c r="A1" s="224" t="s">
        <v>996</v>
      </c>
      <c r="B1" s="224" t="s">
        <v>997</v>
      </c>
      <c r="C1" s="224" t="s">
        <v>998</v>
      </c>
      <c r="D1" s="224" t="s">
        <v>999</v>
      </c>
      <c r="E1" s="224" t="s">
        <v>1000</v>
      </c>
      <c r="F1" s="224" t="s">
        <v>1001</v>
      </c>
      <c r="G1" s="224" t="s">
        <v>1002</v>
      </c>
      <c r="H1" s="224" t="s">
        <v>1003</v>
      </c>
      <c r="I1" s="224" t="s">
        <v>1004</v>
      </c>
      <c r="J1" s="224" t="s">
        <v>1005</v>
      </c>
      <c r="K1" s="224" t="s">
        <v>1006</v>
      </c>
      <c r="L1" s="224" t="s">
        <v>1007</v>
      </c>
      <c r="M1" s="224" t="s">
        <v>1008</v>
      </c>
      <c r="O1" s="24" t="s">
        <v>1009</v>
      </c>
      <c r="P1" s="46" t="s">
        <v>1010</v>
      </c>
      <c r="Q1" s="47" t="s">
        <v>1011</v>
      </c>
      <c r="R1" s="47" t="s">
        <v>1012</v>
      </c>
      <c r="S1" s="48" t="s">
        <v>1013</v>
      </c>
      <c r="T1" s="48" t="s">
        <v>1014</v>
      </c>
      <c r="U1" s="198" t="s">
        <v>1015</v>
      </c>
    </row>
    <row r="2" spans="1:21" ht="16" x14ac:dyDescent="0.2">
      <c r="F2"/>
      <c r="M2"/>
      <c r="O2" s="24" t="s">
        <v>23</v>
      </c>
      <c r="P2" s="24" t="s">
        <v>35</v>
      </c>
      <c r="Q2" s="230" t="str">
        <f>IFERROR(SUM((SUMIFS('capacity data'!$G:$G,'capacity data'!$E:$E,"PO",'capacity data'!$B:$B,P2))-SUMIFS('capacity data'!$H:$H,'capacity data'!$E:$E,"PO",'capacity data'!$B:$B,P2))/SUMIFS('capacity data'!$G:$G,'capacity data'!$E:$E,"PO",'capacity data'!$B:$B,P2),"")</f>
        <v/>
      </c>
      <c r="R2" s="230" t="str">
        <f>IFERROR(SUM((SUMIFS('capacity data'!$G:$G,'capacity data'!$E:$E,"PSO",'capacity data'!$B:$B,P2))-SUMIFS('capacity data'!$H:$H,'capacity data'!$E:$E,"PSO",'capacity data'!$B:$B,P2))/SUMIFS('capacity data'!$G:$G,'capacity data'!$E:$E,"PSO",'capacity data'!$B:$B,P2),"")</f>
        <v/>
      </c>
      <c r="S2" s="23" t="str">
        <f>IFERROR((Q2-R2),"")</f>
        <v/>
      </c>
      <c r="T2" s="231" t="str">
        <f>IFERROR(SUMIFS('capacity data'!$L:$L,'capacity data'!$B:$B,P2,'capacity data'!$E:$E,"PSO")/SUMIFS('capacity data'!$G:$G,'capacity data'!$E:$E,"PSO",'capacity data'!$B:$B,P2),"")</f>
        <v/>
      </c>
      <c r="U2" s="231" t="str">
        <f>IFERROR(SUMIFS('capacity data'!$L:$L,'capacity data'!$B:$B,P2,'capacity data'!$E:$E,"TPO")/SUMIFS('capacity data'!$G:$G,'capacity data'!$E:$E,"TPO",'capacity data'!$B:$B,P2),"")</f>
        <v/>
      </c>
    </row>
    <row r="3" spans="1:21" ht="16" x14ac:dyDescent="0.2">
      <c r="F3"/>
      <c r="M3"/>
      <c r="O3" s="24" t="s">
        <v>23</v>
      </c>
      <c r="P3" t="s">
        <v>59</v>
      </c>
      <c r="Q3" s="230" t="str">
        <f>IFERROR(SUM((SUMIFS('capacity data'!$G:$G,'capacity data'!$E:$E,"PO",'capacity data'!$B:$B,P3))-SUMIFS('capacity data'!$H:$H,'capacity data'!$E:$E,"PO",'capacity data'!$B:$B,P3))/SUMIFS('capacity data'!$G:$G,'capacity data'!$E:$E,"PO",'capacity data'!$B:$B,P3),"")</f>
        <v/>
      </c>
      <c r="R3" s="230" t="str">
        <f>IFERROR(SUM((SUMIFS('capacity data'!$G:$G,'capacity data'!$E:$E,"PSO",'capacity data'!$B:$B,P3))-SUMIFS('capacity data'!$H:$H,'capacity data'!$E:$E,"PSO",'capacity data'!$B:$B,P3))/SUMIFS('capacity data'!$G:$G,'capacity data'!$E:$E,"PSO",'capacity data'!$B:$B,P3),"")</f>
        <v/>
      </c>
      <c r="S3" s="23" t="str">
        <f t="shared" ref="S3:S66" si="0">IFERROR((Q3-R3),"")</f>
        <v/>
      </c>
      <c r="T3" s="231" t="str">
        <f>IFERROR(SUMIFS('capacity data'!$L:$L,'capacity data'!$B:$B,P3,'capacity data'!$E:$E,"PSO")/SUMIFS('capacity data'!$G:$G,'capacity data'!$E:$E,"PSO",'capacity data'!$B:$B,P3),"")</f>
        <v/>
      </c>
      <c r="U3" s="231" t="str">
        <f>IFERROR(SUMIFS('capacity data'!$L:$L,'capacity data'!$B:$B,P3,'capacity data'!$E:$E,"TPO")/SUMIFS('capacity data'!$G:$G,'capacity data'!$E:$E,"TPO",'capacity data'!$B:$B,P3),"")</f>
        <v/>
      </c>
    </row>
    <row r="4" spans="1:21" ht="16" x14ac:dyDescent="0.2">
      <c r="F4"/>
      <c r="M4"/>
      <c r="O4" s="24" t="s">
        <v>23</v>
      </c>
      <c r="P4" t="s">
        <v>83</v>
      </c>
      <c r="Q4" s="230" t="str">
        <f>IFERROR(SUM((SUMIFS('capacity data'!$G:$G,'capacity data'!$E:$E,"PO",'capacity data'!$B:$B,P4))-SUMIFS('capacity data'!$H:$H,'capacity data'!$E:$E,"PO",'capacity data'!$B:$B,P4))/SUMIFS('capacity data'!$G:$G,'capacity data'!$E:$E,"PO",'capacity data'!$B:$B,P4),"")</f>
        <v/>
      </c>
      <c r="R4" s="230" t="str">
        <f>IFERROR(SUM((SUMIFS('capacity data'!$G:$G,'capacity data'!$E:$E,"PSO",'capacity data'!$B:$B,P4))-SUMIFS('capacity data'!$H:$H,'capacity data'!$E:$E,"PSO",'capacity data'!$B:$B,P4))/SUMIFS('capacity data'!$G:$G,'capacity data'!$E:$E,"PSO",'capacity data'!$B:$B,P4),"")</f>
        <v/>
      </c>
      <c r="S4" s="23" t="str">
        <f t="shared" si="0"/>
        <v/>
      </c>
      <c r="T4" s="231" t="str">
        <f>IFERROR(SUMIFS('capacity data'!$L:$L,'capacity data'!$B:$B,P4,'capacity data'!$E:$E,"PSO")/SUMIFS('capacity data'!$G:$G,'capacity data'!$E:$E,"PSO",'capacity data'!$B:$B,P4),"")</f>
        <v/>
      </c>
      <c r="U4" s="231" t="str">
        <f>IFERROR(SUMIFS('capacity data'!$L:$L,'capacity data'!$B:$B,P4,'capacity data'!$E:$E,"TPO")/SUMIFS('capacity data'!$G:$G,'capacity data'!$E:$E,"TPO",'capacity data'!$B:$B,P4),"")</f>
        <v/>
      </c>
    </row>
    <row r="5" spans="1:21" ht="16" x14ac:dyDescent="0.2">
      <c r="F5"/>
      <c r="M5"/>
      <c r="O5" s="24" t="s">
        <v>23</v>
      </c>
      <c r="P5" t="s">
        <v>107</v>
      </c>
      <c r="Q5" s="230" t="str">
        <f>IFERROR(SUM((SUMIFS('capacity data'!$G:$G,'capacity data'!$E:$E,"PO",'capacity data'!$B:$B,P5))-SUMIFS('capacity data'!$H:$H,'capacity data'!$E:$E,"PO",'capacity data'!$B:$B,P5))/SUMIFS('capacity data'!$G:$G,'capacity data'!$E:$E,"PO",'capacity data'!$B:$B,P5),"")</f>
        <v/>
      </c>
      <c r="R5" s="230" t="str">
        <f>IFERROR(SUM((SUMIFS('capacity data'!$G:$G,'capacity data'!$E:$E,"PSO",'capacity data'!$B:$B,P5))-SUMIFS('capacity data'!$H:$H,'capacity data'!$E:$E,"PSO",'capacity data'!$B:$B,P5))/SUMIFS('capacity data'!$G:$G,'capacity data'!$E:$E,"PSO",'capacity data'!$B:$B,P5),"")</f>
        <v/>
      </c>
      <c r="S5" s="23" t="str">
        <f t="shared" si="0"/>
        <v/>
      </c>
      <c r="T5" s="231" t="str">
        <f>IFERROR(SUMIFS('capacity data'!$L:$L,'capacity data'!$B:$B,P5,'capacity data'!$E:$E,"PSO")/SUMIFS('capacity data'!$G:$G,'capacity data'!$E:$E,"PSO",'capacity data'!$B:$B,P5),"")</f>
        <v/>
      </c>
      <c r="U5" s="231" t="str">
        <f>IFERROR(SUMIFS('capacity data'!$L:$L,'capacity data'!$B:$B,P5,'capacity data'!$E:$E,"TPO")/SUMIFS('capacity data'!$G:$G,'capacity data'!$E:$E,"TPO",'capacity data'!$B:$B,P5),"")</f>
        <v/>
      </c>
    </row>
    <row r="6" spans="1:21" ht="16" x14ac:dyDescent="0.2">
      <c r="F6"/>
      <c r="M6"/>
      <c r="O6" s="24" t="s">
        <v>23</v>
      </c>
      <c r="P6" t="s">
        <v>131</v>
      </c>
      <c r="Q6" s="230" t="str">
        <f>IFERROR(SUM((SUMIFS('capacity data'!$G:$G,'capacity data'!$E:$E,"PO",'capacity data'!$B:$B,P6))-SUMIFS('capacity data'!$H:$H,'capacity data'!$E:$E,"PO",'capacity data'!$B:$B,P6))/SUMIFS('capacity data'!$G:$G,'capacity data'!$E:$E,"PO",'capacity data'!$B:$B,P6),"")</f>
        <v/>
      </c>
      <c r="R6" s="230" t="str">
        <f>IFERROR(SUM((SUMIFS('capacity data'!$G:$G,'capacity data'!$E:$E,"PSO",'capacity data'!$B:$B,P6))-SUMIFS('capacity data'!$H:$H,'capacity data'!$E:$E,"PSO",'capacity data'!$B:$B,P6))/SUMIFS('capacity data'!$G:$G,'capacity data'!$E:$E,"PSO",'capacity data'!$B:$B,P6),"")</f>
        <v/>
      </c>
      <c r="S6" s="23" t="str">
        <f t="shared" si="0"/>
        <v/>
      </c>
      <c r="T6" s="231" t="str">
        <f>IFERROR(SUMIFS('capacity data'!$L:$L,'capacity data'!$B:$B,P6,'capacity data'!$E:$E,"PSO")/SUMIFS('capacity data'!$G:$G,'capacity data'!$E:$E,"PSO",'capacity data'!$B:$B,P6),"")</f>
        <v/>
      </c>
      <c r="U6" s="231" t="str">
        <f>IFERROR(SUMIFS('capacity data'!$L:$L,'capacity data'!$B:$B,P6,'capacity data'!$E:$E,"TPO")/SUMIFS('capacity data'!$G:$G,'capacity data'!$E:$E,"TPO",'capacity data'!$B:$B,P6),"")</f>
        <v/>
      </c>
    </row>
    <row r="7" spans="1:21" ht="16" x14ac:dyDescent="0.2">
      <c r="F7"/>
      <c r="M7"/>
      <c r="O7" s="24" t="s">
        <v>23</v>
      </c>
      <c r="P7" t="s">
        <v>155</v>
      </c>
      <c r="Q7" s="230" t="str">
        <f>IFERROR(SUM((SUMIFS('capacity data'!$G:$G,'capacity data'!$E:$E,"PO",'capacity data'!$B:$B,P7))-SUMIFS('capacity data'!$H:$H,'capacity data'!$E:$E,"PO",'capacity data'!$B:$B,P7))/SUMIFS('capacity data'!$G:$G,'capacity data'!$E:$E,"PO",'capacity data'!$B:$B,P7),"")</f>
        <v/>
      </c>
      <c r="R7" s="230" t="str">
        <f>IFERROR(SUM((SUMIFS('capacity data'!$G:$G,'capacity data'!$E:$E,"PSO",'capacity data'!$B:$B,P7))-SUMIFS('capacity data'!$H:$H,'capacity data'!$E:$E,"PSO",'capacity data'!$B:$B,P7))/SUMIFS('capacity data'!$G:$G,'capacity data'!$E:$E,"PSO",'capacity data'!$B:$B,P7),"")</f>
        <v/>
      </c>
      <c r="S7" s="23" t="str">
        <f t="shared" si="0"/>
        <v/>
      </c>
      <c r="T7" s="231" t="str">
        <f>IFERROR(SUMIFS('capacity data'!$L:$L,'capacity data'!$B:$B,P7,'capacity data'!$E:$E,"PSO")/SUMIFS('capacity data'!$G:$G,'capacity data'!$E:$E,"PSO",'capacity data'!$B:$B,P7),"")</f>
        <v/>
      </c>
      <c r="U7" s="231" t="str">
        <f>IFERROR(SUMIFS('capacity data'!$L:$L,'capacity data'!$B:$B,P7,'capacity data'!$E:$E,"TPO")/SUMIFS('capacity data'!$G:$G,'capacity data'!$E:$E,"TPO",'capacity data'!$B:$B,P7),"")</f>
        <v/>
      </c>
    </row>
    <row r="8" spans="1:21" ht="16" x14ac:dyDescent="0.2">
      <c r="F8"/>
      <c r="M8"/>
      <c r="O8" s="24" t="s">
        <v>23</v>
      </c>
      <c r="P8" t="s">
        <v>179</v>
      </c>
      <c r="Q8" s="230" t="str">
        <f>IFERROR(SUM((SUMIFS('capacity data'!$G:$G,'capacity data'!$E:$E,"PO",'capacity data'!$B:$B,P8))-SUMIFS('capacity data'!$H:$H,'capacity data'!$E:$E,"PO",'capacity data'!$B:$B,P8))/SUMIFS('capacity data'!$G:$G,'capacity data'!$E:$E,"PO",'capacity data'!$B:$B,P8),"")</f>
        <v/>
      </c>
      <c r="R8" s="230" t="str">
        <f>IFERROR(SUM((SUMIFS('capacity data'!$G:$G,'capacity data'!$E:$E,"PSO",'capacity data'!$B:$B,P8))-SUMIFS('capacity data'!$H:$H,'capacity data'!$E:$E,"PSO",'capacity data'!$B:$B,P8))/SUMIFS('capacity data'!$G:$G,'capacity data'!$E:$E,"PSO",'capacity data'!$B:$B,P8),"")</f>
        <v/>
      </c>
      <c r="S8" s="23" t="str">
        <f t="shared" si="0"/>
        <v/>
      </c>
      <c r="T8" s="231" t="str">
        <f>IFERROR(SUMIFS('capacity data'!$L:$L,'capacity data'!$B:$B,P8,'capacity data'!$E:$E,"PSO")/SUMIFS('capacity data'!$G:$G,'capacity data'!$E:$E,"PSO",'capacity data'!$B:$B,P8),"")</f>
        <v/>
      </c>
      <c r="U8" s="231" t="str">
        <f>IFERROR(SUMIFS('capacity data'!$L:$L,'capacity data'!$B:$B,P8,'capacity data'!$E:$E,"TPO")/SUMIFS('capacity data'!$G:$G,'capacity data'!$E:$E,"TPO",'capacity data'!$B:$B,P8),"")</f>
        <v/>
      </c>
    </row>
    <row r="9" spans="1:21" ht="16" x14ac:dyDescent="0.2">
      <c r="F9"/>
      <c r="M9"/>
      <c r="O9" s="24" t="s">
        <v>24</v>
      </c>
      <c r="P9" t="s">
        <v>60</v>
      </c>
      <c r="Q9" s="230" t="str">
        <f>IFERROR(SUM((SUMIFS('capacity data'!$G:$G,'capacity data'!$E:$E,"PO",'capacity data'!$B:$B,P9))-SUMIFS('capacity data'!$H:$H,'capacity data'!$E:$E,"PO",'capacity data'!$B:$B,P9))/SUMIFS('capacity data'!$G:$G,'capacity data'!$E:$E,"PO",'capacity data'!$B:$B,P9),"")</f>
        <v/>
      </c>
      <c r="R9" s="230" t="str">
        <f>IFERROR(SUM((SUMIFS('capacity data'!$G:$G,'capacity data'!$E:$E,"PSO",'capacity data'!$B:$B,P9))-SUMIFS('capacity data'!$H:$H,'capacity data'!$E:$E,"PSO",'capacity data'!$B:$B,P9))/SUMIFS('capacity data'!$G:$G,'capacity data'!$E:$E,"PSO",'capacity data'!$B:$B,P9),"")</f>
        <v/>
      </c>
      <c r="S9" s="23" t="str">
        <f t="shared" si="0"/>
        <v/>
      </c>
      <c r="T9" s="231" t="str">
        <f>IFERROR(SUMIFS('capacity data'!$L:$L,'capacity data'!$B:$B,P9,'capacity data'!$E:$E,"PSO")/SUMIFS('capacity data'!$G:$G,'capacity data'!$E:$E,"PSO",'capacity data'!$B:$B,P9),"")</f>
        <v/>
      </c>
      <c r="U9" s="231" t="str">
        <f>IFERROR(SUMIFS('capacity data'!$L:$L,'capacity data'!$B:$B,P9,'capacity data'!$E:$E,"TPO")/SUMIFS('capacity data'!$G:$G,'capacity data'!$E:$E,"TPO",'capacity data'!$B:$B,P9),"")</f>
        <v/>
      </c>
    </row>
    <row r="10" spans="1:21" ht="16" x14ac:dyDescent="0.2">
      <c r="F10"/>
      <c r="M10"/>
      <c r="O10" s="24" t="s">
        <v>24</v>
      </c>
      <c r="P10" t="s">
        <v>84</v>
      </c>
      <c r="Q10" s="230" t="str">
        <f>IFERROR(SUM((SUMIFS('capacity data'!$G:$G,'capacity data'!$E:$E,"PO",'capacity data'!$B:$B,P10))-SUMIFS('capacity data'!$H:$H,'capacity data'!$E:$E,"PO",'capacity data'!$B:$B,P10))/SUMIFS('capacity data'!$G:$G,'capacity data'!$E:$E,"PO",'capacity data'!$B:$B,P10),"")</f>
        <v/>
      </c>
      <c r="R10" s="230" t="str">
        <f>IFERROR(SUM((SUMIFS('capacity data'!$G:$G,'capacity data'!$E:$E,"PSO",'capacity data'!$B:$B,P10))-SUMIFS('capacity data'!$H:$H,'capacity data'!$E:$E,"PSO",'capacity data'!$B:$B,P10))/SUMIFS('capacity data'!$G:$G,'capacity data'!$E:$E,"PSO",'capacity data'!$B:$B,P10),"")</f>
        <v/>
      </c>
      <c r="S10" s="23" t="str">
        <f t="shared" si="0"/>
        <v/>
      </c>
      <c r="T10" s="231" t="str">
        <f>IFERROR(SUMIFS('capacity data'!$L:$L,'capacity data'!$B:$B,P10,'capacity data'!$E:$E,"PSO")/SUMIFS('capacity data'!$G:$G,'capacity data'!$E:$E,"PSO",'capacity data'!$B:$B,P10),"")</f>
        <v/>
      </c>
      <c r="U10" s="231" t="str">
        <f>IFERROR(SUMIFS('capacity data'!$L:$L,'capacity data'!$B:$B,P10,'capacity data'!$E:$E,"TPO")/SUMIFS('capacity data'!$G:$G,'capacity data'!$E:$E,"TPO",'capacity data'!$B:$B,P10),"")</f>
        <v/>
      </c>
    </row>
    <row r="11" spans="1:21" ht="16" x14ac:dyDescent="0.2">
      <c r="F11"/>
      <c r="M11"/>
      <c r="O11" s="24" t="s">
        <v>24</v>
      </c>
      <c r="P11" t="s">
        <v>108</v>
      </c>
      <c r="Q11" s="230" t="str">
        <f>IFERROR(SUM((SUMIFS('capacity data'!$G:$G,'capacity data'!$E:$E,"PO",'capacity data'!$B:$B,P11))-SUMIFS('capacity data'!$H:$H,'capacity data'!$E:$E,"PO",'capacity data'!$B:$B,P11))/SUMIFS('capacity data'!$G:$G,'capacity data'!$E:$E,"PO",'capacity data'!$B:$B,P11),"")</f>
        <v/>
      </c>
      <c r="R11" s="230" t="str">
        <f>IFERROR(SUM((SUMIFS('capacity data'!$G:$G,'capacity data'!$E:$E,"PSO",'capacity data'!$B:$B,P11))-SUMIFS('capacity data'!$H:$H,'capacity data'!$E:$E,"PSO",'capacity data'!$B:$B,P11))/SUMIFS('capacity data'!$G:$G,'capacity data'!$E:$E,"PSO",'capacity data'!$B:$B,P11),"")</f>
        <v/>
      </c>
      <c r="S11" s="23" t="str">
        <f t="shared" si="0"/>
        <v/>
      </c>
      <c r="T11" s="231" t="str">
        <f>IFERROR(SUMIFS('capacity data'!$L:$L,'capacity data'!$B:$B,P11,'capacity data'!$E:$E,"PSO")/SUMIFS('capacity data'!$G:$G,'capacity data'!$E:$E,"PSO",'capacity data'!$B:$B,P11),"")</f>
        <v/>
      </c>
      <c r="U11" s="231" t="str">
        <f>IFERROR(SUMIFS('capacity data'!$L:$L,'capacity data'!$B:$B,P11,'capacity data'!$E:$E,"TPO")/SUMIFS('capacity data'!$G:$G,'capacity data'!$E:$E,"TPO",'capacity data'!$B:$B,P11),"")</f>
        <v/>
      </c>
    </row>
    <row r="12" spans="1:21" ht="16" x14ac:dyDescent="0.2">
      <c r="F12"/>
      <c r="M12"/>
      <c r="O12" s="24" t="s">
        <v>24</v>
      </c>
      <c r="P12" t="s">
        <v>132</v>
      </c>
      <c r="Q12" s="230" t="str">
        <f>IFERROR(SUM((SUMIFS('capacity data'!$G:$G,'capacity data'!$E:$E,"PO",'capacity data'!$B:$B,P12))-SUMIFS('capacity data'!$H:$H,'capacity data'!$E:$E,"PO",'capacity data'!$B:$B,P12))/SUMIFS('capacity data'!$G:$G,'capacity data'!$E:$E,"PO",'capacity data'!$B:$B,P12),"")</f>
        <v/>
      </c>
      <c r="R12" s="230" t="str">
        <f>IFERROR(SUM((SUMIFS('capacity data'!$G:$G,'capacity data'!$E:$E,"PSO",'capacity data'!$B:$B,P12))-SUMIFS('capacity data'!$H:$H,'capacity data'!$E:$E,"PSO",'capacity data'!$B:$B,P12))/SUMIFS('capacity data'!$G:$G,'capacity data'!$E:$E,"PSO",'capacity data'!$B:$B,P12),"")</f>
        <v/>
      </c>
      <c r="S12" s="23" t="str">
        <f t="shared" si="0"/>
        <v/>
      </c>
      <c r="T12" s="231" t="str">
        <f>IFERROR(SUMIFS('capacity data'!$L:$L,'capacity data'!$B:$B,P12,'capacity data'!$E:$E,"PSO")/SUMIFS('capacity data'!$G:$G,'capacity data'!$E:$E,"PSO",'capacity data'!$B:$B,P12),"")</f>
        <v/>
      </c>
      <c r="U12" s="231" t="str">
        <f>IFERROR(SUMIFS('capacity data'!$L:$L,'capacity data'!$B:$B,P12,'capacity data'!$E:$E,"TPO")/SUMIFS('capacity data'!$G:$G,'capacity data'!$E:$E,"TPO",'capacity data'!$B:$B,P12),"")</f>
        <v/>
      </c>
    </row>
    <row r="13" spans="1:21" ht="16" x14ac:dyDescent="0.2">
      <c r="F13"/>
      <c r="M13"/>
      <c r="O13" s="24" t="s">
        <v>24</v>
      </c>
      <c r="P13" t="s">
        <v>156</v>
      </c>
      <c r="Q13" s="230" t="str">
        <f>IFERROR(SUM((SUMIFS('capacity data'!$G:$G,'capacity data'!$E:$E,"PO",'capacity data'!$B:$B,P13))-SUMIFS('capacity data'!$H:$H,'capacity data'!$E:$E,"PO",'capacity data'!$B:$B,P13))/SUMIFS('capacity data'!$G:$G,'capacity data'!$E:$E,"PO",'capacity data'!$B:$B,P13),"")</f>
        <v/>
      </c>
      <c r="R13" s="230" t="str">
        <f>IFERROR(SUM((SUMIFS('capacity data'!$G:$G,'capacity data'!$E:$E,"PSO",'capacity data'!$B:$B,P13))-SUMIFS('capacity data'!$H:$H,'capacity data'!$E:$E,"PSO",'capacity data'!$B:$B,P13))/SUMIFS('capacity data'!$G:$G,'capacity data'!$E:$E,"PSO",'capacity data'!$B:$B,P13),"")</f>
        <v/>
      </c>
      <c r="S13" s="23" t="str">
        <f t="shared" si="0"/>
        <v/>
      </c>
      <c r="T13" s="231" t="str">
        <f>IFERROR(SUMIFS('capacity data'!$L:$L,'capacity data'!$B:$B,P13,'capacity data'!$E:$E,"PSO")/SUMIFS('capacity data'!$G:$G,'capacity data'!$E:$E,"PSO",'capacity data'!$B:$B,P13),"")</f>
        <v/>
      </c>
      <c r="U13" s="231" t="str">
        <f>IFERROR(SUMIFS('capacity data'!$L:$L,'capacity data'!$B:$B,P13,'capacity data'!$E:$E,"TPO")/SUMIFS('capacity data'!$G:$G,'capacity data'!$E:$E,"TPO",'capacity data'!$B:$B,P13),"")</f>
        <v/>
      </c>
    </row>
    <row r="14" spans="1:21" ht="16" x14ac:dyDescent="0.2">
      <c r="F14"/>
      <c r="M14"/>
      <c r="O14" s="24" t="s">
        <v>24</v>
      </c>
      <c r="P14" t="s">
        <v>180</v>
      </c>
      <c r="Q14" s="230" t="str">
        <f>IFERROR(SUM((SUMIFS('capacity data'!$G:$G,'capacity data'!$E:$E,"PO",'capacity data'!$B:$B,P14))-SUMIFS('capacity data'!$H:$H,'capacity data'!$E:$E,"PO",'capacity data'!$B:$B,P14))/SUMIFS('capacity data'!$G:$G,'capacity data'!$E:$E,"PO",'capacity data'!$B:$B,P14),"")</f>
        <v/>
      </c>
      <c r="R14" s="230" t="str">
        <f>IFERROR(SUM((SUMIFS('capacity data'!$G:$G,'capacity data'!$E:$E,"PSO",'capacity data'!$B:$B,P14))-SUMIFS('capacity data'!$H:$H,'capacity data'!$E:$E,"PSO",'capacity data'!$B:$B,P14))/SUMIFS('capacity data'!$G:$G,'capacity data'!$E:$E,"PSO",'capacity data'!$B:$B,P14),"")</f>
        <v/>
      </c>
      <c r="S14" s="23" t="str">
        <f t="shared" si="0"/>
        <v/>
      </c>
      <c r="T14" s="231" t="str">
        <f>IFERROR(SUMIFS('capacity data'!$L:$L,'capacity data'!$B:$B,P14,'capacity data'!$E:$E,"PSO")/SUMIFS('capacity data'!$G:$G,'capacity data'!$E:$E,"PSO",'capacity data'!$B:$B,P14),"")</f>
        <v/>
      </c>
      <c r="U14" s="231" t="str">
        <f>IFERROR(SUMIFS('capacity data'!$L:$L,'capacity data'!$B:$B,P14,'capacity data'!$E:$E,"TPO")/SUMIFS('capacity data'!$G:$G,'capacity data'!$E:$E,"TPO",'capacity data'!$B:$B,P14),"")</f>
        <v/>
      </c>
    </row>
    <row r="15" spans="1:21" ht="16" x14ac:dyDescent="0.2">
      <c r="F15"/>
      <c r="M15"/>
      <c r="O15" s="24" t="s">
        <v>24</v>
      </c>
      <c r="P15" t="s">
        <v>204</v>
      </c>
      <c r="Q15" s="230" t="str">
        <f>IFERROR(SUM((SUMIFS('capacity data'!$G:$G,'capacity data'!$E:$E,"PO",'capacity data'!$B:$B,P15))-SUMIFS('capacity data'!$H:$H,'capacity data'!$E:$E,"PO",'capacity data'!$B:$B,P15))/SUMIFS('capacity data'!$G:$G,'capacity data'!$E:$E,"PO",'capacity data'!$B:$B,P15),"")</f>
        <v/>
      </c>
      <c r="R15" s="230" t="str">
        <f>IFERROR(SUM((SUMIFS('capacity data'!$G:$G,'capacity data'!$E:$E,"PSO",'capacity data'!$B:$B,P15))-SUMIFS('capacity data'!$H:$H,'capacity data'!$E:$E,"PSO",'capacity data'!$B:$B,P15))/SUMIFS('capacity data'!$G:$G,'capacity data'!$E:$E,"PSO",'capacity data'!$B:$B,P15),"")</f>
        <v/>
      </c>
      <c r="S15" s="23" t="str">
        <f t="shared" si="0"/>
        <v/>
      </c>
      <c r="T15" s="231" t="str">
        <f>IFERROR(SUMIFS('capacity data'!$L:$L,'capacity data'!$B:$B,P15,'capacity data'!$E:$E,"PSO")/SUMIFS('capacity data'!$G:$G,'capacity data'!$E:$E,"PSO",'capacity data'!$B:$B,P15),"")</f>
        <v/>
      </c>
      <c r="U15" s="231" t="str">
        <f>IFERROR(SUMIFS('capacity data'!$L:$L,'capacity data'!$B:$B,P15,'capacity data'!$E:$E,"TPO")/SUMIFS('capacity data'!$G:$G,'capacity data'!$E:$E,"TPO",'capacity data'!$B:$B,P15),"")</f>
        <v/>
      </c>
    </row>
    <row r="16" spans="1:21" ht="16" x14ac:dyDescent="0.2">
      <c r="F16"/>
      <c r="M16"/>
      <c r="O16" s="24" t="s">
        <v>24</v>
      </c>
      <c r="P16" t="s">
        <v>226</v>
      </c>
      <c r="Q16" s="230" t="str">
        <f>IFERROR(SUM((SUMIFS('capacity data'!$G:$G,'capacity data'!$E:$E,"PO",'capacity data'!$B:$B,P16))-SUMIFS('capacity data'!$H:$H,'capacity data'!$E:$E,"PO",'capacity data'!$B:$B,P16))/SUMIFS('capacity data'!$G:$G,'capacity data'!$E:$E,"PO",'capacity data'!$B:$B,P16),"")</f>
        <v/>
      </c>
      <c r="R16" s="230" t="str">
        <f>IFERROR(SUM((SUMIFS('capacity data'!$G:$G,'capacity data'!$E:$E,"PSO",'capacity data'!$B:$B,P16))-SUMIFS('capacity data'!$H:$H,'capacity data'!$E:$E,"PSO",'capacity data'!$B:$B,P16))/SUMIFS('capacity data'!$G:$G,'capacity data'!$E:$E,"PSO",'capacity data'!$B:$B,P16),"")</f>
        <v/>
      </c>
      <c r="S16" s="23" t="str">
        <f t="shared" si="0"/>
        <v/>
      </c>
      <c r="T16" s="231" t="str">
        <f>IFERROR(SUMIFS('capacity data'!$L:$L,'capacity data'!$B:$B,P16,'capacity data'!$E:$E,"PSO")/SUMIFS('capacity data'!$G:$G,'capacity data'!$E:$E,"PSO",'capacity data'!$B:$B,P16),"")</f>
        <v/>
      </c>
      <c r="U16" s="231" t="str">
        <f>IFERROR(SUMIFS('capacity data'!$L:$L,'capacity data'!$B:$B,P16,'capacity data'!$E:$E,"TPO")/SUMIFS('capacity data'!$G:$G,'capacity data'!$E:$E,"TPO",'capacity data'!$B:$B,P16),"")</f>
        <v/>
      </c>
    </row>
    <row r="17" spans="6:21" ht="16" x14ac:dyDescent="0.2">
      <c r="F17"/>
      <c r="M17"/>
      <c r="O17" s="24" t="s">
        <v>24</v>
      </c>
      <c r="P17" t="s">
        <v>247</v>
      </c>
      <c r="Q17" s="230" t="str">
        <f>IFERROR(SUM((SUMIFS('capacity data'!$G:$G,'capacity data'!$E:$E,"PO",'capacity data'!$B:$B,P17))-SUMIFS('capacity data'!$H:$H,'capacity data'!$E:$E,"PO",'capacity data'!$B:$B,P17))/SUMIFS('capacity data'!$G:$G,'capacity data'!$E:$E,"PO",'capacity data'!$B:$B,P17),"")</f>
        <v/>
      </c>
      <c r="R17" s="230" t="str">
        <f>IFERROR(SUM((SUMIFS('capacity data'!$G:$G,'capacity data'!$E:$E,"PSO",'capacity data'!$B:$B,P17))-SUMIFS('capacity data'!$H:$H,'capacity data'!$E:$E,"PSO",'capacity data'!$B:$B,P17))/SUMIFS('capacity data'!$G:$G,'capacity data'!$E:$E,"PSO",'capacity data'!$B:$B,P17),"")</f>
        <v/>
      </c>
      <c r="S17" s="23" t="str">
        <f t="shared" si="0"/>
        <v/>
      </c>
      <c r="T17" s="231" t="str">
        <f>IFERROR(SUMIFS('capacity data'!$L:$L,'capacity data'!$B:$B,P17,'capacity data'!$E:$E,"PSO")/SUMIFS('capacity data'!$G:$G,'capacity data'!$E:$E,"PSO",'capacity data'!$B:$B,P17),"")</f>
        <v/>
      </c>
      <c r="U17" s="231" t="str">
        <f>IFERROR(SUMIFS('capacity data'!$L:$L,'capacity data'!$B:$B,P17,'capacity data'!$E:$E,"TPO")/SUMIFS('capacity data'!$G:$G,'capacity data'!$E:$E,"TPO",'capacity data'!$B:$B,P17),"")</f>
        <v/>
      </c>
    </row>
    <row r="18" spans="6:21" ht="16" x14ac:dyDescent="0.2">
      <c r="F18"/>
      <c r="M18"/>
      <c r="O18" s="24" t="s">
        <v>24</v>
      </c>
      <c r="P18" t="s">
        <v>267</v>
      </c>
      <c r="Q18" s="230" t="str">
        <f>IFERROR(SUM((SUMIFS('capacity data'!$G:$G,'capacity data'!$E:$E,"PO",'capacity data'!$B:$B,P18))-SUMIFS('capacity data'!$H:$H,'capacity data'!$E:$E,"PO",'capacity data'!$B:$B,P18))/SUMIFS('capacity data'!$G:$G,'capacity data'!$E:$E,"PO",'capacity data'!$B:$B,P18),"")</f>
        <v/>
      </c>
      <c r="R18" s="230" t="str">
        <f>IFERROR(SUM((SUMIFS('capacity data'!$G:$G,'capacity data'!$E:$E,"PSO",'capacity data'!$B:$B,P18))-SUMIFS('capacity data'!$H:$H,'capacity data'!$E:$E,"PSO",'capacity data'!$B:$B,P18))/SUMIFS('capacity data'!$G:$G,'capacity data'!$E:$E,"PSO",'capacity data'!$B:$B,P18),"")</f>
        <v/>
      </c>
      <c r="S18" s="23" t="str">
        <f t="shared" si="0"/>
        <v/>
      </c>
      <c r="T18" s="231" t="str">
        <f>IFERROR(SUMIFS('capacity data'!$L:$L,'capacity data'!$B:$B,P18,'capacity data'!$E:$E,"PSO")/SUMIFS('capacity data'!$G:$G,'capacity data'!$E:$E,"PSO",'capacity data'!$B:$B,P18),"")</f>
        <v/>
      </c>
      <c r="U18" s="231" t="str">
        <f>IFERROR(SUMIFS('capacity data'!$L:$L,'capacity data'!$B:$B,P18,'capacity data'!$E:$E,"TPO")/SUMIFS('capacity data'!$G:$G,'capacity data'!$E:$E,"TPO",'capacity data'!$B:$B,P18),"")</f>
        <v/>
      </c>
    </row>
    <row r="19" spans="6:21" ht="16" x14ac:dyDescent="0.2">
      <c r="F19"/>
      <c r="M19"/>
      <c r="O19" s="24" t="s">
        <v>24</v>
      </c>
      <c r="P19" t="s">
        <v>287</v>
      </c>
      <c r="Q19" s="230" t="str">
        <f>IFERROR(SUM((SUMIFS('capacity data'!$G:$G,'capacity data'!$E:$E,"PO",'capacity data'!$B:$B,P19))-SUMIFS('capacity data'!$H:$H,'capacity data'!$E:$E,"PO",'capacity data'!$B:$B,P19))/SUMIFS('capacity data'!$G:$G,'capacity data'!$E:$E,"PO",'capacity data'!$B:$B,P19),"")</f>
        <v/>
      </c>
      <c r="R19" s="230" t="str">
        <f>IFERROR(SUM((SUMIFS('capacity data'!$G:$G,'capacity data'!$E:$E,"PSO",'capacity data'!$B:$B,P19))-SUMIFS('capacity data'!$H:$H,'capacity data'!$E:$E,"PSO",'capacity data'!$B:$B,P19))/SUMIFS('capacity data'!$G:$G,'capacity data'!$E:$E,"PSO",'capacity data'!$B:$B,P19),"")</f>
        <v/>
      </c>
      <c r="S19" s="23" t="str">
        <f t="shared" si="0"/>
        <v/>
      </c>
      <c r="T19" s="231" t="str">
        <f>IFERROR(SUMIFS('capacity data'!$L:$L,'capacity data'!$B:$B,P19,'capacity data'!$E:$E,"PSO")/SUMIFS('capacity data'!$G:$G,'capacity data'!$E:$E,"PSO",'capacity data'!$B:$B,P19),"")</f>
        <v/>
      </c>
      <c r="U19" s="231" t="str">
        <f>IFERROR(SUMIFS('capacity data'!$L:$L,'capacity data'!$B:$B,P19,'capacity data'!$E:$E,"TPO")/SUMIFS('capacity data'!$G:$G,'capacity data'!$E:$E,"TPO",'capacity data'!$B:$B,P19),"")</f>
        <v/>
      </c>
    </row>
    <row r="20" spans="6:21" ht="16" x14ac:dyDescent="0.2">
      <c r="F20"/>
      <c r="M20"/>
      <c r="O20" s="24" t="s">
        <v>25</v>
      </c>
      <c r="P20" t="s">
        <v>37</v>
      </c>
      <c r="Q20" s="230" t="str">
        <f>IFERROR(SUM((SUMIFS('capacity data'!$G:$G,'capacity data'!$E:$E,"PO",'capacity data'!$B:$B,P20))-SUMIFS('capacity data'!$H:$H,'capacity data'!$E:$E,"PO",'capacity data'!$B:$B,P20))/SUMIFS('capacity data'!$G:$G,'capacity data'!$E:$E,"PO",'capacity data'!$B:$B,P20),"")</f>
        <v/>
      </c>
      <c r="R20" s="230" t="str">
        <f>IFERROR(SUM((SUMIFS('capacity data'!$G:$G,'capacity data'!$E:$E,"PSO",'capacity data'!$B:$B,P20))-SUMIFS('capacity data'!$H:$H,'capacity data'!$E:$E,"PSO",'capacity data'!$B:$B,P20))/SUMIFS('capacity data'!$G:$G,'capacity data'!$E:$E,"PSO",'capacity data'!$B:$B,P20),"")</f>
        <v/>
      </c>
      <c r="S20" s="23" t="str">
        <f t="shared" si="0"/>
        <v/>
      </c>
      <c r="T20" s="231" t="str">
        <f>IFERROR(SUMIFS('capacity data'!$L:$L,'capacity data'!$B:$B,P20,'capacity data'!$E:$E,"PSO")/SUMIFS('capacity data'!$G:$G,'capacity data'!$E:$E,"PSO",'capacity data'!$B:$B,P20),"")</f>
        <v/>
      </c>
      <c r="U20" s="231" t="str">
        <f>IFERROR(SUMIFS('capacity data'!$L:$L,'capacity data'!$B:$B,P20,'capacity data'!$E:$E,"TPO")/SUMIFS('capacity data'!$G:$G,'capacity data'!$E:$E,"TPO",'capacity data'!$B:$B,P20),"")</f>
        <v/>
      </c>
    </row>
    <row r="21" spans="6:21" ht="16" x14ac:dyDescent="0.2">
      <c r="F21"/>
      <c r="M21"/>
      <c r="O21" s="24" t="s">
        <v>25</v>
      </c>
      <c r="P21" t="s">
        <v>61</v>
      </c>
      <c r="Q21" s="230" t="str">
        <f>IFERROR(SUM((SUMIFS('capacity data'!$G:$G,'capacity data'!$E:$E,"PO",'capacity data'!$B:$B,P21))-SUMIFS('capacity data'!$H:$H,'capacity data'!$E:$E,"PO",'capacity data'!$B:$B,P21))/SUMIFS('capacity data'!$G:$G,'capacity data'!$E:$E,"PO",'capacity data'!$B:$B,P21),"")</f>
        <v/>
      </c>
      <c r="R21" s="230" t="str">
        <f>IFERROR(SUM((SUMIFS('capacity data'!$G:$G,'capacity data'!$E:$E,"PSO",'capacity data'!$B:$B,P21))-SUMIFS('capacity data'!$H:$H,'capacity data'!$E:$E,"PSO",'capacity data'!$B:$B,P21))/SUMIFS('capacity data'!$G:$G,'capacity data'!$E:$E,"PSO",'capacity data'!$B:$B,P21),"")</f>
        <v/>
      </c>
      <c r="S21" s="23" t="str">
        <f t="shared" si="0"/>
        <v/>
      </c>
      <c r="T21" s="231" t="str">
        <f>IFERROR(SUMIFS('capacity data'!$L:$L,'capacity data'!$B:$B,P21,'capacity data'!$E:$E,"PSO")/SUMIFS('capacity data'!$G:$G,'capacity data'!$E:$E,"PSO",'capacity data'!$B:$B,P21),"")</f>
        <v/>
      </c>
      <c r="U21" s="231" t="str">
        <f>IFERROR(SUMIFS('capacity data'!$L:$L,'capacity data'!$B:$B,P21,'capacity data'!$E:$E,"TPO")/SUMIFS('capacity data'!$G:$G,'capacity data'!$E:$E,"TPO",'capacity data'!$B:$B,P21),"")</f>
        <v/>
      </c>
    </row>
    <row r="22" spans="6:21" ht="16" x14ac:dyDescent="0.2">
      <c r="F22"/>
      <c r="M22"/>
      <c r="O22" s="24" t="s">
        <v>25</v>
      </c>
      <c r="P22" t="s">
        <v>85</v>
      </c>
      <c r="Q22" s="230" t="str">
        <f>IFERROR(SUM((SUMIFS('capacity data'!$G:$G,'capacity data'!$E:$E,"PO",'capacity data'!$B:$B,P22))-SUMIFS('capacity data'!$H:$H,'capacity data'!$E:$E,"PO",'capacity data'!$B:$B,P22))/SUMIFS('capacity data'!$G:$G,'capacity data'!$E:$E,"PO",'capacity data'!$B:$B,P22),"")</f>
        <v/>
      </c>
      <c r="R22" s="230" t="str">
        <f>IFERROR(SUM((SUMIFS('capacity data'!$G:$G,'capacity data'!$E:$E,"PSO",'capacity data'!$B:$B,P22))-SUMIFS('capacity data'!$H:$H,'capacity data'!$E:$E,"PSO",'capacity data'!$B:$B,P22))/SUMIFS('capacity data'!$G:$G,'capacity data'!$E:$E,"PSO",'capacity data'!$B:$B,P22),"")</f>
        <v/>
      </c>
      <c r="S22" s="23" t="str">
        <f t="shared" si="0"/>
        <v/>
      </c>
      <c r="T22" s="231" t="str">
        <f>IFERROR(SUMIFS('capacity data'!$L:$L,'capacity data'!$B:$B,P22,'capacity data'!$E:$E,"PSO")/SUMIFS('capacity data'!$G:$G,'capacity data'!$E:$E,"PSO",'capacity data'!$B:$B,P22),"")</f>
        <v/>
      </c>
      <c r="U22" s="231" t="str">
        <f>IFERROR(SUMIFS('capacity data'!$L:$L,'capacity data'!$B:$B,P22,'capacity data'!$E:$E,"TPO")/SUMIFS('capacity data'!$G:$G,'capacity data'!$E:$E,"TPO",'capacity data'!$B:$B,P22),"")</f>
        <v/>
      </c>
    </row>
    <row r="23" spans="6:21" ht="16" x14ac:dyDescent="0.2">
      <c r="F23"/>
      <c r="M23"/>
      <c r="O23" s="24" t="s">
        <v>25</v>
      </c>
      <c r="P23" t="s">
        <v>109</v>
      </c>
      <c r="Q23" s="230" t="str">
        <f>IFERROR(SUM((SUMIFS('capacity data'!$G:$G,'capacity data'!$E:$E,"PO",'capacity data'!$B:$B,P23))-SUMIFS('capacity data'!$H:$H,'capacity data'!$E:$E,"PO",'capacity data'!$B:$B,P23))/SUMIFS('capacity data'!$G:$G,'capacity data'!$E:$E,"PO",'capacity data'!$B:$B,P23),"")</f>
        <v/>
      </c>
      <c r="R23" s="230" t="str">
        <f>IFERROR(SUM((SUMIFS('capacity data'!$G:$G,'capacity data'!$E:$E,"PSO",'capacity data'!$B:$B,P23))-SUMIFS('capacity data'!$H:$H,'capacity data'!$E:$E,"PSO",'capacity data'!$B:$B,P23))/SUMIFS('capacity data'!$G:$G,'capacity data'!$E:$E,"PSO",'capacity data'!$B:$B,P23),"")</f>
        <v/>
      </c>
      <c r="S23" s="23" t="str">
        <f t="shared" si="0"/>
        <v/>
      </c>
      <c r="T23" s="231" t="str">
        <f>IFERROR(SUMIFS('capacity data'!$L:$L,'capacity data'!$B:$B,P23,'capacity data'!$E:$E,"PSO")/SUMIFS('capacity data'!$G:$G,'capacity data'!$E:$E,"PSO",'capacity data'!$B:$B,P23),"")</f>
        <v/>
      </c>
      <c r="U23" s="231" t="str">
        <f>IFERROR(SUMIFS('capacity data'!$L:$L,'capacity data'!$B:$B,P23,'capacity data'!$E:$E,"TPO")/SUMIFS('capacity data'!$G:$G,'capacity data'!$E:$E,"TPO",'capacity data'!$B:$B,P23),"")</f>
        <v/>
      </c>
    </row>
    <row r="24" spans="6:21" ht="16" x14ac:dyDescent="0.2">
      <c r="F24"/>
      <c r="M24"/>
      <c r="O24" s="24" t="s">
        <v>25</v>
      </c>
      <c r="P24" t="s">
        <v>133</v>
      </c>
      <c r="Q24" s="230" t="str">
        <f>IFERROR(SUM((SUMIFS('capacity data'!$G:$G,'capacity data'!$E:$E,"PO",'capacity data'!$B:$B,P24))-SUMIFS('capacity data'!$H:$H,'capacity data'!$E:$E,"PO",'capacity data'!$B:$B,P24))/SUMIFS('capacity data'!$G:$G,'capacity data'!$E:$E,"PO",'capacity data'!$B:$B,P24),"")</f>
        <v/>
      </c>
      <c r="R24" s="230" t="str">
        <f>IFERROR(SUM((SUMIFS('capacity data'!$G:$G,'capacity data'!$E:$E,"PSO",'capacity data'!$B:$B,P24))-SUMIFS('capacity data'!$H:$H,'capacity data'!$E:$E,"PSO",'capacity data'!$B:$B,P24))/SUMIFS('capacity data'!$G:$G,'capacity data'!$E:$E,"PSO",'capacity data'!$B:$B,P24),"")</f>
        <v/>
      </c>
      <c r="S24" s="23" t="str">
        <f t="shared" si="0"/>
        <v/>
      </c>
      <c r="T24" s="231" t="str">
        <f>IFERROR(SUMIFS('capacity data'!$L:$L,'capacity data'!$B:$B,P24,'capacity data'!$E:$E,"PSO")/SUMIFS('capacity data'!$G:$G,'capacity data'!$E:$E,"PSO",'capacity data'!$B:$B,P24),"")</f>
        <v/>
      </c>
      <c r="U24" s="231" t="str">
        <f>IFERROR(SUMIFS('capacity data'!$L:$L,'capacity data'!$B:$B,P24,'capacity data'!$E:$E,"TPO")/SUMIFS('capacity data'!$G:$G,'capacity data'!$E:$E,"TPO",'capacity data'!$B:$B,P24),"")</f>
        <v/>
      </c>
    </row>
    <row r="25" spans="6:21" ht="16" x14ac:dyDescent="0.2">
      <c r="F25"/>
      <c r="M25"/>
      <c r="O25" s="24" t="s">
        <v>25</v>
      </c>
      <c r="P25" t="s">
        <v>157</v>
      </c>
      <c r="Q25" s="230" t="str">
        <f>IFERROR(SUM((SUMIFS('capacity data'!$G:$G,'capacity data'!$E:$E,"PO",'capacity data'!$B:$B,P25))-SUMIFS('capacity data'!$H:$H,'capacity data'!$E:$E,"PO",'capacity data'!$B:$B,P25))/SUMIFS('capacity data'!$G:$G,'capacity data'!$E:$E,"PO",'capacity data'!$B:$B,P25),"")</f>
        <v/>
      </c>
      <c r="R25" s="230" t="str">
        <f>IFERROR(SUM((SUMIFS('capacity data'!$G:$G,'capacity data'!$E:$E,"PSO",'capacity data'!$B:$B,P25))-SUMIFS('capacity data'!$H:$H,'capacity data'!$E:$E,"PSO",'capacity data'!$B:$B,P25))/SUMIFS('capacity data'!$G:$G,'capacity data'!$E:$E,"PSO",'capacity data'!$B:$B,P25),"")</f>
        <v/>
      </c>
      <c r="S25" s="23" t="str">
        <f t="shared" si="0"/>
        <v/>
      </c>
      <c r="T25" s="231" t="str">
        <f>IFERROR(SUMIFS('capacity data'!$L:$L,'capacity data'!$B:$B,P25,'capacity data'!$E:$E,"PSO")/SUMIFS('capacity data'!$G:$G,'capacity data'!$E:$E,"PSO",'capacity data'!$B:$B,P25),"")</f>
        <v/>
      </c>
      <c r="U25" s="231" t="str">
        <f>IFERROR(SUMIFS('capacity data'!$L:$L,'capacity data'!$B:$B,P25,'capacity data'!$E:$E,"TPO")/SUMIFS('capacity data'!$G:$G,'capacity data'!$E:$E,"TPO",'capacity data'!$B:$B,P25),"")</f>
        <v/>
      </c>
    </row>
    <row r="26" spans="6:21" ht="16" x14ac:dyDescent="0.2">
      <c r="F26"/>
      <c r="M26"/>
      <c r="O26" s="24" t="s">
        <v>25</v>
      </c>
      <c r="P26" t="s">
        <v>181</v>
      </c>
      <c r="Q26" s="230" t="str">
        <f>IFERROR(SUM((SUMIFS('capacity data'!$G:$G,'capacity data'!$E:$E,"PO",'capacity data'!$B:$B,P26))-SUMIFS('capacity data'!$H:$H,'capacity data'!$E:$E,"PO",'capacity data'!$B:$B,P26))/SUMIFS('capacity data'!$G:$G,'capacity data'!$E:$E,"PO",'capacity data'!$B:$B,P26),"")</f>
        <v/>
      </c>
      <c r="R26" s="230" t="str">
        <f>IFERROR(SUM((SUMIFS('capacity data'!$G:$G,'capacity data'!$E:$E,"PSO",'capacity data'!$B:$B,P26))-SUMIFS('capacity data'!$H:$H,'capacity data'!$E:$E,"PSO",'capacity data'!$B:$B,P26))/SUMIFS('capacity data'!$G:$G,'capacity data'!$E:$E,"PSO",'capacity data'!$B:$B,P26),"")</f>
        <v/>
      </c>
      <c r="S26" s="23" t="str">
        <f t="shared" si="0"/>
        <v/>
      </c>
      <c r="T26" s="231" t="str">
        <f>IFERROR(SUMIFS('capacity data'!$L:$L,'capacity data'!$B:$B,P26,'capacity data'!$E:$E,"PSO")/SUMIFS('capacity data'!$G:$G,'capacity data'!$E:$E,"PSO",'capacity data'!$B:$B,P26),"")</f>
        <v/>
      </c>
      <c r="U26" s="231" t="str">
        <f>IFERROR(SUMIFS('capacity data'!$L:$L,'capacity data'!$B:$B,P26,'capacity data'!$E:$E,"TPO")/SUMIFS('capacity data'!$G:$G,'capacity data'!$E:$E,"TPO",'capacity data'!$B:$B,P26),"")</f>
        <v/>
      </c>
    </row>
    <row r="27" spans="6:21" ht="16" x14ac:dyDescent="0.2">
      <c r="F27"/>
      <c r="M27"/>
      <c r="O27" s="24" t="s">
        <v>25</v>
      </c>
      <c r="P27" t="s">
        <v>205</v>
      </c>
      <c r="Q27" s="230" t="str">
        <f>IFERROR(SUM((SUMIFS('capacity data'!$G:$G,'capacity data'!$E:$E,"PO",'capacity data'!$B:$B,P27))-SUMIFS('capacity data'!$H:$H,'capacity data'!$E:$E,"PO",'capacity data'!$B:$B,P27))/SUMIFS('capacity data'!$G:$G,'capacity data'!$E:$E,"PO",'capacity data'!$B:$B,P27),"")</f>
        <v/>
      </c>
      <c r="R27" s="230" t="str">
        <f>IFERROR(SUM((SUMIFS('capacity data'!$G:$G,'capacity data'!$E:$E,"PSO",'capacity data'!$B:$B,P27))-SUMIFS('capacity data'!$H:$H,'capacity data'!$E:$E,"PSO",'capacity data'!$B:$B,P27))/SUMIFS('capacity data'!$G:$G,'capacity data'!$E:$E,"PSO",'capacity data'!$B:$B,P27),"")</f>
        <v/>
      </c>
      <c r="S27" s="23" t="str">
        <f t="shared" si="0"/>
        <v/>
      </c>
      <c r="T27" s="231" t="str">
        <f>IFERROR(SUMIFS('capacity data'!$L:$L,'capacity data'!$B:$B,P27,'capacity data'!$E:$E,"PSO")/SUMIFS('capacity data'!$G:$G,'capacity data'!$E:$E,"PSO",'capacity data'!$B:$B,P27),"")</f>
        <v/>
      </c>
      <c r="U27" s="231" t="str">
        <f>IFERROR(SUMIFS('capacity data'!$L:$L,'capacity data'!$B:$B,P27,'capacity data'!$E:$E,"TPO")/SUMIFS('capacity data'!$G:$G,'capacity data'!$E:$E,"TPO",'capacity data'!$B:$B,P27),"")</f>
        <v/>
      </c>
    </row>
    <row r="28" spans="6:21" ht="16" x14ac:dyDescent="0.2">
      <c r="F28"/>
      <c r="M28"/>
      <c r="O28" s="24" t="s">
        <v>25</v>
      </c>
      <c r="P28" t="s">
        <v>227</v>
      </c>
      <c r="Q28" s="230" t="str">
        <f>IFERROR(SUM((SUMIFS('capacity data'!$G:$G,'capacity data'!$E:$E,"PO",'capacity data'!$B:$B,P28))-SUMIFS('capacity data'!$H:$H,'capacity data'!$E:$E,"PO",'capacity data'!$B:$B,P28))/SUMIFS('capacity data'!$G:$G,'capacity data'!$E:$E,"PO",'capacity data'!$B:$B,P28),"")</f>
        <v/>
      </c>
      <c r="R28" s="230" t="str">
        <f>IFERROR(SUM((SUMIFS('capacity data'!$G:$G,'capacity data'!$E:$E,"PSO",'capacity data'!$B:$B,P28))-SUMIFS('capacity data'!$H:$H,'capacity data'!$E:$E,"PSO",'capacity data'!$B:$B,P28))/SUMIFS('capacity data'!$G:$G,'capacity data'!$E:$E,"PSO",'capacity data'!$B:$B,P28),"")</f>
        <v/>
      </c>
      <c r="S28" s="23" t="str">
        <f t="shared" si="0"/>
        <v/>
      </c>
      <c r="T28" s="231" t="str">
        <f>IFERROR(SUMIFS('capacity data'!$L:$L,'capacity data'!$B:$B,P28,'capacity data'!$E:$E,"PSO")/SUMIFS('capacity data'!$G:$G,'capacity data'!$E:$E,"PSO",'capacity data'!$B:$B,P28),"")</f>
        <v/>
      </c>
      <c r="U28" s="231" t="str">
        <f>IFERROR(SUMIFS('capacity data'!$L:$L,'capacity data'!$B:$B,P28,'capacity data'!$E:$E,"TPO")/SUMIFS('capacity data'!$G:$G,'capacity data'!$E:$E,"TPO",'capacity data'!$B:$B,P28),"")</f>
        <v/>
      </c>
    </row>
    <row r="29" spans="6:21" ht="16" x14ac:dyDescent="0.2">
      <c r="F29"/>
      <c r="M29"/>
      <c r="O29" s="24" t="s">
        <v>25</v>
      </c>
      <c r="P29" t="s">
        <v>248</v>
      </c>
      <c r="Q29" s="230" t="str">
        <f>IFERROR(SUM((SUMIFS('capacity data'!$G:$G,'capacity data'!$E:$E,"PO",'capacity data'!$B:$B,P29))-SUMIFS('capacity data'!$H:$H,'capacity data'!$E:$E,"PO",'capacity data'!$B:$B,P29))/SUMIFS('capacity data'!$G:$G,'capacity data'!$E:$E,"PO",'capacity data'!$B:$B,P29),"")</f>
        <v/>
      </c>
      <c r="R29" s="230" t="str">
        <f>IFERROR(SUM((SUMIFS('capacity data'!$G:$G,'capacity data'!$E:$E,"PSO",'capacity data'!$B:$B,P29))-SUMIFS('capacity data'!$H:$H,'capacity data'!$E:$E,"PSO",'capacity data'!$B:$B,P29))/SUMIFS('capacity data'!$G:$G,'capacity data'!$E:$E,"PSO",'capacity data'!$B:$B,P29),"")</f>
        <v/>
      </c>
      <c r="S29" s="23" t="str">
        <f t="shared" si="0"/>
        <v/>
      </c>
      <c r="T29" s="231" t="str">
        <f>IFERROR(SUMIFS('capacity data'!$L:$L,'capacity data'!$B:$B,P29,'capacity data'!$E:$E,"PSO")/SUMIFS('capacity data'!$G:$G,'capacity data'!$E:$E,"PSO",'capacity data'!$B:$B,P29),"")</f>
        <v/>
      </c>
      <c r="U29" s="231" t="str">
        <f>IFERROR(SUMIFS('capacity data'!$L:$L,'capacity data'!$B:$B,P29,'capacity data'!$E:$E,"TPO")/SUMIFS('capacity data'!$G:$G,'capacity data'!$E:$E,"TPO",'capacity data'!$B:$B,P29),"")</f>
        <v/>
      </c>
    </row>
    <row r="30" spans="6:21" ht="16" x14ac:dyDescent="0.2">
      <c r="F30"/>
      <c r="M30"/>
      <c r="O30" s="24" t="s">
        <v>25</v>
      </c>
      <c r="P30" t="s">
        <v>268</v>
      </c>
      <c r="Q30" s="230" t="str">
        <f>IFERROR(SUM((SUMIFS('capacity data'!$G:$G,'capacity data'!$E:$E,"PO",'capacity data'!$B:$B,P30))-SUMIFS('capacity data'!$H:$H,'capacity data'!$E:$E,"PO",'capacity data'!$B:$B,P30))/SUMIFS('capacity data'!$G:$G,'capacity data'!$E:$E,"PO",'capacity data'!$B:$B,P30),"")</f>
        <v/>
      </c>
      <c r="R30" s="230" t="str">
        <f>IFERROR(SUM((SUMIFS('capacity data'!$G:$G,'capacity data'!$E:$E,"PSO",'capacity data'!$B:$B,P30))-SUMIFS('capacity data'!$H:$H,'capacity data'!$E:$E,"PSO",'capacity data'!$B:$B,P30))/SUMIFS('capacity data'!$G:$G,'capacity data'!$E:$E,"PSO",'capacity data'!$B:$B,P30),"")</f>
        <v/>
      </c>
      <c r="S30" s="23" t="str">
        <f t="shared" si="0"/>
        <v/>
      </c>
      <c r="T30" s="231" t="str">
        <f>IFERROR(SUMIFS('capacity data'!$L:$L,'capacity data'!$B:$B,P30,'capacity data'!$E:$E,"PSO")/SUMIFS('capacity data'!$G:$G,'capacity data'!$E:$E,"PSO",'capacity data'!$B:$B,P30),"")</f>
        <v/>
      </c>
      <c r="U30" s="231" t="str">
        <f>IFERROR(SUMIFS('capacity data'!$L:$L,'capacity data'!$B:$B,P30,'capacity data'!$E:$E,"TPO")/SUMIFS('capacity data'!$G:$G,'capacity data'!$E:$E,"TPO",'capacity data'!$B:$B,P30),"")</f>
        <v/>
      </c>
    </row>
    <row r="31" spans="6:21" ht="16" x14ac:dyDescent="0.2">
      <c r="F31"/>
      <c r="M31"/>
      <c r="O31" s="24" t="s">
        <v>25</v>
      </c>
      <c r="P31" t="s">
        <v>288</v>
      </c>
      <c r="Q31" s="230" t="str">
        <f>IFERROR(SUM((SUMIFS('capacity data'!$G:$G,'capacity data'!$E:$E,"PO",'capacity data'!$B:$B,P31))-SUMIFS('capacity data'!$H:$H,'capacity data'!$E:$E,"PO",'capacity data'!$B:$B,P31))/SUMIFS('capacity data'!$G:$G,'capacity data'!$E:$E,"PO",'capacity data'!$B:$B,P31),"")</f>
        <v/>
      </c>
      <c r="R31" s="230" t="str">
        <f>IFERROR(SUM((SUMIFS('capacity data'!$G:$G,'capacity data'!$E:$E,"PSO",'capacity data'!$B:$B,P31))-SUMIFS('capacity data'!$H:$H,'capacity data'!$E:$E,"PSO",'capacity data'!$B:$B,P31))/SUMIFS('capacity data'!$G:$G,'capacity data'!$E:$E,"PSO",'capacity data'!$B:$B,P31),"")</f>
        <v/>
      </c>
      <c r="S31" s="23" t="str">
        <f t="shared" si="0"/>
        <v/>
      </c>
      <c r="T31" s="231" t="str">
        <f>IFERROR(SUMIFS('capacity data'!$L:$L,'capacity data'!$B:$B,P31,'capacity data'!$E:$E,"PSO")/SUMIFS('capacity data'!$G:$G,'capacity data'!$E:$E,"PSO",'capacity data'!$B:$B,P31),"")</f>
        <v/>
      </c>
      <c r="U31" s="231" t="str">
        <f>IFERROR(SUMIFS('capacity data'!$L:$L,'capacity data'!$B:$B,P31,'capacity data'!$E:$E,"TPO")/SUMIFS('capacity data'!$G:$G,'capacity data'!$E:$E,"TPO",'capacity data'!$B:$B,P31),"")</f>
        <v/>
      </c>
    </row>
    <row r="32" spans="6:21" ht="16" x14ac:dyDescent="0.2">
      <c r="F32"/>
      <c r="M32"/>
      <c r="O32" s="24" t="s">
        <v>26</v>
      </c>
      <c r="P32" t="s">
        <v>38</v>
      </c>
      <c r="Q32" s="230" t="str">
        <f>IFERROR(SUM((SUMIFS('capacity data'!$G:$G,'capacity data'!$E:$E,"PO",'capacity data'!$B:$B,P32))-SUMIFS('capacity data'!$H:$H,'capacity data'!$E:$E,"PO",'capacity data'!$B:$B,P32))/SUMIFS('capacity data'!$G:$G,'capacity data'!$E:$E,"PO",'capacity data'!$B:$B,P32),"")</f>
        <v/>
      </c>
      <c r="R32" s="230" t="str">
        <f>IFERROR(SUM((SUMIFS('capacity data'!$G:$G,'capacity data'!$E:$E,"PSO",'capacity data'!$B:$B,P32))-SUMIFS('capacity data'!$H:$H,'capacity data'!$E:$E,"PSO",'capacity data'!$B:$B,P32))/SUMIFS('capacity data'!$G:$G,'capacity data'!$E:$E,"PSO",'capacity data'!$B:$B,P32),"")</f>
        <v/>
      </c>
      <c r="S32" s="23" t="str">
        <f t="shared" si="0"/>
        <v/>
      </c>
      <c r="T32" s="231" t="str">
        <f>IFERROR(SUMIFS('capacity data'!$L:$L,'capacity data'!$B:$B,P32,'capacity data'!$E:$E,"PSO")/SUMIFS('capacity data'!$G:$G,'capacity data'!$E:$E,"PSO",'capacity data'!$B:$B,P32),"")</f>
        <v/>
      </c>
      <c r="U32" s="231" t="str">
        <f>IFERROR(SUMIFS('capacity data'!$L:$L,'capacity data'!$B:$B,P32,'capacity data'!$E:$E,"TPO")/SUMIFS('capacity data'!$G:$G,'capacity data'!$E:$E,"TPO",'capacity data'!$B:$B,P32),"")</f>
        <v/>
      </c>
    </row>
    <row r="33" spans="6:21" ht="16" x14ac:dyDescent="0.2">
      <c r="F33"/>
      <c r="M33"/>
      <c r="O33" s="24" t="s">
        <v>26</v>
      </c>
      <c r="P33" t="s">
        <v>62</v>
      </c>
      <c r="Q33" s="230" t="str">
        <f>IFERROR(SUM((SUMIFS('capacity data'!$G:$G,'capacity data'!$E:$E,"PO",'capacity data'!$B:$B,P33))-SUMIFS('capacity data'!$H:$H,'capacity data'!$E:$E,"PO",'capacity data'!$B:$B,P33))/SUMIFS('capacity data'!$G:$G,'capacity data'!$E:$E,"PO",'capacity data'!$B:$B,P33),"")</f>
        <v/>
      </c>
      <c r="R33" s="230" t="str">
        <f>IFERROR(SUM((SUMIFS('capacity data'!$G:$G,'capacity data'!$E:$E,"PSO",'capacity data'!$B:$B,P33))-SUMIFS('capacity data'!$H:$H,'capacity data'!$E:$E,"PSO",'capacity data'!$B:$B,P33))/SUMIFS('capacity data'!$G:$G,'capacity data'!$E:$E,"PSO",'capacity data'!$B:$B,P33),"")</f>
        <v/>
      </c>
      <c r="S33" s="23" t="str">
        <f t="shared" si="0"/>
        <v/>
      </c>
      <c r="T33" s="231" t="str">
        <f>IFERROR(SUMIFS('capacity data'!$L:$L,'capacity data'!$B:$B,P33,'capacity data'!$E:$E,"PSO")/SUMIFS('capacity data'!$G:$G,'capacity data'!$E:$E,"PSO",'capacity data'!$B:$B,P33),"")</f>
        <v/>
      </c>
      <c r="U33" s="231" t="str">
        <f>IFERROR(SUMIFS('capacity data'!$L:$L,'capacity data'!$B:$B,P33,'capacity data'!$E:$E,"TPO")/SUMIFS('capacity data'!$G:$G,'capacity data'!$E:$E,"TPO",'capacity data'!$B:$B,P33),"")</f>
        <v/>
      </c>
    </row>
    <row r="34" spans="6:21" ht="16" x14ac:dyDescent="0.2">
      <c r="F34"/>
      <c r="M34"/>
      <c r="O34" s="24" t="s">
        <v>26</v>
      </c>
      <c r="P34" t="s">
        <v>86</v>
      </c>
      <c r="Q34" s="230" t="str">
        <f>IFERROR(SUM((SUMIFS('capacity data'!$G:$G,'capacity data'!$E:$E,"PO",'capacity data'!$B:$B,P34))-SUMIFS('capacity data'!$H:$H,'capacity data'!$E:$E,"PO",'capacity data'!$B:$B,P34))/SUMIFS('capacity data'!$G:$G,'capacity data'!$E:$E,"PO",'capacity data'!$B:$B,P34),"")</f>
        <v/>
      </c>
      <c r="R34" s="230" t="str">
        <f>IFERROR(SUM((SUMIFS('capacity data'!$G:$G,'capacity data'!$E:$E,"PSO",'capacity data'!$B:$B,P34))-SUMIFS('capacity data'!$H:$H,'capacity data'!$E:$E,"PSO",'capacity data'!$B:$B,P34))/SUMIFS('capacity data'!$G:$G,'capacity data'!$E:$E,"PSO",'capacity data'!$B:$B,P34),"")</f>
        <v/>
      </c>
      <c r="S34" s="23" t="str">
        <f t="shared" si="0"/>
        <v/>
      </c>
      <c r="T34" s="231" t="str">
        <f>IFERROR(SUMIFS('capacity data'!$L:$L,'capacity data'!$B:$B,P34,'capacity data'!$E:$E,"PSO")/SUMIFS('capacity data'!$G:$G,'capacity data'!$E:$E,"PSO",'capacity data'!$B:$B,P34),"")</f>
        <v/>
      </c>
      <c r="U34" s="231" t="str">
        <f>IFERROR(SUMIFS('capacity data'!$L:$L,'capacity data'!$B:$B,P34,'capacity data'!$E:$E,"TPO")/SUMIFS('capacity data'!$G:$G,'capacity data'!$E:$E,"TPO",'capacity data'!$B:$B,P34),"")</f>
        <v/>
      </c>
    </row>
    <row r="35" spans="6:21" ht="16" x14ac:dyDescent="0.2">
      <c r="F35"/>
      <c r="M35"/>
      <c r="O35" s="24" t="s">
        <v>26</v>
      </c>
      <c r="P35" t="s">
        <v>110</v>
      </c>
      <c r="Q35" s="230" t="str">
        <f>IFERROR(SUM((SUMIFS('capacity data'!$G:$G,'capacity data'!$E:$E,"PO",'capacity data'!$B:$B,P35))-SUMIFS('capacity data'!$H:$H,'capacity data'!$E:$E,"PO",'capacity data'!$B:$B,P35))/SUMIFS('capacity data'!$G:$G,'capacity data'!$E:$E,"PO",'capacity data'!$B:$B,P35),"")</f>
        <v/>
      </c>
      <c r="R35" s="230" t="str">
        <f>IFERROR(SUM((SUMIFS('capacity data'!$G:$G,'capacity data'!$E:$E,"PSO",'capacity data'!$B:$B,P35))-SUMIFS('capacity data'!$H:$H,'capacity data'!$E:$E,"PSO",'capacity data'!$B:$B,P35))/SUMIFS('capacity data'!$G:$G,'capacity data'!$E:$E,"PSO",'capacity data'!$B:$B,P35),"")</f>
        <v/>
      </c>
      <c r="S35" s="23" t="str">
        <f t="shared" si="0"/>
        <v/>
      </c>
      <c r="T35" s="231" t="str">
        <f>IFERROR(SUMIFS('capacity data'!$L:$L,'capacity data'!$B:$B,P35,'capacity data'!$E:$E,"PSO")/SUMIFS('capacity data'!$G:$G,'capacity data'!$E:$E,"PSO",'capacity data'!$B:$B,P35),"")</f>
        <v/>
      </c>
      <c r="U35" s="231" t="str">
        <f>IFERROR(SUMIFS('capacity data'!$L:$L,'capacity data'!$B:$B,P35,'capacity data'!$E:$E,"TPO")/SUMIFS('capacity data'!$G:$G,'capacity data'!$E:$E,"TPO",'capacity data'!$B:$B,P35),"")</f>
        <v/>
      </c>
    </row>
    <row r="36" spans="6:21" ht="16" x14ac:dyDescent="0.2">
      <c r="F36"/>
      <c r="M36"/>
      <c r="O36" s="24" t="s">
        <v>26</v>
      </c>
      <c r="P36" t="s">
        <v>134</v>
      </c>
      <c r="Q36" s="230" t="str">
        <f>IFERROR(SUM((SUMIFS('capacity data'!$G:$G,'capacity data'!$E:$E,"PO",'capacity data'!$B:$B,P36))-SUMIFS('capacity data'!$H:$H,'capacity data'!$E:$E,"PO",'capacity data'!$B:$B,P36))/SUMIFS('capacity data'!$G:$G,'capacity data'!$E:$E,"PO",'capacity data'!$B:$B,P36),"")</f>
        <v/>
      </c>
      <c r="R36" s="230" t="str">
        <f>IFERROR(SUM((SUMIFS('capacity data'!$G:$G,'capacity data'!$E:$E,"PSO",'capacity data'!$B:$B,P36))-SUMIFS('capacity data'!$H:$H,'capacity data'!$E:$E,"PSO",'capacity data'!$B:$B,P36))/SUMIFS('capacity data'!$G:$G,'capacity data'!$E:$E,"PSO",'capacity data'!$B:$B,P36),"")</f>
        <v/>
      </c>
      <c r="S36" s="23" t="str">
        <f t="shared" si="0"/>
        <v/>
      </c>
      <c r="T36" s="231" t="str">
        <f>IFERROR(SUMIFS('capacity data'!$L:$L,'capacity data'!$B:$B,P36,'capacity data'!$E:$E,"PSO")/SUMIFS('capacity data'!$G:$G,'capacity data'!$E:$E,"PSO",'capacity data'!$B:$B,P36),"")</f>
        <v/>
      </c>
      <c r="U36" s="231" t="str">
        <f>IFERROR(SUMIFS('capacity data'!$L:$L,'capacity data'!$B:$B,P36,'capacity data'!$E:$E,"TPO")/SUMIFS('capacity data'!$G:$G,'capacity data'!$E:$E,"TPO",'capacity data'!$B:$B,P36),"")</f>
        <v/>
      </c>
    </row>
    <row r="37" spans="6:21" ht="16" x14ac:dyDescent="0.2">
      <c r="F37"/>
      <c r="M37"/>
      <c r="O37" s="24" t="s">
        <v>26</v>
      </c>
      <c r="P37" t="s">
        <v>158</v>
      </c>
      <c r="Q37" s="230" t="str">
        <f>IFERROR(SUM((SUMIFS('capacity data'!$G:$G,'capacity data'!$E:$E,"PO",'capacity data'!$B:$B,P37))-SUMIFS('capacity data'!$H:$H,'capacity data'!$E:$E,"PO",'capacity data'!$B:$B,P37))/SUMIFS('capacity data'!$G:$G,'capacity data'!$E:$E,"PO",'capacity data'!$B:$B,P37),"")</f>
        <v/>
      </c>
      <c r="R37" s="230" t="str">
        <f>IFERROR(SUM((SUMIFS('capacity data'!$G:$G,'capacity data'!$E:$E,"PSO",'capacity data'!$B:$B,P37))-SUMIFS('capacity data'!$H:$H,'capacity data'!$E:$E,"PSO",'capacity data'!$B:$B,P37))/SUMIFS('capacity data'!$G:$G,'capacity data'!$E:$E,"PSO",'capacity data'!$B:$B,P37),"")</f>
        <v/>
      </c>
      <c r="S37" s="23" t="str">
        <f t="shared" si="0"/>
        <v/>
      </c>
      <c r="T37" s="231" t="str">
        <f>IFERROR(SUMIFS('capacity data'!$L:$L,'capacity data'!$B:$B,P37,'capacity data'!$E:$E,"PSO")/SUMIFS('capacity data'!$G:$G,'capacity data'!$E:$E,"PSO",'capacity data'!$B:$B,P37),"")</f>
        <v/>
      </c>
      <c r="U37" s="231" t="str">
        <f>IFERROR(SUMIFS('capacity data'!$L:$L,'capacity data'!$B:$B,P37,'capacity data'!$E:$E,"TPO")/SUMIFS('capacity data'!$G:$G,'capacity data'!$E:$E,"TPO",'capacity data'!$B:$B,P37),"")</f>
        <v/>
      </c>
    </row>
    <row r="38" spans="6:21" ht="16" x14ac:dyDescent="0.2">
      <c r="F38"/>
      <c r="M38"/>
      <c r="O38" s="24" t="s">
        <v>26</v>
      </c>
      <c r="P38" t="s">
        <v>182</v>
      </c>
      <c r="Q38" s="230" t="str">
        <f>IFERROR(SUM((SUMIFS('capacity data'!$G:$G,'capacity data'!$E:$E,"PO",'capacity data'!$B:$B,P38))-SUMIFS('capacity data'!$H:$H,'capacity data'!$E:$E,"PO",'capacity data'!$B:$B,P38))/SUMIFS('capacity data'!$G:$G,'capacity data'!$E:$E,"PO",'capacity data'!$B:$B,P38),"")</f>
        <v/>
      </c>
      <c r="R38" s="230" t="str">
        <f>IFERROR(SUM((SUMIFS('capacity data'!$G:$G,'capacity data'!$E:$E,"PSO",'capacity data'!$B:$B,P38))-SUMIFS('capacity data'!$H:$H,'capacity data'!$E:$E,"PSO",'capacity data'!$B:$B,P38))/SUMIFS('capacity data'!$G:$G,'capacity data'!$E:$E,"PSO",'capacity data'!$B:$B,P38),"")</f>
        <v/>
      </c>
      <c r="S38" s="23" t="str">
        <f t="shared" si="0"/>
        <v/>
      </c>
      <c r="T38" s="231" t="str">
        <f>IFERROR(SUMIFS('capacity data'!$L:$L,'capacity data'!$B:$B,P38,'capacity data'!$E:$E,"PSO")/SUMIFS('capacity data'!$G:$G,'capacity data'!$E:$E,"PSO",'capacity data'!$B:$B,P38),"")</f>
        <v/>
      </c>
      <c r="U38" s="231" t="str">
        <f>IFERROR(SUMIFS('capacity data'!$L:$L,'capacity data'!$B:$B,P38,'capacity data'!$E:$E,"TPO")/SUMIFS('capacity data'!$G:$G,'capacity data'!$E:$E,"TPO",'capacity data'!$B:$B,P38),"")</f>
        <v/>
      </c>
    </row>
    <row r="39" spans="6:21" ht="16" x14ac:dyDescent="0.2">
      <c r="F39"/>
      <c r="M39"/>
      <c r="O39" s="24" t="s">
        <v>27</v>
      </c>
      <c r="P39" t="s">
        <v>39</v>
      </c>
      <c r="Q39" s="230" t="str">
        <f>IFERROR(SUM((SUMIFS('capacity data'!$G:$G,'capacity data'!$E:$E,"PO",'capacity data'!$B:$B,P39))-SUMIFS('capacity data'!$H:$H,'capacity data'!$E:$E,"PO",'capacity data'!$B:$B,P39))/SUMIFS('capacity data'!$G:$G,'capacity data'!$E:$E,"PO",'capacity data'!$B:$B,P39),"")</f>
        <v/>
      </c>
      <c r="R39" s="230" t="str">
        <f>IFERROR(SUM((SUMIFS('capacity data'!$G:$G,'capacity data'!$E:$E,"PSO",'capacity data'!$B:$B,P39))-SUMIFS('capacity data'!$H:$H,'capacity data'!$E:$E,"PSO",'capacity data'!$B:$B,P39))/SUMIFS('capacity data'!$G:$G,'capacity data'!$E:$E,"PSO",'capacity data'!$B:$B,P39),"")</f>
        <v/>
      </c>
      <c r="S39" s="23" t="str">
        <f t="shared" si="0"/>
        <v/>
      </c>
      <c r="T39" s="231" t="str">
        <f>IFERROR(SUMIFS('capacity data'!$L:$L,'capacity data'!$B:$B,P39,'capacity data'!$E:$E,"PSO")/SUMIFS('capacity data'!$G:$G,'capacity data'!$E:$E,"PSO",'capacity data'!$B:$B,P39),"")</f>
        <v/>
      </c>
      <c r="U39" s="231" t="str">
        <f>IFERROR(SUMIFS('capacity data'!$L:$L,'capacity data'!$B:$B,P39,'capacity data'!$E:$E,"TPO")/SUMIFS('capacity data'!$G:$G,'capacity data'!$E:$E,"TPO",'capacity data'!$B:$B,P39),"")</f>
        <v/>
      </c>
    </row>
    <row r="40" spans="6:21" ht="16" x14ac:dyDescent="0.2">
      <c r="F40"/>
      <c r="M40"/>
      <c r="O40" s="24" t="s">
        <v>27</v>
      </c>
      <c r="P40" t="s">
        <v>63</v>
      </c>
      <c r="Q40" s="230" t="str">
        <f>IFERROR(SUM((SUMIFS('capacity data'!$G:$G,'capacity data'!$E:$E,"PO",'capacity data'!$B:$B,P40))-SUMIFS('capacity data'!$H:$H,'capacity data'!$E:$E,"PO",'capacity data'!$B:$B,P40))/SUMIFS('capacity data'!$G:$G,'capacity data'!$E:$E,"PO",'capacity data'!$B:$B,P40),"")</f>
        <v/>
      </c>
      <c r="R40" s="230" t="str">
        <f>IFERROR(SUM((SUMIFS('capacity data'!$G:$G,'capacity data'!$E:$E,"PSO",'capacity data'!$B:$B,P40))-SUMIFS('capacity data'!$H:$H,'capacity data'!$E:$E,"PSO",'capacity data'!$B:$B,P40))/SUMIFS('capacity data'!$G:$G,'capacity data'!$E:$E,"PSO",'capacity data'!$B:$B,P40),"")</f>
        <v/>
      </c>
      <c r="S40" s="23" t="str">
        <f t="shared" si="0"/>
        <v/>
      </c>
      <c r="T40" s="231" t="str">
        <f>IFERROR(SUMIFS('capacity data'!$L:$L,'capacity data'!$B:$B,P40,'capacity data'!$E:$E,"PSO")/SUMIFS('capacity data'!$G:$G,'capacity data'!$E:$E,"PSO",'capacity data'!$B:$B,P40),"")</f>
        <v/>
      </c>
      <c r="U40" s="231" t="str">
        <f>IFERROR(SUMIFS('capacity data'!$L:$L,'capacity data'!$B:$B,P40,'capacity data'!$E:$E,"TPO")/SUMIFS('capacity data'!$G:$G,'capacity data'!$E:$E,"TPO",'capacity data'!$B:$B,P40),"")</f>
        <v/>
      </c>
    </row>
    <row r="41" spans="6:21" ht="16" x14ac:dyDescent="0.2">
      <c r="F41"/>
      <c r="M41"/>
      <c r="O41" s="24" t="s">
        <v>27</v>
      </c>
      <c r="P41" t="s">
        <v>87</v>
      </c>
      <c r="Q41" s="230" t="str">
        <f>IFERROR(SUM((SUMIFS('capacity data'!$G:$G,'capacity data'!$E:$E,"PO",'capacity data'!$B:$B,P41))-SUMIFS('capacity data'!$H:$H,'capacity data'!$E:$E,"PO",'capacity data'!$B:$B,P41))/SUMIFS('capacity data'!$G:$G,'capacity data'!$E:$E,"PO",'capacity data'!$B:$B,P41),"")</f>
        <v/>
      </c>
      <c r="R41" s="230" t="str">
        <f>IFERROR(SUM((SUMIFS('capacity data'!$G:$G,'capacity data'!$E:$E,"PSO",'capacity data'!$B:$B,P41))-SUMIFS('capacity data'!$H:$H,'capacity data'!$E:$E,"PSO",'capacity data'!$B:$B,P41))/SUMIFS('capacity data'!$G:$G,'capacity data'!$E:$E,"PSO",'capacity data'!$B:$B,P41),"")</f>
        <v/>
      </c>
      <c r="S41" s="23" t="str">
        <f t="shared" si="0"/>
        <v/>
      </c>
      <c r="T41" s="231" t="str">
        <f>IFERROR(SUMIFS('capacity data'!$L:$L,'capacity data'!$B:$B,P41,'capacity data'!$E:$E,"PSO")/SUMIFS('capacity data'!$G:$G,'capacity data'!$E:$E,"PSO",'capacity data'!$B:$B,P41),"")</f>
        <v/>
      </c>
      <c r="U41" s="231" t="str">
        <f>IFERROR(SUMIFS('capacity data'!$L:$L,'capacity data'!$B:$B,P41,'capacity data'!$E:$E,"TPO")/SUMIFS('capacity data'!$G:$G,'capacity data'!$E:$E,"TPO",'capacity data'!$B:$B,P41),"")</f>
        <v/>
      </c>
    </row>
    <row r="42" spans="6:21" ht="16" x14ac:dyDescent="0.2">
      <c r="F42"/>
      <c r="M42"/>
      <c r="O42" s="24" t="s">
        <v>27</v>
      </c>
      <c r="P42" t="s">
        <v>111</v>
      </c>
      <c r="Q42" s="230" t="str">
        <f>IFERROR(SUM((SUMIFS('capacity data'!$G:$G,'capacity data'!$E:$E,"PO",'capacity data'!$B:$B,P42))-SUMIFS('capacity data'!$H:$H,'capacity data'!$E:$E,"PO",'capacity data'!$B:$B,P42))/SUMIFS('capacity data'!$G:$G,'capacity data'!$E:$E,"PO",'capacity data'!$B:$B,P42),"")</f>
        <v/>
      </c>
      <c r="R42" s="230" t="str">
        <f>IFERROR(SUM((SUMIFS('capacity data'!$G:$G,'capacity data'!$E:$E,"PSO",'capacity data'!$B:$B,P42))-SUMIFS('capacity data'!$H:$H,'capacity data'!$E:$E,"PSO",'capacity data'!$B:$B,P42))/SUMIFS('capacity data'!$G:$G,'capacity data'!$E:$E,"PSO",'capacity data'!$B:$B,P42),"")</f>
        <v/>
      </c>
      <c r="S42" s="23" t="str">
        <f t="shared" si="0"/>
        <v/>
      </c>
      <c r="T42" s="231" t="str">
        <f>IFERROR(SUMIFS('capacity data'!$L:$L,'capacity data'!$B:$B,P42,'capacity data'!$E:$E,"PSO")/SUMIFS('capacity data'!$G:$G,'capacity data'!$E:$E,"PSO",'capacity data'!$B:$B,P42),"")</f>
        <v/>
      </c>
      <c r="U42" s="231" t="str">
        <f>IFERROR(SUMIFS('capacity data'!$L:$L,'capacity data'!$B:$B,P42,'capacity data'!$E:$E,"TPO")/SUMIFS('capacity data'!$G:$G,'capacity data'!$E:$E,"TPO",'capacity data'!$B:$B,P42),"")</f>
        <v/>
      </c>
    </row>
    <row r="43" spans="6:21" ht="16" x14ac:dyDescent="0.2">
      <c r="F43"/>
      <c r="M43"/>
      <c r="O43" s="24" t="s">
        <v>27</v>
      </c>
      <c r="P43" t="s">
        <v>135</v>
      </c>
      <c r="Q43" s="230" t="str">
        <f>IFERROR(SUM((SUMIFS('capacity data'!$G:$G,'capacity data'!$E:$E,"PO",'capacity data'!$B:$B,P43))-SUMIFS('capacity data'!$H:$H,'capacity data'!$E:$E,"PO",'capacity data'!$B:$B,P43))/SUMIFS('capacity data'!$G:$G,'capacity data'!$E:$E,"PO",'capacity data'!$B:$B,P43),"")</f>
        <v/>
      </c>
      <c r="R43" s="230" t="str">
        <f>IFERROR(SUM((SUMIFS('capacity data'!$G:$G,'capacity data'!$E:$E,"PSO",'capacity data'!$B:$B,P43))-SUMIFS('capacity data'!$H:$H,'capacity data'!$E:$E,"PSO",'capacity data'!$B:$B,P43))/SUMIFS('capacity data'!$G:$G,'capacity data'!$E:$E,"PSO",'capacity data'!$B:$B,P43),"")</f>
        <v/>
      </c>
      <c r="S43" s="23" t="str">
        <f t="shared" si="0"/>
        <v/>
      </c>
      <c r="T43" s="231" t="str">
        <f>IFERROR(SUMIFS('capacity data'!$L:$L,'capacity data'!$B:$B,P43,'capacity data'!$E:$E,"PSO")/SUMIFS('capacity data'!$G:$G,'capacity data'!$E:$E,"PSO",'capacity data'!$B:$B,P43),"")</f>
        <v/>
      </c>
      <c r="U43" s="231" t="str">
        <f>IFERROR(SUMIFS('capacity data'!$L:$L,'capacity data'!$B:$B,P43,'capacity data'!$E:$E,"TPO")/SUMIFS('capacity data'!$G:$G,'capacity data'!$E:$E,"TPO",'capacity data'!$B:$B,P43),"")</f>
        <v/>
      </c>
    </row>
    <row r="44" spans="6:21" ht="16" x14ac:dyDescent="0.2">
      <c r="F44"/>
      <c r="M44"/>
      <c r="O44" s="24" t="s">
        <v>27</v>
      </c>
      <c r="P44" t="s">
        <v>159</v>
      </c>
      <c r="Q44" s="230" t="str">
        <f>IFERROR(SUM((SUMIFS('capacity data'!$G:$G,'capacity data'!$E:$E,"PO",'capacity data'!$B:$B,P44))-SUMIFS('capacity data'!$H:$H,'capacity data'!$E:$E,"PO",'capacity data'!$B:$B,P44))/SUMIFS('capacity data'!$G:$G,'capacity data'!$E:$E,"PO",'capacity data'!$B:$B,P44),"")</f>
        <v/>
      </c>
      <c r="R44" s="230" t="str">
        <f>IFERROR(SUM((SUMIFS('capacity data'!$G:$G,'capacity data'!$E:$E,"PSO",'capacity data'!$B:$B,P44))-SUMIFS('capacity data'!$H:$H,'capacity data'!$E:$E,"PSO",'capacity data'!$B:$B,P44))/SUMIFS('capacity data'!$G:$G,'capacity data'!$E:$E,"PSO",'capacity data'!$B:$B,P44),"")</f>
        <v/>
      </c>
      <c r="S44" s="23" t="str">
        <f t="shared" si="0"/>
        <v/>
      </c>
      <c r="T44" s="231" t="str">
        <f>IFERROR(SUMIFS('capacity data'!$L:$L,'capacity data'!$B:$B,P44,'capacity data'!$E:$E,"PSO")/SUMIFS('capacity data'!$G:$G,'capacity data'!$E:$E,"PSO",'capacity data'!$B:$B,P44),"")</f>
        <v/>
      </c>
      <c r="U44" s="231" t="str">
        <f>IFERROR(SUMIFS('capacity data'!$L:$L,'capacity data'!$B:$B,P44,'capacity data'!$E:$E,"TPO")/SUMIFS('capacity data'!$G:$G,'capacity data'!$E:$E,"TPO",'capacity data'!$B:$B,P44),"")</f>
        <v/>
      </c>
    </row>
    <row r="45" spans="6:21" ht="16" x14ac:dyDescent="0.2">
      <c r="F45"/>
      <c r="M45"/>
      <c r="O45" s="24" t="s">
        <v>27</v>
      </c>
      <c r="P45" t="s">
        <v>183</v>
      </c>
      <c r="Q45" s="230" t="str">
        <f>IFERROR(SUM((SUMIFS('capacity data'!$G:$G,'capacity data'!$E:$E,"PO",'capacity data'!$B:$B,P45))-SUMIFS('capacity data'!$H:$H,'capacity data'!$E:$E,"PO",'capacity data'!$B:$B,P45))/SUMIFS('capacity data'!$G:$G,'capacity data'!$E:$E,"PO",'capacity data'!$B:$B,P45),"")</f>
        <v/>
      </c>
      <c r="R45" s="230" t="str">
        <f>IFERROR(SUM((SUMIFS('capacity data'!$G:$G,'capacity data'!$E:$E,"PSO",'capacity data'!$B:$B,P45))-SUMIFS('capacity data'!$H:$H,'capacity data'!$E:$E,"PSO",'capacity data'!$B:$B,P45))/SUMIFS('capacity data'!$G:$G,'capacity data'!$E:$E,"PSO",'capacity data'!$B:$B,P45),"")</f>
        <v/>
      </c>
      <c r="S45" s="23" t="str">
        <f t="shared" si="0"/>
        <v/>
      </c>
      <c r="T45" s="231" t="str">
        <f>IFERROR(SUMIFS('capacity data'!$L:$L,'capacity data'!$B:$B,P45,'capacity data'!$E:$E,"PSO")/SUMIFS('capacity data'!$G:$G,'capacity data'!$E:$E,"PSO",'capacity data'!$B:$B,P45),"")</f>
        <v/>
      </c>
      <c r="U45" s="231" t="str">
        <f>IFERROR(SUMIFS('capacity data'!$L:$L,'capacity data'!$B:$B,P45,'capacity data'!$E:$E,"TPO")/SUMIFS('capacity data'!$G:$G,'capacity data'!$E:$E,"TPO",'capacity data'!$B:$B,P45),"")</f>
        <v/>
      </c>
    </row>
    <row r="46" spans="6:21" ht="16" x14ac:dyDescent="0.2">
      <c r="F46"/>
      <c r="M46"/>
      <c r="O46" s="24" t="s">
        <v>27</v>
      </c>
      <c r="P46" t="s">
        <v>206</v>
      </c>
      <c r="Q46" s="230" t="str">
        <f>IFERROR(SUM((SUMIFS('capacity data'!$G:$G,'capacity data'!$E:$E,"PO",'capacity data'!$B:$B,P46))-SUMIFS('capacity data'!$H:$H,'capacity data'!$E:$E,"PO",'capacity data'!$B:$B,P46))/SUMIFS('capacity data'!$G:$G,'capacity data'!$E:$E,"PO",'capacity data'!$B:$B,P46),"")</f>
        <v/>
      </c>
      <c r="R46" s="230" t="str">
        <f>IFERROR(SUM((SUMIFS('capacity data'!$G:$G,'capacity data'!$E:$E,"PSO",'capacity data'!$B:$B,P46))-SUMIFS('capacity data'!$H:$H,'capacity data'!$E:$E,"PSO",'capacity data'!$B:$B,P46))/SUMIFS('capacity data'!$G:$G,'capacity data'!$E:$E,"PSO",'capacity data'!$B:$B,P46),"")</f>
        <v/>
      </c>
      <c r="S46" s="23" t="str">
        <f t="shared" si="0"/>
        <v/>
      </c>
      <c r="T46" s="231" t="str">
        <f>IFERROR(SUMIFS('capacity data'!$L:$L,'capacity data'!$B:$B,P46,'capacity data'!$E:$E,"PSO")/SUMIFS('capacity data'!$G:$G,'capacity data'!$E:$E,"PSO",'capacity data'!$B:$B,P46),"")</f>
        <v/>
      </c>
      <c r="U46" s="231" t="str">
        <f>IFERROR(SUMIFS('capacity data'!$L:$L,'capacity data'!$B:$B,P46,'capacity data'!$E:$E,"TPO")/SUMIFS('capacity data'!$G:$G,'capacity data'!$E:$E,"TPO",'capacity data'!$B:$B,P46),"")</f>
        <v/>
      </c>
    </row>
    <row r="47" spans="6:21" ht="16" x14ac:dyDescent="0.2">
      <c r="F47"/>
      <c r="M47"/>
      <c r="O47" s="24" t="s">
        <v>27</v>
      </c>
      <c r="P47" t="s">
        <v>228</v>
      </c>
      <c r="Q47" s="230" t="str">
        <f>IFERROR(SUM((SUMIFS('capacity data'!$G:$G,'capacity data'!$E:$E,"PO",'capacity data'!$B:$B,P47))-SUMIFS('capacity data'!$H:$H,'capacity data'!$E:$E,"PO",'capacity data'!$B:$B,P47))/SUMIFS('capacity data'!$G:$G,'capacity data'!$E:$E,"PO",'capacity data'!$B:$B,P47),"")</f>
        <v/>
      </c>
      <c r="R47" s="230" t="str">
        <f>IFERROR(SUM((SUMIFS('capacity data'!$G:$G,'capacity data'!$E:$E,"PSO",'capacity data'!$B:$B,P47))-SUMIFS('capacity data'!$H:$H,'capacity data'!$E:$E,"PSO",'capacity data'!$B:$B,P47))/SUMIFS('capacity data'!$G:$G,'capacity data'!$E:$E,"PSO",'capacity data'!$B:$B,P47),"")</f>
        <v/>
      </c>
      <c r="S47" s="23" t="str">
        <f t="shared" si="0"/>
        <v/>
      </c>
      <c r="T47" s="231" t="str">
        <f>IFERROR(SUMIFS('capacity data'!$L:$L,'capacity data'!$B:$B,P47,'capacity data'!$E:$E,"PSO")/SUMIFS('capacity data'!$G:$G,'capacity data'!$E:$E,"PSO",'capacity data'!$B:$B,P47),"")</f>
        <v/>
      </c>
      <c r="U47" s="231" t="str">
        <f>IFERROR(SUMIFS('capacity data'!$L:$L,'capacity data'!$B:$B,P47,'capacity data'!$E:$E,"TPO")/SUMIFS('capacity data'!$G:$G,'capacity data'!$E:$E,"TPO",'capacity data'!$B:$B,P47),"")</f>
        <v/>
      </c>
    </row>
    <row r="48" spans="6:21" ht="16" x14ac:dyDescent="0.2">
      <c r="F48"/>
      <c r="M48"/>
      <c r="O48" s="24" t="s">
        <v>27</v>
      </c>
      <c r="P48" t="s">
        <v>249</v>
      </c>
      <c r="Q48" s="230" t="str">
        <f>IFERROR(SUM((SUMIFS('capacity data'!$G:$G,'capacity data'!$E:$E,"PO",'capacity data'!$B:$B,P48))-SUMIFS('capacity data'!$H:$H,'capacity data'!$E:$E,"PO",'capacity data'!$B:$B,P48))/SUMIFS('capacity data'!$G:$G,'capacity data'!$E:$E,"PO",'capacity data'!$B:$B,P48),"")</f>
        <v/>
      </c>
      <c r="R48" s="230" t="str">
        <f>IFERROR(SUM((SUMIFS('capacity data'!$G:$G,'capacity data'!$E:$E,"PSO",'capacity data'!$B:$B,P48))-SUMIFS('capacity data'!$H:$H,'capacity data'!$E:$E,"PSO",'capacity data'!$B:$B,P48))/SUMIFS('capacity data'!$G:$G,'capacity data'!$E:$E,"PSO",'capacity data'!$B:$B,P48),"")</f>
        <v/>
      </c>
      <c r="S48" s="23" t="str">
        <f t="shared" si="0"/>
        <v/>
      </c>
      <c r="T48" s="231" t="str">
        <f>IFERROR(SUMIFS('capacity data'!$L:$L,'capacity data'!$B:$B,P48,'capacity data'!$E:$E,"PSO")/SUMIFS('capacity data'!$G:$G,'capacity data'!$E:$E,"PSO",'capacity data'!$B:$B,P48),"")</f>
        <v/>
      </c>
      <c r="U48" s="231" t="str">
        <f>IFERROR(SUMIFS('capacity data'!$L:$L,'capacity data'!$B:$B,P48,'capacity data'!$E:$E,"TPO")/SUMIFS('capacity data'!$G:$G,'capacity data'!$E:$E,"TPO",'capacity data'!$B:$B,P48),"")</f>
        <v/>
      </c>
    </row>
    <row r="49" spans="6:21" ht="16" x14ac:dyDescent="0.2">
      <c r="F49"/>
      <c r="M49"/>
      <c r="O49" s="24" t="s">
        <v>27</v>
      </c>
      <c r="P49" t="s">
        <v>269</v>
      </c>
      <c r="Q49" s="230" t="str">
        <f>IFERROR(SUM((SUMIFS('capacity data'!$G:$G,'capacity data'!$E:$E,"PO",'capacity data'!$B:$B,P49))-SUMIFS('capacity data'!$H:$H,'capacity data'!$E:$E,"PO",'capacity data'!$B:$B,P49))/SUMIFS('capacity data'!$G:$G,'capacity data'!$E:$E,"PO",'capacity data'!$B:$B,P49),"")</f>
        <v/>
      </c>
      <c r="R49" s="230" t="str">
        <f>IFERROR(SUM((SUMIFS('capacity data'!$G:$G,'capacity data'!$E:$E,"PSO",'capacity data'!$B:$B,P49))-SUMIFS('capacity data'!$H:$H,'capacity data'!$E:$E,"PSO",'capacity data'!$B:$B,P49))/SUMIFS('capacity data'!$G:$G,'capacity data'!$E:$E,"PSO",'capacity data'!$B:$B,P49),"")</f>
        <v/>
      </c>
      <c r="S49" s="23" t="str">
        <f t="shared" si="0"/>
        <v/>
      </c>
      <c r="T49" s="231" t="str">
        <f>IFERROR(SUMIFS('capacity data'!$L:$L,'capacity data'!$B:$B,P49,'capacity data'!$E:$E,"PSO")/SUMIFS('capacity data'!$G:$G,'capacity data'!$E:$E,"PSO",'capacity data'!$B:$B,P49),"")</f>
        <v/>
      </c>
      <c r="U49" s="231" t="str">
        <f>IFERROR(SUMIFS('capacity data'!$L:$L,'capacity data'!$B:$B,P49,'capacity data'!$E:$E,"TPO")/SUMIFS('capacity data'!$G:$G,'capacity data'!$E:$E,"TPO",'capacity data'!$B:$B,P49),"")</f>
        <v/>
      </c>
    </row>
    <row r="50" spans="6:21" ht="16" x14ac:dyDescent="0.2">
      <c r="F50"/>
      <c r="M50"/>
      <c r="O50" s="24" t="s">
        <v>27</v>
      </c>
      <c r="P50" t="s">
        <v>289</v>
      </c>
      <c r="Q50" s="230" t="str">
        <f>IFERROR(SUM((SUMIFS('capacity data'!$G:$G,'capacity data'!$E:$E,"PO",'capacity data'!$B:$B,P50))-SUMIFS('capacity data'!$H:$H,'capacity data'!$E:$E,"PO",'capacity data'!$B:$B,P50))/SUMIFS('capacity data'!$G:$G,'capacity data'!$E:$E,"PO",'capacity data'!$B:$B,P50),"")</f>
        <v/>
      </c>
      <c r="R50" s="230" t="str">
        <f>IFERROR(SUM((SUMIFS('capacity data'!$G:$G,'capacity data'!$E:$E,"PSO",'capacity data'!$B:$B,P50))-SUMIFS('capacity data'!$H:$H,'capacity data'!$E:$E,"PSO",'capacity data'!$B:$B,P50))/SUMIFS('capacity data'!$G:$G,'capacity data'!$E:$E,"PSO",'capacity data'!$B:$B,P50),"")</f>
        <v/>
      </c>
      <c r="S50" s="23" t="str">
        <f t="shared" si="0"/>
        <v/>
      </c>
      <c r="T50" s="231" t="str">
        <f>IFERROR(SUMIFS('capacity data'!$L:$L,'capacity data'!$B:$B,P50,'capacity data'!$E:$E,"PSO")/SUMIFS('capacity data'!$G:$G,'capacity data'!$E:$E,"PSO",'capacity data'!$B:$B,P50),"")</f>
        <v/>
      </c>
      <c r="U50" s="231" t="str">
        <f>IFERROR(SUMIFS('capacity data'!$L:$L,'capacity data'!$B:$B,P50,'capacity data'!$E:$E,"TPO")/SUMIFS('capacity data'!$G:$G,'capacity data'!$E:$E,"TPO",'capacity data'!$B:$B,P50),"")</f>
        <v/>
      </c>
    </row>
    <row r="51" spans="6:21" ht="16" x14ac:dyDescent="0.2">
      <c r="F51"/>
      <c r="M51"/>
      <c r="O51" s="24" t="s">
        <v>27</v>
      </c>
      <c r="P51" t="s">
        <v>305</v>
      </c>
      <c r="Q51" s="230" t="str">
        <f>IFERROR(SUM((SUMIFS('capacity data'!$G:$G,'capacity data'!$E:$E,"PO",'capacity data'!$B:$B,P51))-SUMIFS('capacity data'!$H:$H,'capacity data'!$E:$E,"PO",'capacity data'!$B:$B,P51))/SUMIFS('capacity data'!$G:$G,'capacity data'!$E:$E,"PO",'capacity data'!$B:$B,P51),"")</f>
        <v/>
      </c>
      <c r="R51" s="230" t="str">
        <f>IFERROR(SUM((SUMIFS('capacity data'!$G:$G,'capacity data'!$E:$E,"PSO",'capacity data'!$B:$B,P51))-SUMIFS('capacity data'!$H:$H,'capacity data'!$E:$E,"PSO",'capacity data'!$B:$B,P51))/SUMIFS('capacity data'!$G:$G,'capacity data'!$E:$E,"PSO",'capacity data'!$B:$B,P51),"")</f>
        <v/>
      </c>
      <c r="S51" s="23" t="str">
        <f t="shared" si="0"/>
        <v/>
      </c>
      <c r="T51" s="231" t="str">
        <f>IFERROR(SUMIFS('capacity data'!$L:$L,'capacity data'!$B:$B,P51,'capacity data'!$E:$E,"PSO")/SUMIFS('capacity data'!$G:$G,'capacity data'!$E:$E,"PSO",'capacity data'!$B:$B,P51),"")</f>
        <v/>
      </c>
      <c r="U51" s="231" t="str">
        <f>IFERROR(SUMIFS('capacity data'!$L:$L,'capacity data'!$B:$B,P51,'capacity data'!$E:$E,"TPO")/SUMIFS('capacity data'!$G:$G,'capacity data'!$E:$E,"TPO",'capacity data'!$B:$B,P51),"")</f>
        <v/>
      </c>
    </row>
    <row r="52" spans="6:21" ht="16" x14ac:dyDescent="0.2">
      <c r="F52"/>
      <c r="M52"/>
      <c r="O52" s="24" t="s">
        <v>27</v>
      </c>
      <c r="P52" t="s">
        <v>321</v>
      </c>
      <c r="Q52" s="230" t="str">
        <f>IFERROR(SUM((SUMIFS('capacity data'!$G:$G,'capacity data'!$E:$E,"PO",'capacity data'!$B:$B,P52))-SUMIFS('capacity data'!$H:$H,'capacity data'!$E:$E,"PO",'capacity data'!$B:$B,P52))/SUMIFS('capacity data'!$G:$G,'capacity data'!$E:$E,"PO",'capacity data'!$B:$B,P52),"")</f>
        <v/>
      </c>
      <c r="R52" s="230" t="str">
        <f>IFERROR(SUM((SUMIFS('capacity data'!$G:$G,'capacity data'!$E:$E,"PSO",'capacity data'!$B:$B,P52))-SUMIFS('capacity data'!$H:$H,'capacity data'!$E:$E,"PSO",'capacity data'!$B:$B,P52))/SUMIFS('capacity data'!$G:$G,'capacity data'!$E:$E,"PSO",'capacity data'!$B:$B,P52),"")</f>
        <v/>
      </c>
      <c r="S52" s="23" t="str">
        <f t="shared" si="0"/>
        <v/>
      </c>
      <c r="T52" s="231" t="str">
        <f>IFERROR(SUMIFS('capacity data'!$L:$L,'capacity data'!$B:$B,P52,'capacity data'!$E:$E,"PSO")/SUMIFS('capacity data'!$G:$G,'capacity data'!$E:$E,"PSO",'capacity data'!$B:$B,P52),"")</f>
        <v/>
      </c>
      <c r="U52" s="231" t="str">
        <f>IFERROR(SUMIFS('capacity data'!$L:$L,'capacity data'!$B:$B,P52,'capacity data'!$E:$E,"TPO")/SUMIFS('capacity data'!$G:$G,'capacity data'!$E:$E,"TPO",'capacity data'!$B:$B,P52),"")</f>
        <v/>
      </c>
    </row>
    <row r="53" spans="6:21" ht="16" x14ac:dyDescent="0.2">
      <c r="F53"/>
      <c r="M53"/>
      <c r="O53" s="24" t="s">
        <v>27</v>
      </c>
      <c r="P53" t="s">
        <v>337</v>
      </c>
      <c r="Q53" s="230" t="str">
        <f>IFERROR(SUM((SUMIFS('capacity data'!$G:$G,'capacity data'!$E:$E,"PO",'capacity data'!$B:$B,P53))-SUMIFS('capacity data'!$H:$H,'capacity data'!$E:$E,"PO",'capacity data'!$B:$B,P53))/SUMIFS('capacity data'!$G:$G,'capacity data'!$E:$E,"PO",'capacity data'!$B:$B,P53),"")</f>
        <v/>
      </c>
      <c r="R53" s="230" t="str">
        <f>IFERROR(SUM((SUMIFS('capacity data'!$G:$G,'capacity data'!$E:$E,"PSO",'capacity data'!$B:$B,P53))-SUMIFS('capacity data'!$H:$H,'capacity data'!$E:$E,"PSO",'capacity data'!$B:$B,P53))/SUMIFS('capacity data'!$G:$G,'capacity data'!$E:$E,"PSO",'capacity data'!$B:$B,P53),"")</f>
        <v/>
      </c>
      <c r="S53" s="23" t="str">
        <f t="shared" si="0"/>
        <v/>
      </c>
      <c r="T53" s="231" t="str">
        <f>IFERROR(SUMIFS('capacity data'!$L:$L,'capacity data'!$B:$B,P53,'capacity data'!$E:$E,"PSO")/SUMIFS('capacity data'!$G:$G,'capacity data'!$E:$E,"PSO",'capacity data'!$B:$B,P53),"")</f>
        <v/>
      </c>
      <c r="U53" s="231" t="str">
        <f>IFERROR(SUMIFS('capacity data'!$L:$L,'capacity data'!$B:$B,P53,'capacity data'!$E:$E,"TPO")/SUMIFS('capacity data'!$G:$G,'capacity data'!$E:$E,"TPO",'capacity data'!$B:$B,P53),"")</f>
        <v/>
      </c>
    </row>
    <row r="54" spans="6:21" ht="16" x14ac:dyDescent="0.2">
      <c r="F54"/>
      <c r="M54"/>
      <c r="O54" s="24" t="s">
        <v>27</v>
      </c>
      <c r="P54" t="s">
        <v>352</v>
      </c>
      <c r="Q54" s="230" t="str">
        <f>IFERROR(SUM((SUMIFS('capacity data'!$G:$G,'capacity data'!$E:$E,"PO",'capacity data'!$B:$B,P54))-SUMIFS('capacity data'!$H:$H,'capacity data'!$E:$E,"PO",'capacity data'!$B:$B,P54))/SUMIFS('capacity data'!$G:$G,'capacity data'!$E:$E,"PO",'capacity data'!$B:$B,P54),"")</f>
        <v/>
      </c>
      <c r="R54" s="230" t="str">
        <f>IFERROR(SUM((SUMIFS('capacity data'!$G:$G,'capacity data'!$E:$E,"PSO",'capacity data'!$B:$B,P54))-SUMIFS('capacity data'!$H:$H,'capacity data'!$E:$E,"PSO",'capacity data'!$B:$B,P54))/SUMIFS('capacity data'!$G:$G,'capacity data'!$E:$E,"PSO",'capacity data'!$B:$B,P54),"")</f>
        <v/>
      </c>
      <c r="S54" s="23" t="str">
        <f t="shared" si="0"/>
        <v/>
      </c>
      <c r="T54" s="231" t="str">
        <f>IFERROR(SUMIFS('capacity data'!$L:$L,'capacity data'!$B:$B,P54,'capacity data'!$E:$E,"PSO")/SUMIFS('capacity data'!$G:$G,'capacity data'!$E:$E,"PSO",'capacity data'!$B:$B,P54),"")</f>
        <v/>
      </c>
      <c r="U54" s="231" t="str">
        <f>IFERROR(SUMIFS('capacity data'!$L:$L,'capacity data'!$B:$B,P54,'capacity data'!$E:$E,"TPO")/SUMIFS('capacity data'!$G:$G,'capacity data'!$E:$E,"TPO",'capacity data'!$B:$B,P54),"")</f>
        <v/>
      </c>
    </row>
    <row r="55" spans="6:21" ht="16" x14ac:dyDescent="0.2">
      <c r="F55"/>
      <c r="M55"/>
      <c r="O55" s="24" t="s">
        <v>27</v>
      </c>
      <c r="P55" t="s">
        <v>367</v>
      </c>
      <c r="Q55" s="230" t="str">
        <f>IFERROR(SUM((SUMIFS('capacity data'!$G:$G,'capacity data'!$E:$E,"PO",'capacity data'!$B:$B,P55))-SUMIFS('capacity data'!$H:$H,'capacity data'!$E:$E,"PO",'capacity data'!$B:$B,P55))/SUMIFS('capacity data'!$G:$G,'capacity data'!$E:$E,"PO",'capacity data'!$B:$B,P55),"")</f>
        <v/>
      </c>
      <c r="R55" s="230" t="str">
        <f>IFERROR(SUM((SUMIFS('capacity data'!$G:$G,'capacity data'!$E:$E,"PSO",'capacity data'!$B:$B,P55))-SUMIFS('capacity data'!$H:$H,'capacity data'!$E:$E,"PSO",'capacity data'!$B:$B,P55))/SUMIFS('capacity data'!$G:$G,'capacity data'!$E:$E,"PSO",'capacity data'!$B:$B,P55),"")</f>
        <v/>
      </c>
      <c r="S55" s="23" t="str">
        <f t="shared" si="0"/>
        <v/>
      </c>
      <c r="T55" s="231" t="str">
        <f>IFERROR(SUMIFS('capacity data'!$L:$L,'capacity data'!$B:$B,P55,'capacity data'!$E:$E,"PSO")/SUMIFS('capacity data'!$G:$G,'capacity data'!$E:$E,"PSO",'capacity data'!$B:$B,P55),"")</f>
        <v/>
      </c>
      <c r="U55" s="231" t="str">
        <f>IFERROR(SUMIFS('capacity data'!$L:$L,'capacity data'!$B:$B,P55,'capacity data'!$E:$E,"TPO")/SUMIFS('capacity data'!$G:$G,'capacity data'!$E:$E,"TPO",'capacity data'!$B:$B,P55),"")</f>
        <v/>
      </c>
    </row>
    <row r="56" spans="6:21" ht="16" x14ac:dyDescent="0.2">
      <c r="F56"/>
      <c r="M56"/>
      <c r="O56" s="24" t="s">
        <v>27</v>
      </c>
      <c r="P56" t="s">
        <v>382</v>
      </c>
      <c r="Q56" s="230" t="str">
        <f>IFERROR(SUM((SUMIFS('capacity data'!$G:$G,'capacity data'!$E:$E,"PO",'capacity data'!$B:$B,P56))-SUMIFS('capacity data'!$H:$H,'capacity data'!$E:$E,"PO",'capacity data'!$B:$B,P56))/SUMIFS('capacity data'!$G:$G,'capacity data'!$E:$E,"PO",'capacity data'!$B:$B,P56),"")</f>
        <v/>
      </c>
      <c r="R56" s="230" t="str">
        <f>IFERROR(SUM((SUMIFS('capacity data'!$G:$G,'capacity data'!$E:$E,"PSO",'capacity data'!$B:$B,P56))-SUMIFS('capacity data'!$H:$H,'capacity data'!$E:$E,"PSO",'capacity data'!$B:$B,P56))/SUMIFS('capacity data'!$G:$G,'capacity data'!$E:$E,"PSO",'capacity data'!$B:$B,P56),"")</f>
        <v/>
      </c>
      <c r="S56" s="23" t="str">
        <f t="shared" si="0"/>
        <v/>
      </c>
      <c r="T56" s="231" t="str">
        <f>IFERROR(SUMIFS('capacity data'!$L:$L,'capacity data'!$B:$B,P56,'capacity data'!$E:$E,"PSO")/SUMIFS('capacity data'!$G:$G,'capacity data'!$E:$E,"PSO",'capacity data'!$B:$B,P56),"")</f>
        <v/>
      </c>
      <c r="U56" s="231" t="str">
        <f>IFERROR(SUMIFS('capacity data'!$L:$L,'capacity data'!$B:$B,P56,'capacity data'!$E:$E,"TPO")/SUMIFS('capacity data'!$G:$G,'capacity data'!$E:$E,"TPO",'capacity data'!$B:$B,P56),"")</f>
        <v/>
      </c>
    </row>
    <row r="57" spans="6:21" ht="16" x14ac:dyDescent="0.2">
      <c r="F57"/>
      <c r="M57"/>
      <c r="O57" s="24" t="s">
        <v>27</v>
      </c>
      <c r="P57" t="s">
        <v>396</v>
      </c>
      <c r="Q57" s="230" t="str">
        <f>IFERROR(SUM((SUMIFS('capacity data'!$G:$G,'capacity data'!$E:$E,"PO",'capacity data'!$B:$B,P57))-SUMIFS('capacity data'!$H:$H,'capacity data'!$E:$E,"PO",'capacity data'!$B:$B,P57))/SUMIFS('capacity data'!$G:$G,'capacity data'!$E:$E,"PO",'capacity data'!$B:$B,P57),"")</f>
        <v/>
      </c>
      <c r="R57" s="230" t="str">
        <f>IFERROR(SUM((SUMIFS('capacity data'!$G:$G,'capacity data'!$E:$E,"PSO",'capacity data'!$B:$B,P57))-SUMIFS('capacity data'!$H:$H,'capacity data'!$E:$E,"PSO",'capacity data'!$B:$B,P57))/SUMIFS('capacity data'!$G:$G,'capacity data'!$E:$E,"PSO",'capacity data'!$B:$B,P57),"")</f>
        <v/>
      </c>
      <c r="S57" s="23" t="str">
        <f t="shared" si="0"/>
        <v/>
      </c>
      <c r="T57" s="231" t="str">
        <f>IFERROR(SUMIFS('capacity data'!$L:$L,'capacity data'!$B:$B,P57,'capacity data'!$E:$E,"PSO")/SUMIFS('capacity data'!$G:$G,'capacity data'!$E:$E,"PSO",'capacity data'!$B:$B,P57),"")</f>
        <v/>
      </c>
      <c r="U57" s="231" t="str">
        <f>IFERROR(SUMIFS('capacity data'!$L:$L,'capacity data'!$B:$B,P57,'capacity data'!$E:$E,"TPO")/SUMIFS('capacity data'!$G:$G,'capacity data'!$E:$E,"TPO",'capacity data'!$B:$B,P57),"")</f>
        <v/>
      </c>
    </row>
    <row r="58" spans="6:21" ht="16" x14ac:dyDescent="0.2">
      <c r="F58"/>
      <c r="M58"/>
      <c r="O58" s="24" t="s">
        <v>27</v>
      </c>
      <c r="P58" t="s">
        <v>410</v>
      </c>
      <c r="Q58" s="230" t="str">
        <f>IFERROR(SUM((SUMIFS('capacity data'!$G:$G,'capacity data'!$E:$E,"PO",'capacity data'!$B:$B,P58))-SUMIFS('capacity data'!$H:$H,'capacity data'!$E:$E,"PO",'capacity data'!$B:$B,P58))/SUMIFS('capacity data'!$G:$G,'capacity data'!$E:$E,"PO",'capacity data'!$B:$B,P58),"")</f>
        <v/>
      </c>
      <c r="R58" s="230" t="str">
        <f>IFERROR(SUM((SUMIFS('capacity data'!$G:$G,'capacity data'!$E:$E,"PSO",'capacity data'!$B:$B,P58))-SUMIFS('capacity data'!$H:$H,'capacity data'!$E:$E,"PSO",'capacity data'!$B:$B,P58))/SUMIFS('capacity data'!$G:$G,'capacity data'!$E:$E,"PSO",'capacity data'!$B:$B,P58),"")</f>
        <v/>
      </c>
      <c r="S58" s="23" t="str">
        <f t="shared" si="0"/>
        <v/>
      </c>
      <c r="T58" s="231" t="str">
        <f>IFERROR(SUMIFS('capacity data'!$L:$L,'capacity data'!$B:$B,P58,'capacity data'!$E:$E,"PSO")/SUMIFS('capacity data'!$G:$G,'capacity data'!$E:$E,"PSO",'capacity data'!$B:$B,P58),"")</f>
        <v/>
      </c>
      <c r="U58" s="231" t="str">
        <f>IFERROR(SUMIFS('capacity data'!$L:$L,'capacity data'!$B:$B,P58,'capacity data'!$E:$E,"TPO")/SUMIFS('capacity data'!$G:$G,'capacity data'!$E:$E,"TPO",'capacity data'!$B:$B,P58),"")</f>
        <v/>
      </c>
    </row>
    <row r="59" spans="6:21" ht="16" x14ac:dyDescent="0.2">
      <c r="F59"/>
      <c r="M59"/>
      <c r="O59" s="24" t="s">
        <v>27</v>
      </c>
      <c r="P59" t="s">
        <v>423</v>
      </c>
      <c r="Q59" s="230" t="str">
        <f>IFERROR(SUM((SUMIFS('capacity data'!$G:$G,'capacity data'!$E:$E,"PO",'capacity data'!$B:$B,P59))-SUMIFS('capacity data'!$H:$H,'capacity data'!$E:$E,"PO",'capacity data'!$B:$B,P59))/SUMIFS('capacity data'!$G:$G,'capacity data'!$E:$E,"PO",'capacity data'!$B:$B,P59),"")</f>
        <v/>
      </c>
      <c r="R59" s="230" t="str">
        <f>IFERROR(SUM((SUMIFS('capacity data'!$G:$G,'capacity data'!$E:$E,"PSO",'capacity data'!$B:$B,P59))-SUMIFS('capacity data'!$H:$H,'capacity data'!$E:$E,"PSO",'capacity data'!$B:$B,P59))/SUMIFS('capacity data'!$G:$G,'capacity data'!$E:$E,"PSO",'capacity data'!$B:$B,P59),"")</f>
        <v/>
      </c>
      <c r="S59" s="23" t="str">
        <f t="shared" si="0"/>
        <v/>
      </c>
      <c r="T59" s="231" t="str">
        <f>IFERROR(SUMIFS('capacity data'!$L:$L,'capacity data'!$B:$B,P59,'capacity data'!$E:$E,"PSO")/SUMIFS('capacity data'!$G:$G,'capacity data'!$E:$E,"PSO",'capacity data'!$B:$B,P59),"")</f>
        <v/>
      </c>
      <c r="U59" s="231" t="str">
        <f>IFERROR(SUMIFS('capacity data'!$L:$L,'capacity data'!$B:$B,P59,'capacity data'!$E:$E,"TPO")/SUMIFS('capacity data'!$G:$G,'capacity data'!$E:$E,"TPO",'capacity data'!$B:$B,P59),"")</f>
        <v/>
      </c>
    </row>
    <row r="60" spans="6:21" ht="16" x14ac:dyDescent="0.2">
      <c r="F60"/>
      <c r="M60"/>
      <c r="O60" s="24" t="s">
        <v>27</v>
      </c>
      <c r="P60" t="s">
        <v>436</v>
      </c>
      <c r="Q60" s="230" t="str">
        <f>IFERROR(SUM((SUMIFS('capacity data'!$G:$G,'capacity data'!$E:$E,"PO",'capacity data'!$B:$B,P60))-SUMIFS('capacity data'!$H:$H,'capacity data'!$E:$E,"PO",'capacity data'!$B:$B,P60))/SUMIFS('capacity data'!$G:$G,'capacity data'!$E:$E,"PO",'capacity data'!$B:$B,P60),"")</f>
        <v/>
      </c>
      <c r="R60" s="230" t="str">
        <f>IFERROR(SUM((SUMIFS('capacity data'!$G:$G,'capacity data'!$E:$E,"PSO",'capacity data'!$B:$B,P60))-SUMIFS('capacity data'!$H:$H,'capacity data'!$E:$E,"PSO",'capacity data'!$B:$B,P60))/SUMIFS('capacity data'!$G:$G,'capacity data'!$E:$E,"PSO",'capacity data'!$B:$B,P60),"")</f>
        <v/>
      </c>
      <c r="S60" s="23" t="str">
        <f t="shared" si="0"/>
        <v/>
      </c>
      <c r="T60" s="231" t="str">
        <f>IFERROR(SUMIFS('capacity data'!$L:$L,'capacity data'!$B:$B,P60,'capacity data'!$E:$E,"PSO")/SUMIFS('capacity data'!$G:$G,'capacity data'!$E:$E,"PSO",'capacity data'!$B:$B,P60),"")</f>
        <v/>
      </c>
      <c r="U60" s="231" t="str">
        <f>IFERROR(SUMIFS('capacity data'!$L:$L,'capacity data'!$B:$B,P60,'capacity data'!$E:$E,"TPO")/SUMIFS('capacity data'!$G:$G,'capacity data'!$E:$E,"TPO",'capacity data'!$B:$B,P60),"")</f>
        <v/>
      </c>
    </row>
    <row r="61" spans="6:21" ht="16" x14ac:dyDescent="0.2">
      <c r="F61"/>
      <c r="M61"/>
      <c r="O61" s="24" t="s">
        <v>27</v>
      </c>
      <c r="P61" t="s">
        <v>448</v>
      </c>
      <c r="Q61" s="230" t="str">
        <f>IFERROR(SUM((SUMIFS('capacity data'!$G:$G,'capacity data'!$E:$E,"PO",'capacity data'!$B:$B,P61))-SUMIFS('capacity data'!$H:$H,'capacity data'!$E:$E,"PO",'capacity data'!$B:$B,P61))/SUMIFS('capacity data'!$G:$G,'capacity data'!$E:$E,"PO",'capacity data'!$B:$B,P61),"")</f>
        <v/>
      </c>
      <c r="R61" s="230" t="str">
        <f>IFERROR(SUM((SUMIFS('capacity data'!$G:$G,'capacity data'!$E:$E,"PSO",'capacity data'!$B:$B,P61))-SUMIFS('capacity data'!$H:$H,'capacity data'!$E:$E,"PSO",'capacity data'!$B:$B,P61))/SUMIFS('capacity data'!$G:$G,'capacity data'!$E:$E,"PSO",'capacity data'!$B:$B,P61),"")</f>
        <v/>
      </c>
      <c r="S61" s="23" t="str">
        <f t="shared" si="0"/>
        <v/>
      </c>
      <c r="T61" s="231" t="str">
        <f>IFERROR(SUMIFS('capacity data'!$L:$L,'capacity data'!$B:$B,P61,'capacity data'!$E:$E,"PSO")/SUMIFS('capacity data'!$G:$G,'capacity data'!$E:$E,"PSO",'capacity data'!$B:$B,P61),"")</f>
        <v/>
      </c>
      <c r="U61" s="231" t="str">
        <f>IFERROR(SUMIFS('capacity data'!$L:$L,'capacity data'!$B:$B,P61,'capacity data'!$E:$E,"TPO")/SUMIFS('capacity data'!$G:$G,'capacity data'!$E:$E,"TPO",'capacity data'!$B:$B,P61),"")</f>
        <v/>
      </c>
    </row>
    <row r="62" spans="6:21" ht="16" x14ac:dyDescent="0.2">
      <c r="F62"/>
      <c r="M62"/>
      <c r="O62" s="24" t="s">
        <v>27</v>
      </c>
      <c r="P62" t="s">
        <v>461</v>
      </c>
      <c r="Q62" s="230" t="str">
        <f>IFERROR(SUM((SUMIFS('capacity data'!$G:$G,'capacity data'!$E:$E,"PO",'capacity data'!$B:$B,P62))-SUMIFS('capacity data'!$H:$H,'capacity data'!$E:$E,"PO",'capacity data'!$B:$B,P62))/SUMIFS('capacity data'!$G:$G,'capacity data'!$E:$E,"PO",'capacity data'!$B:$B,P62),"")</f>
        <v/>
      </c>
      <c r="R62" s="230" t="str">
        <f>IFERROR(SUM((SUMIFS('capacity data'!$G:$G,'capacity data'!$E:$E,"PSO",'capacity data'!$B:$B,P62))-SUMIFS('capacity data'!$H:$H,'capacity data'!$E:$E,"PSO",'capacity data'!$B:$B,P62))/SUMIFS('capacity data'!$G:$G,'capacity data'!$E:$E,"PSO",'capacity data'!$B:$B,P62),"")</f>
        <v/>
      </c>
      <c r="S62" s="23" t="str">
        <f t="shared" si="0"/>
        <v/>
      </c>
      <c r="T62" s="231" t="str">
        <f>IFERROR(SUMIFS('capacity data'!$L:$L,'capacity data'!$B:$B,P62,'capacity data'!$E:$E,"PSO")/SUMIFS('capacity data'!$G:$G,'capacity data'!$E:$E,"PSO",'capacity data'!$B:$B,P62),"")</f>
        <v/>
      </c>
      <c r="U62" s="231" t="str">
        <f>IFERROR(SUMIFS('capacity data'!$L:$L,'capacity data'!$B:$B,P62,'capacity data'!$E:$E,"TPO")/SUMIFS('capacity data'!$G:$G,'capacity data'!$E:$E,"TPO",'capacity data'!$B:$B,P62),"")</f>
        <v/>
      </c>
    </row>
    <row r="63" spans="6:21" ht="16" x14ac:dyDescent="0.2">
      <c r="F63"/>
      <c r="M63"/>
      <c r="O63" s="24" t="s">
        <v>28</v>
      </c>
      <c r="P63" t="s">
        <v>40</v>
      </c>
      <c r="Q63" s="230" t="str">
        <f>IFERROR(SUM((SUMIFS('capacity data'!$G:$G,'capacity data'!$E:$E,"PO",'capacity data'!$B:$B,P63))-SUMIFS('capacity data'!$H:$H,'capacity data'!$E:$E,"PO",'capacity data'!$B:$B,P63))/SUMIFS('capacity data'!$G:$G,'capacity data'!$E:$E,"PO",'capacity data'!$B:$B,P63),"")</f>
        <v/>
      </c>
      <c r="R63" s="230" t="str">
        <f>IFERROR(SUM((SUMIFS('capacity data'!$G:$G,'capacity data'!$E:$E,"PSO",'capacity data'!$B:$B,P63))-SUMIFS('capacity data'!$H:$H,'capacity data'!$E:$E,"PSO",'capacity data'!$B:$B,P63))/SUMIFS('capacity data'!$G:$G,'capacity data'!$E:$E,"PSO",'capacity data'!$B:$B,P63),"")</f>
        <v/>
      </c>
      <c r="S63" s="23" t="str">
        <f t="shared" si="0"/>
        <v/>
      </c>
      <c r="T63" s="231" t="str">
        <f>IFERROR(SUMIFS('capacity data'!$L:$L,'capacity data'!$B:$B,P63,'capacity data'!$E:$E,"PSO")/SUMIFS('capacity data'!$G:$G,'capacity data'!$E:$E,"PSO",'capacity data'!$B:$B,P63),"")</f>
        <v/>
      </c>
      <c r="U63" s="231" t="str">
        <f>IFERROR(SUMIFS('capacity data'!$L:$L,'capacity data'!$B:$B,P63,'capacity data'!$E:$E,"TPO")/SUMIFS('capacity data'!$G:$G,'capacity data'!$E:$E,"TPO",'capacity data'!$B:$B,P63),"")</f>
        <v/>
      </c>
    </row>
    <row r="64" spans="6:21" ht="16" x14ac:dyDescent="0.2">
      <c r="F64"/>
      <c r="M64"/>
      <c r="O64" s="24" t="s">
        <v>28</v>
      </c>
      <c r="P64" t="s">
        <v>64</v>
      </c>
      <c r="Q64" s="230" t="str">
        <f>IFERROR(SUM((SUMIFS('capacity data'!$G:$G,'capacity data'!$E:$E,"PO",'capacity data'!$B:$B,P64))-SUMIFS('capacity data'!$H:$H,'capacity data'!$E:$E,"PO",'capacity data'!$B:$B,P64))/SUMIFS('capacity data'!$G:$G,'capacity data'!$E:$E,"PO",'capacity data'!$B:$B,P64),"")</f>
        <v/>
      </c>
      <c r="R64" s="230" t="str">
        <f>IFERROR(SUM((SUMIFS('capacity data'!$G:$G,'capacity data'!$E:$E,"PSO",'capacity data'!$B:$B,P64))-SUMIFS('capacity data'!$H:$H,'capacity data'!$E:$E,"PSO",'capacity data'!$B:$B,P64))/SUMIFS('capacity data'!$G:$G,'capacity data'!$E:$E,"PSO",'capacity data'!$B:$B,P64),"")</f>
        <v/>
      </c>
      <c r="S64" s="23" t="str">
        <f t="shared" si="0"/>
        <v/>
      </c>
      <c r="T64" s="231" t="str">
        <f>IFERROR(SUMIFS('capacity data'!$L:$L,'capacity data'!$B:$B,P64,'capacity data'!$E:$E,"PSO")/SUMIFS('capacity data'!$G:$G,'capacity data'!$E:$E,"PSO",'capacity data'!$B:$B,P64),"")</f>
        <v/>
      </c>
      <c r="U64" s="231" t="str">
        <f>IFERROR(SUMIFS('capacity data'!$L:$L,'capacity data'!$B:$B,P64,'capacity data'!$E:$E,"TPO")/SUMIFS('capacity data'!$G:$G,'capacity data'!$E:$E,"TPO",'capacity data'!$B:$B,P64),"")</f>
        <v/>
      </c>
    </row>
    <row r="65" spans="6:21" ht="16" x14ac:dyDescent="0.2">
      <c r="F65"/>
      <c r="M65"/>
      <c r="O65" s="24" t="s">
        <v>28</v>
      </c>
      <c r="P65" t="s">
        <v>88</v>
      </c>
      <c r="Q65" s="230" t="str">
        <f>IFERROR(SUM((SUMIFS('capacity data'!$G:$G,'capacity data'!$E:$E,"PO",'capacity data'!$B:$B,P65))-SUMIFS('capacity data'!$H:$H,'capacity data'!$E:$E,"PO",'capacity data'!$B:$B,P65))/SUMIFS('capacity data'!$G:$G,'capacity data'!$E:$E,"PO",'capacity data'!$B:$B,P65),"")</f>
        <v/>
      </c>
      <c r="R65" s="230" t="str">
        <f>IFERROR(SUM((SUMIFS('capacity data'!$G:$G,'capacity data'!$E:$E,"PSO",'capacity data'!$B:$B,P65))-SUMIFS('capacity data'!$H:$H,'capacity data'!$E:$E,"PSO",'capacity data'!$B:$B,P65))/SUMIFS('capacity data'!$G:$G,'capacity data'!$E:$E,"PSO",'capacity data'!$B:$B,P65),"")</f>
        <v/>
      </c>
      <c r="S65" s="23" t="str">
        <f t="shared" si="0"/>
        <v/>
      </c>
      <c r="T65" s="231" t="str">
        <f>IFERROR(SUMIFS('capacity data'!$L:$L,'capacity data'!$B:$B,P65,'capacity data'!$E:$E,"PSO")/SUMIFS('capacity data'!$G:$G,'capacity data'!$E:$E,"PSO",'capacity data'!$B:$B,P65),"")</f>
        <v/>
      </c>
      <c r="U65" s="231" t="str">
        <f>IFERROR(SUMIFS('capacity data'!$L:$L,'capacity data'!$B:$B,P65,'capacity data'!$E:$E,"TPO")/SUMIFS('capacity data'!$G:$G,'capacity data'!$E:$E,"TPO",'capacity data'!$B:$B,P65),"")</f>
        <v/>
      </c>
    </row>
    <row r="66" spans="6:21" ht="16" x14ac:dyDescent="0.2">
      <c r="F66"/>
      <c r="M66"/>
      <c r="O66" s="24" t="s">
        <v>28</v>
      </c>
      <c r="P66" t="s">
        <v>112</v>
      </c>
      <c r="Q66" s="230" t="str">
        <f>IFERROR(SUM((SUMIFS('capacity data'!$G:$G,'capacity data'!$E:$E,"PO",'capacity data'!$B:$B,P66))-SUMIFS('capacity data'!$H:$H,'capacity data'!$E:$E,"PO",'capacity data'!$B:$B,P66))/SUMIFS('capacity data'!$G:$G,'capacity data'!$E:$E,"PO",'capacity data'!$B:$B,P66),"")</f>
        <v/>
      </c>
      <c r="R66" s="230" t="str">
        <f>IFERROR(SUM((SUMIFS('capacity data'!$G:$G,'capacity data'!$E:$E,"PSO",'capacity data'!$B:$B,P66))-SUMIFS('capacity data'!$H:$H,'capacity data'!$E:$E,"PSO",'capacity data'!$B:$B,P66))/SUMIFS('capacity data'!$G:$G,'capacity data'!$E:$E,"PSO",'capacity data'!$B:$B,P66),"")</f>
        <v/>
      </c>
      <c r="S66" s="23" t="str">
        <f t="shared" si="0"/>
        <v/>
      </c>
      <c r="T66" s="231" t="str">
        <f>IFERROR(SUMIFS('capacity data'!$L:$L,'capacity data'!$B:$B,P66,'capacity data'!$E:$E,"PSO")/SUMIFS('capacity data'!$G:$G,'capacity data'!$E:$E,"PSO",'capacity data'!$B:$B,P66),"")</f>
        <v/>
      </c>
      <c r="U66" s="231" t="str">
        <f>IFERROR(SUMIFS('capacity data'!$L:$L,'capacity data'!$B:$B,P66,'capacity data'!$E:$E,"TPO")/SUMIFS('capacity data'!$G:$G,'capacity data'!$E:$E,"TPO",'capacity data'!$B:$B,P66),"")</f>
        <v/>
      </c>
    </row>
    <row r="67" spans="6:21" ht="16" x14ac:dyDescent="0.2">
      <c r="F67"/>
      <c r="M67"/>
      <c r="O67" s="24" t="s">
        <v>28</v>
      </c>
      <c r="P67" t="s">
        <v>136</v>
      </c>
      <c r="Q67" s="230" t="str">
        <f>IFERROR(SUM((SUMIFS('capacity data'!$G:$G,'capacity data'!$E:$E,"PO",'capacity data'!$B:$B,P67))-SUMIFS('capacity data'!$H:$H,'capacity data'!$E:$E,"PO",'capacity data'!$B:$B,P67))/SUMIFS('capacity data'!$G:$G,'capacity data'!$E:$E,"PO",'capacity data'!$B:$B,P67),"")</f>
        <v/>
      </c>
      <c r="R67" s="230" t="str">
        <f>IFERROR(SUM((SUMIFS('capacity data'!$G:$G,'capacity data'!$E:$E,"PSO",'capacity data'!$B:$B,P67))-SUMIFS('capacity data'!$H:$H,'capacity data'!$E:$E,"PSO",'capacity data'!$B:$B,P67))/SUMIFS('capacity data'!$G:$G,'capacity data'!$E:$E,"PSO",'capacity data'!$B:$B,P67),"")</f>
        <v/>
      </c>
      <c r="S67" s="23" t="str">
        <f t="shared" ref="S67:S130" si="1">IFERROR((Q67-R67),"")</f>
        <v/>
      </c>
      <c r="T67" s="231" t="str">
        <f>IFERROR(SUMIFS('capacity data'!$L:$L,'capacity data'!$B:$B,P67,'capacity data'!$E:$E,"PSO")/SUMIFS('capacity data'!$G:$G,'capacity data'!$E:$E,"PSO",'capacity data'!$B:$B,P67),"")</f>
        <v/>
      </c>
      <c r="U67" s="231" t="str">
        <f>IFERROR(SUMIFS('capacity data'!$L:$L,'capacity data'!$B:$B,P67,'capacity data'!$E:$E,"TPO")/SUMIFS('capacity data'!$G:$G,'capacity data'!$E:$E,"TPO",'capacity data'!$B:$B,P67),"")</f>
        <v/>
      </c>
    </row>
    <row r="68" spans="6:21" ht="16" x14ac:dyDescent="0.2">
      <c r="F68"/>
      <c r="M68"/>
      <c r="O68" s="24" t="s">
        <v>28</v>
      </c>
      <c r="P68" t="s">
        <v>160</v>
      </c>
      <c r="Q68" s="230" t="str">
        <f>IFERROR(SUM((SUMIFS('capacity data'!$G:$G,'capacity data'!$E:$E,"PO",'capacity data'!$B:$B,P68))-SUMIFS('capacity data'!$H:$H,'capacity data'!$E:$E,"PO",'capacity data'!$B:$B,P68))/SUMIFS('capacity data'!$G:$G,'capacity data'!$E:$E,"PO",'capacity data'!$B:$B,P68),"")</f>
        <v/>
      </c>
      <c r="R68" s="230" t="str">
        <f>IFERROR(SUM((SUMIFS('capacity data'!$G:$G,'capacity data'!$E:$E,"PSO",'capacity data'!$B:$B,P68))-SUMIFS('capacity data'!$H:$H,'capacity data'!$E:$E,"PSO",'capacity data'!$B:$B,P68))/SUMIFS('capacity data'!$G:$G,'capacity data'!$E:$E,"PSO",'capacity data'!$B:$B,P68),"")</f>
        <v/>
      </c>
      <c r="S68" s="23" t="str">
        <f t="shared" si="1"/>
        <v/>
      </c>
      <c r="T68" s="231" t="str">
        <f>IFERROR(SUMIFS('capacity data'!$L:$L,'capacity data'!$B:$B,P68,'capacity data'!$E:$E,"PSO")/SUMIFS('capacity data'!$G:$G,'capacity data'!$E:$E,"PSO",'capacity data'!$B:$B,P68),"")</f>
        <v/>
      </c>
      <c r="U68" s="231" t="str">
        <f>IFERROR(SUMIFS('capacity data'!$L:$L,'capacity data'!$B:$B,P68,'capacity data'!$E:$E,"TPO")/SUMIFS('capacity data'!$G:$G,'capacity data'!$E:$E,"TPO",'capacity data'!$B:$B,P68),"")</f>
        <v/>
      </c>
    </row>
    <row r="69" spans="6:21" ht="16" x14ac:dyDescent="0.2">
      <c r="F69"/>
      <c r="M69"/>
      <c r="O69" s="24" t="s">
        <v>28</v>
      </c>
      <c r="P69" t="s">
        <v>184</v>
      </c>
      <c r="Q69" s="230" t="str">
        <f>IFERROR(SUM((SUMIFS('capacity data'!$G:$G,'capacity data'!$E:$E,"PO",'capacity data'!$B:$B,P69))-SUMIFS('capacity data'!$H:$H,'capacity data'!$E:$E,"PO",'capacity data'!$B:$B,P69))/SUMIFS('capacity data'!$G:$G,'capacity data'!$E:$E,"PO",'capacity data'!$B:$B,P69),"")</f>
        <v/>
      </c>
      <c r="R69" s="230" t="str">
        <f>IFERROR(SUM((SUMIFS('capacity data'!$G:$G,'capacity data'!$E:$E,"PSO",'capacity data'!$B:$B,P69))-SUMIFS('capacity data'!$H:$H,'capacity data'!$E:$E,"PSO",'capacity data'!$B:$B,P69))/SUMIFS('capacity data'!$G:$G,'capacity data'!$E:$E,"PSO",'capacity data'!$B:$B,P69),"")</f>
        <v/>
      </c>
      <c r="S69" s="23" t="str">
        <f t="shared" si="1"/>
        <v/>
      </c>
      <c r="T69" s="231" t="str">
        <f>IFERROR(SUMIFS('capacity data'!$L:$L,'capacity data'!$B:$B,P69,'capacity data'!$E:$E,"PSO")/SUMIFS('capacity data'!$G:$G,'capacity data'!$E:$E,"PSO",'capacity data'!$B:$B,P69),"")</f>
        <v/>
      </c>
      <c r="U69" s="231" t="str">
        <f>IFERROR(SUMIFS('capacity data'!$L:$L,'capacity data'!$B:$B,P69,'capacity data'!$E:$E,"TPO")/SUMIFS('capacity data'!$G:$G,'capacity data'!$E:$E,"TPO",'capacity data'!$B:$B,P69),"")</f>
        <v/>
      </c>
    </row>
    <row r="70" spans="6:21" ht="16" x14ac:dyDescent="0.2">
      <c r="F70"/>
      <c r="M70"/>
      <c r="O70" s="24" t="s">
        <v>28</v>
      </c>
      <c r="P70" t="s">
        <v>207</v>
      </c>
      <c r="Q70" s="230" t="str">
        <f>IFERROR(SUM((SUMIFS('capacity data'!$G:$G,'capacity data'!$E:$E,"PO",'capacity data'!$B:$B,P70))-SUMIFS('capacity data'!$H:$H,'capacity data'!$E:$E,"PO",'capacity data'!$B:$B,P70))/SUMIFS('capacity data'!$G:$G,'capacity data'!$E:$E,"PO",'capacity data'!$B:$B,P70),"")</f>
        <v/>
      </c>
      <c r="R70" s="230" t="str">
        <f>IFERROR(SUM((SUMIFS('capacity data'!$G:$G,'capacity data'!$E:$E,"PSO",'capacity data'!$B:$B,P70))-SUMIFS('capacity data'!$H:$H,'capacity data'!$E:$E,"PSO",'capacity data'!$B:$B,P70))/SUMIFS('capacity data'!$G:$G,'capacity data'!$E:$E,"PSO",'capacity data'!$B:$B,P70),"")</f>
        <v/>
      </c>
      <c r="S70" s="23" t="str">
        <f t="shared" si="1"/>
        <v/>
      </c>
      <c r="T70" s="231" t="str">
        <f>IFERROR(SUMIFS('capacity data'!$L:$L,'capacity data'!$B:$B,P70,'capacity data'!$E:$E,"PSO")/SUMIFS('capacity data'!$G:$G,'capacity data'!$E:$E,"PSO",'capacity data'!$B:$B,P70),"")</f>
        <v/>
      </c>
      <c r="U70" s="231" t="str">
        <f>IFERROR(SUMIFS('capacity data'!$L:$L,'capacity data'!$B:$B,P70,'capacity data'!$E:$E,"TPO")/SUMIFS('capacity data'!$G:$G,'capacity data'!$E:$E,"TPO",'capacity data'!$B:$B,P70),"")</f>
        <v/>
      </c>
    </row>
    <row r="71" spans="6:21" ht="16" x14ac:dyDescent="0.2">
      <c r="F71"/>
      <c r="M71"/>
      <c r="O71" s="24" t="s">
        <v>28</v>
      </c>
      <c r="P71" t="s">
        <v>229</v>
      </c>
      <c r="Q71" s="230" t="str">
        <f>IFERROR(SUM((SUMIFS('capacity data'!$G:$G,'capacity data'!$E:$E,"PO",'capacity data'!$B:$B,P71))-SUMIFS('capacity data'!$H:$H,'capacity data'!$E:$E,"PO",'capacity data'!$B:$B,P71))/SUMIFS('capacity data'!$G:$G,'capacity data'!$E:$E,"PO",'capacity data'!$B:$B,P71),"")</f>
        <v/>
      </c>
      <c r="R71" s="230" t="str">
        <f>IFERROR(SUM((SUMIFS('capacity data'!$G:$G,'capacity data'!$E:$E,"PSO",'capacity data'!$B:$B,P71))-SUMIFS('capacity data'!$H:$H,'capacity data'!$E:$E,"PSO",'capacity data'!$B:$B,P71))/SUMIFS('capacity data'!$G:$G,'capacity data'!$E:$E,"PSO",'capacity data'!$B:$B,P71),"")</f>
        <v/>
      </c>
      <c r="S71" s="23" t="str">
        <f t="shared" si="1"/>
        <v/>
      </c>
      <c r="T71" s="231" t="str">
        <f>IFERROR(SUMIFS('capacity data'!$L:$L,'capacity data'!$B:$B,P71,'capacity data'!$E:$E,"PSO")/SUMIFS('capacity data'!$G:$G,'capacity data'!$E:$E,"PSO",'capacity data'!$B:$B,P71),"")</f>
        <v/>
      </c>
      <c r="U71" s="231" t="str">
        <f>IFERROR(SUMIFS('capacity data'!$L:$L,'capacity data'!$B:$B,P71,'capacity data'!$E:$E,"TPO")/SUMIFS('capacity data'!$G:$G,'capacity data'!$E:$E,"TPO",'capacity data'!$B:$B,P71),"")</f>
        <v/>
      </c>
    </row>
    <row r="72" spans="6:21" ht="16" x14ac:dyDescent="0.2">
      <c r="F72"/>
      <c r="M72"/>
      <c r="O72" s="24" t="s">
        <v>28</v>
      </c>
      <c r="P72" t="s">
        <v>250</v>
      </c>
      <c r="Q72" s="230" t="str">
        <f>IFERROR(SUM((SUMIFS('capacity data'!$G:$G,'capacity data'!$E:$E,"PO",'capacity data'!$B:$B,P72))-SUMIFS('capacity data'!$H:$H,'capacity data'!$E:$E,"PO",'capacity data'!$B:$B,P72))/SUMIFS('capacity data'!$G:$G,'capacity data'!$E:$E,"PO",'capacity data'!$B:$B,P72),"")</f>
        <v/>
      </c>
      <c r="R72" s="230" t="str">
        <f>IFERROR(SUM((SUMIFS('capacity data'!$G:$G,'capacity data'!$E:$E,"PSO",'capacity data'!$B:$B,P72))-SUMIFS('capacity data'!$H:$H,'capacity data'!$E:$E,"PSO",'capacity data'!$B:$B,P72))/SUMIFS('capacity data'!$G:$G,'capacity data'!$E:$E,"PSO",'capacity data'!$B:$B,P72),"")</f>
        <v/>
      </c>
      <c r="S72" s="23" t="str">
        <f t="shared" si="1"/>
        <v/>
      </c>
      <c r="T72" s="231" t="str">
        <f>IFERROR(SUMIFS('capacity data'!$L:$L,'capacity data'!$B:$B,P72,'capacity data'!$E:$E,"PSO")/SUMIFS('capacity data'!$G:$G,'capacity data'!$E:$E,"PSO",'capacity data'!$B:$B,P72),"")</f>
        <v/>
      </c>
      <c r="U72" s="231" t="str">
        <f>IFERROR(SUMIFS('capacity data'!$L:$L,'capacity data'!$B:$B,P72,'capacity data'!$E:$E,"TPO")/SUMIFS('capacity data'!$G:$G,'capacity data'!$E:$E,"TPO",'capacity data'!$B:$B,P72),"")</f>
        <v/>
      </c>
    </row>
    <row r="73" spans="6:21" ht="16" x14ac:dyDescent="0.2">
      <c r="F73"/>
      <c r="M73"/>
      <c r="O73" s="24" t="s">
        <v>28</v>
      </c>
      <c r="P73" t="s">
        <v>270</v>
      </c>
      <c r="Q73" s="230" t="str">
        <f>IFERROR(SUM((SUMIFS('capacity data'!$G:$G,'capacity data'!$E:$E,"PO",'capacity data'!$B:$B,P73))-SUMIFS('capacity data'!$H:$H,'capacity data'!$E:$E,"PO",'capacity data'!$B:$B,P73))/SUMIFS('capacity data'!$G:$G,'capacity data'!$E:$E,"PO",'capacity data'!$B:$B,P73),"")</f>
        <v/>
      </c>
      <c r="R73" s="230" t="str">
        <f>IFERROR(SUM((SUMIFS('capacity data'!$G:$G,'capacity data'!$E:$E,"PSO",'capacity data'!$B:$B,P73))-SUMIFS('capacity data'!$H:$H,'capacity data'!$E:$E,"PSO",'capacity data'!$B:$B,P73))/SUMIFS('capacity data'!$G:$G,'capacity data'!$E:$E,"PSO",'capacity data'!$B:$B,P73),"")</f>
        <v/>
      </c>
      <c r="S73" s="23" t="str">
        <f t="shared" si="1"/>
        <v/>
      </c>
      <c r="T73" s="231" t="str">
        <f>IFERROR(SUMIFS('capacity data'!$L:$L,'capacity data'!$B:$B,P73,'capacity data'!$E:$E,"PSO")/SUMIFS('capacity data'!$G:$G,'capacity data'!$E:$E,"PSO",'capacity data'!$B:$B,P73),"")</f>
        <v/>
      </c>
      <c r="U73" s="231" t="str">
        <f>IFERROR(SUMIFS('capacity data'!$L:$L,'capacity data'!$B:$B,P73,'capacity data'!$E:$E,"TPO")/SUMIFS('capacity data'!$G:$G,'capacity data'!$E:$E,"TPO",'capacity data'!$B:$B,P73),"")</f>
        <v/>
      </c>
    </row>
    <row r="74" spans="6:21" ht="16" x14ac:dyDescent="0.2">
      <c r="F74"/>
      <c r="M74"/>
      <c r="O74" s="24" t="s">
        <v>29</v>
      </c>
      <c r="P74" t="s">
        <v>41</v>
      </c>
      <c r="Q74" s="230" t="str">
        <f>IFERROR(SUM((SUMIFS('capacity data'!$G:$G,'capacity data'!$E:$E,"PO",'capacity data'!$B:$B,P74))-SUMIFS('capacity data'!$H:$H,'capacity data'!$E:$E,"PO",'capacity data'!$B:$B,P74))/SUMIFS('capacity data'!$G:$G,'capacity data'!$E:$E,"PO",'capacity data'!$B:$B,P74),"")</f>
        <v/>
      </c>
      <c r="R74" s="230" t="str">
        <f>IFERROR(SUM((SUMIFS('capacity data'!$G:$G,'capacity data'!$E:$E,"PSO",'capacity data'!$B:$B,P74))-SUMIFS('capacity data'!$H:$H,'capacity data'!$E:$E,"PSO",'capacity data'!$B:$B,P74))/SUMIFS('capacity data'!$G:$G,'capacity data'!$E:$E,"PSO",'capacity data'!$B:$B,P74),"")</f>
        <v/>
      </c>
      <c r="S74" s="23" t="str">
        <f t="shared" si="1"/>
        <v/>
      </c>
      <c r="T74" s="231" t="str">
        <f>IFERROR(SUMIFS('capacity data'!$L:$L,'capacity data'!$B:$B,P74,'capacity data'!$E:$E,"PSO")/SUMIFS('capacity data'!$G:$G,'capacity data'!$E:$E,"PSO",'capacity data'!$B:$B,P74),"")</f>
        <v/>
      </c>
      <c r="U74" s="231" t="str">
        <f>IFERROR(SUMIFS('capacity data'!$L:$L,'capacity data'!$B:$B,P74,'capacity data'!$E:$E,"TPO")/SUMIFS('capacity data'!$G:$G,'capacity data'!$E:$E,"TPO",'capacity data'!$B:$B,P74),"")</f>
        <v/>
      </c>
    </row>
    <row r="75" spans="6:21" ht="16" x14ac:dyDescent="0.2">
      <c r="F75"/>
      <c r="M75"/>
      <c r="O75" s="24" t="s">
        <v>29</v>
      </c>
      <c r="P75" t="s">
        <v>65</v>
      </c>
      <c r="Q75" s="230" t="str">
        <f>IFERROR(SUM((SUMIFS('capacity data'!$G:$G,'capacity data'!$E:$E,"PO",'capacity data'!$B:$B,P75))-SUMIFS('capacity data'!$H:$H,'capacity data'!$E:$E,"PO",'capacity data'!$B:$B,P75))/SUMIFS('capacity data'!$G:$G,'capacity data'!$E:$E,"PO",'capacity data'!$B:$B,P75),"")</f>
        <v/>
      </c>
      <c r="R75" s="230" t="str">
        <f>IFERROR(SUM((SUMIFS('capacity data'!$G:$G,'capacity data'!$E:$E,"PSO",'capacity data'!$B:$B,P75))-SUMIFS('capacity data'!$H:$H,'capacity data'!$E:$E,"PSO",'capacity data'!$B:$B,P75))/SUMIFS('capacity data'!$G:$G,'capacity data'!$E:$E,"PSO",'capacity data'!$B:$B,P75),"")</f>
        <v/>
      </c>
      <c r="S75" s="23" t="str">
        <f t="shared" si="1"/>
        <v/>
      </c>
      <c r="T75" s="231" t="str">
        <f>IFERROR(SUMIFS('capacity data'!$L:$L,'capacity data'!$B:$B,P75,'capacity data'!$E:$E,"PSO")/SUMIFS('capacity data'!$G:$G,'capacity data'!$E:$E,"PSO",'capacity data'!$B:$B,P75),"")</f>
        <v/>
      </c>
      <c r="U75" s="231" t="str">
        <f>IFERROR(SUMIFS('capacity data'!$L:$L,'capacity data'!$B:$B,P75,'capacity data'!$E:$E,"TPO")/SUMIFS('capacity data'!$G:$G,'capacity data'!$E:$E,"TPO",'capacity data'!$B:$B,P75),"")</f>
        <v/>
      </c>
    </row>
    <row r="76" spans="6:21" ht="16" x14ac:dyDescent="0.2">
      <c r="F76"/>
      <c r="M76"/>
      <c r="O76" s="24" t="s">
        <v>29</v>
      </c>
      <c r="P76" t="s">
        <v>89</v>
      </c>
      <c r="Q76" s="230" t="str">
        <f>IFERROR(SUM((SUMIFS('capacity data'!$G:$G,'capacity data'!$E:$E,"PO",'capacity data'!$B:$B,P76))-SUMIFS('capacity data'!$H:$H,'capacity data'!$E:$E,"PO",'capacity data'!$B:$B,P76))/SUMIFS('capacity data'!$G:$G,'capacity data'!$E:$E,"PO",'capacity data'!$B:$B,P76),"")</f>
        <v/>
      </c>
      <c r="R76" s="230" t="str">
        <f>IFERROR(SUM((SUMIFS('capacity data'!$G:$G,'capacity data'!$E:$E,"PSO",'capacity data'!$B:$B,P76))-SUMIFS('capacity data'!$H:$H,'capacity data'!$E:$E,"PSO",'capacity data'!$B:$B,P76))/SUMIFS('capacity data'!$G:$G,'capacity data'!$E:$E,"PSO",'capacity data'!$B:$B,P76),"")</f>
        <v/>
      </c>
      <c r="S76" s="23" t="str">
        <f t="shared" si="1"/>
        <v/>
      </c>
      <c r="T76" s="231" t="str">
        <f>IFERROR(SUMIFS('capacity data'!$L:$L,'capacity data'!$B:$B,P76,'capacity data'!$E:$E,"PSO")/SUMIFS('capacity data'!$G:$G,'capacity data'!$E:$E,"PSO",'capacity data'!$B:$B,P76),"")</f>
        <v/>
      </c>
      <c r="U76" s="231" t="str">
        <f>IFERROR(SUMIFS('capacity data'!$L:$L,'capacity data'!$B:$B,P76,'capacity data'!$E:$E,"TPO")/SUMIFS('capacity data'!$G:$G,'capacity data'!$E:$E,"TPO",'capacity data'!$B:$B,P76),"")</f>
        <v/>
      </c>
    </row>
    <row r="77" spans="6:21" ht="16" x14ac:dyDescent="0.2">
      <c r="F77"/>
      <c r="M77"/>
      <c r="O77" s="24" t="s">
        <v>29</v>
      </c>
      <c r="P77" t="s">
        <v>113</v>
      </c>
      <c r="Q77" s="230" t="str">
        <f>IFERROR(SUM((SUMIFS('capacity data'!$G:$G,'capacity data'!$E:$E,"PO",'capacity data'!$B:$B,P77))-SUMIFS('capacity data'!$H:$H,'capacity data'!$E:$E,"PO",'capacity data'!$B:$B,P77))/SUMIFS('capacity data'!$G:$G,'capacity data'!$E:$E,"PO",'capacity data'!$B:$B,P77),"")</f>
        <v/>
      </c>
      <c r="R77" s="230" t="str">
        <f>IFERROR(SUM((SUMIFS('capacity data'!$G:$G,'capacity data'!$E:$E,"PSO",'capacity data'!$B:$B,P77))-SUMIFS('capacity data'!$H:$H,'capacity data'!$E:$E,"PSO",'capacity data'!$B:$B,P77))/SUMIFS('capacity data'!$G:$G,'capacity data'!$E:$E,"PSO",'capacity data'!$B:$B,P77),"")</f>
        <v/>
      </c>
      <c r="S77" s="23" t="str">
        <f t="shared" si="1"/>
        <v/>
      </c>
      <c r="T77" s="231" t="str">
        <f>IFERROR(SUMIFS('capacity data'!$L:$L,'capacity data'!$B:$B,P77,'capacity data'!$E:$E,"PSO")/SUMIFS('capacity data'!$G:$G,'capacity data'!$E:$E,"PSO",'capacity data'!$B:$B,P77),"")</f>
        <v/>
      </c>
      <c r="U77" s="231" t="str">
        <f>IFERROR(SUMIFS('capacity data'!$L:$L,'capacity data'!$B:$B,P77,'capacity data'!$E:$E,"TPO")/SUMIFS('capacity data'!$G:$G,'capacity data'!$E:$E,"TPO",'capacity data'!$B:$B,P77),"")</f>
        <v/>
      </c>
    </row>
    <row r="78" spans="6:21" ht="16" x14ac:dyDescent="0.2">
      <c r="F78"/>
      <c r="M78"/>
      <c r="O78" s="24" t="s">
        <v>29</v>
      </c>
      <c r="P78" t="s">
        <v>137</v>
      </c>
      <c r="Q78" s="230" t="str">
        <f>IFERROR(SUM((SUMIFS('capacity data'!$G:$G,'capacity data'!$E:$E,"PO",'capacity data'!$B:$B,P78))-SUMIFS('capacity data'!$H:$H,'capacity data'!$E:$E,"PO",'capacity data'!$B:$B,P78))/SUMIFS('capacity data'!$G:$G,'capacity data'!$E:$E,"PO",'capacity data'!$B:$B,P78),"")</f>
        <v/>
      </c>
      <c r="R78" s="230" t="str">
        <f>IFERROR(SUM((SUMIFS('capacity data'!$G:$G,'capacity data'!$E:$E,"PSO",'capacity data'!$B:$B,P78))-SUMIFS('capacity data'!$H:$H,'capacity data'!$E:$E,"PSO",'capacity data'!$B:$B,P78))/SUMIFS('capacity data'!$G:$G,'capacity data'!$E:$E,"PSO",'capacity data'!$B:$B,P78),"")</f>
        <v/>
      </c>
      <c r="S78" s="23" t="str">
        <f t="shared" si="1"/>
        <v/>
      </c>
      <c r="T78" s="231" t="str">
        <f>IFERROR(SUMIFS('capacity data'!$L:$L,'capacity data'!$B:$B,P78,'capacity data'!$E:$E,"PSO")/SUMIFS('capacity data'!$G:$G,'capacity data'!$E:$E,"PSO",'capacity data'!$B:$B,P78),"")</f>
        <v/>
      </c>
      <c r="U78" s="231" t="str">
        <f>IFERROR(SUMIFS('capacity data'!$L:$L,'capacity data'!$B:$B,P78,'capacity data'!$E:$E,"TPO")/SUMIFS('capacity data'!$G:$G,'capacity data'!$E:$E,"TPO",'capacity data'!$B:$B,P78),"")</f>
        <v/>
      </c>
    </row>
    <row r="79" spans="6:21" ht="16" x14ac:dyDescent="0.2">
      <c r="F79"/>
      <c r="M79"/>
      <c r="O79" s="24" t="s">
        <v>29</v>
      </c>
      <c r="P79" t="s">
        <v>161</v>
      </c>
      <c r="Q79" s="230" t="str">
        <f>IFERROR(SUM((SUMIFS('capacity data'!$G:$G,'capacity data'!$E:$E,"PO",'capacity data'!$B:$B,P79))-SUMIFS('capacity data'!$H:$H,'capacity data'!$E:$E,"PO",'capacity data'!$B:$B,P79))/SUMIFS('capacity data'!$G:$G,'capacity data'!$E:$E,"PO",'capacity data'!$B:$B,P79),"")</f>
        <v/>
      </c>
      <c r="R79" s="230" t="str">
        <f>IFERROR(SUM((SUMIFS('capacity data'!$G:$G,'capacity data'!$E:$E,"PSO",'capacity data'!$B:$B,P79))-SUMIFS('capacity data'!$H:$H,'capacity data'!$E:$E,"PSO",'capacity data'!$B:$B,P79))/SUMIFS('capacity data'!$G:$G,'capacity data'!$E:$E,"PSO",'capacity data'!$B:$B,P79),"")</f>
        <v/>
      </c>
      <c r="S79" s="23" t="str">
        <f t="shared" si="1"/>
        <v/>
      </c>
      <c r="T79" s="231" t="str">
        <f>IFERROR(SUMIFS('capacity data'!$L:$L,'capacity data'!$B:$B,P79,'capacity data'!$E:$E,"PSO")/SUMIFS('capacity data'!$G:$G,'capacity data'!$E:$E,"PSO",'capacity data'!$B:$B,P79),"")</f>
        <v/>
      </c>
      <c r="U79" s="231" t="str">
        <f>IFERROR(SUMIFS('capacity data'!$L:$L,'capacity data'!$B:$B,P79,'capacity data'!$E:$E,"TPO")/SUMIFS('capacity data'!$G:$G,'capacity data'!$E:$E,"TPO",'capacity data'!$B:$B,P79),"")</f>
        <v/>
      </c>
    </row>
    <row r="80" spans="6:21" ht="16" x14ac:dyDescent="0.2">
      <c r="F80"/>
      <c r="M80"/>
      <c r="O80" s="24" t="s">
        <v>29</v>
      </c>
      <c r="P80" t="s">
        <v>185</v>
      </c>
      <c r="Q80" s="230" t="str">
        <f>IFERROR(SUM((SUMIFS('capacity data'!$G:$G,'capacity data'!$E:$E,"PO",'capacity data'!$B:$B,P80))-SUMIFS('capacity data'!$H:$H,'capacity data'!$E:$E,"PO",'capacity data'!$B:$B,P80))/SUMIFS('capacity data'!$G:$G,'capacity data'!$E:$E,"PO",'capacity data'!$B:$B,P80),"")</f>
        <v/>
      </c>
      <c r="R80" s="230" t="str">
        <f>IFERROR(SUM((SUMIFS('capacity data'!$G:$G,'capacity data'!$E:$E,"PSO",'capacity data'!$B:$B,P80))-SUMIFS('capacity data'!$H:$H,'capacity data'!$E:$E,"PSO",'capacity data'!$B:$B,P80))/SUMIFS('capacity data'!$G:$G,'capacity data'!$E:$E,"PSO",'capacity data'!$B:$B,P80),"")</f>
        <v/>
      </c>
      <c r="S80" s="23" t="str">
        <f t="shared" si="1"/>
        <v/>
      </c>
      <c r="T80" s="231" t="str">
        <f>IFERROR(SUMIFS('capacity data'!$L:$L,'capacity data'!$B:$B,P80,'capacity data'!$E:$E,"PSO")/SUMIFS('capacity data'!$G:$G,'capacity data'!$E:$E,"PSO",'capacity data'!$B:$B,P80),"")</f>
        <v/>
      </c>
      <c r="U80" s="231" t="str">
        <f>IFERROR(SUMIFS('capacity data'!$L:$L,'capacity data'!$B:$B,P80,'capacity data'!$E:$E,"TPO")/SUMIFS('capacity data'!$G:$G,'capacity data'!$E:$E,"TPO",'capacity data'!$B:$B,P80),"")</f>
        <v/>
      </c>
    </row>
    <row r="81" spans="6:21" ht="16" x14ac:dyDescent="0.2">
      <c r="F81"/>
      <c r="M81"/>
      <c r="O81" s="24" t="s">
        <v>29</v>
      </c>
      <c r="P81" t="s">
        <v>208</v>
      </c>
      <c r="Q81" s="230" t="str">
        <f>IFERROR(SUM((SUMIFS('capacity data'!$G:$G,'capacity data'!$E:$E,"PO",'capacity data'!$B:$B,P81))-SUMIFS('capacity data'!$H:$H,'capacity data'!$E:$E,"PO",'capacity data'!$B:$B,P81))/SUMIFS('capacity data'!$G:$G,'capacity data'!$E:$E,"PO",'capacity data'!$B:$B,P81),"")</f>
        <v/>
      </c>
      <c r="R81" s="230" t="str">
        <f>IFERROR(SUM((SUMIFS('capacity data'!$G:$G,'capacity data'!$E:$E,"PSO",'capacity data'!$B:$B,P81))-SUMIFS('capacity data'!$H:$H,'capacity data'!$E:$E,"PSO",'capacity data'!$B:$B,P81))/SUMIFS('capacity data'!$G:$G,'capacity data'!$E:$E,"PSO",'capacity data'!$B:$B,P81),"")</f>
        <v/>
      </c>
      <c r="S81" s="23" t="str">
        <f t="shared" si="1"/>
        <v/>
      </c>
      <c r="T81" s="231" t="str">
        <f>IFERROR(SUMIFS('capacity data'!$L:$L,'capacity data'!$B:$B,P81,'capacity data'!$E:$E,"PSO")/SUMIFS('capacity data'!$G:$G,'capacity data'!$E:$E,"PSO",'capacity data'!$B:$B,P81),"")</f>
        <v/>
      </c>
      <c r="U81" s="231" t="str">
        <f>IFERROR(SUMIFS('capacity data'!$L:$L,'capacity data'!$B:$B,P81,'capacity data'!$E:$E,"TPO")/SUMIFS('capacity data'!$G:$G,'capacity data'!$E:$E,"TPO",'capacity data'!$B:$B,P81),"")</f>
        <v/>
      </c>
    </row>
    <row r="82" spans="6:21" ht="16" x14ac:dyDescent="0.2">
      <c r="F82"/>
      <c r="M82"/>
      <c r="O82" s="24" t="s">
        <v>29</v>
      </c>
      <c r="P82" t="s">
        <v>230</v>
      </c>
      <c r="Q82" s="230" t="str">
        <f>IFERROR(SUM((SUMIFS('capacity data'!$G:$G,'capacity data'!$E:$E,"PO",'capacity data'!$B:$B,P82))-SUMIFS('capacity data'!$H:$H,'capacity data'!$E:$E,"PO",'capacity data'!$B:$B,P82))/SUMIFS('capacity data'!$G:$G,'capacity data'!$E:$E,"PO",'capacity data'!$B:$B,P82),"")</f>
        <v/>
      </c>
      <c r="R82" s="230" t="str">
        <f>IFERROR(SUM((SUMIFS('capacity data'!$G:$G,'capacity data'!$E:$E,"PSO",'capacity data'!$B:$B,P82))-SUMIFS('capacity data'!$H:$H,'capacity data'!$E:$E,"PSO",'capacity data'!$B:$B,P82))/SUMIFS('capacity data'!$G:$G,'capacity data'!$E:$E,"PSO",'capacity data'!$B:$B,P82),"")</f>
        <v/>
      </c>
      <c r="S82" s="23" t="str">
        <f t="shared" si="1"/>
        <v/>
      </c>
      <c r="T82" s="231" t="str">
        <f>IFERROR(SUMIFS('capacity data'!$L:$L,'capacity data'!$B:$B,P82,'capacity data'!$E:$E,"PSO")/SUMIFS('capacity data'!$G:$G,'capacity data'!$E:$E,"PSO",'capacity data'!$B:$B,P82),"")</f>
        <v/>
      </c>
      <c r="U82" s="231" t="str">
        <f>IFERROR(SUMIFS('capacity data'!$L:$L,'capacity data'!$B:$B,P82,'capacity data'!$E:$E,"TPO")/SUMIFS('capacity data'!$G:$G,'capacity data'!$E:$E,"TPO",'capacity data'!$B:$B,P82),"")</f>
        <v/>
      </c>
    </row>
    <row r="83" spans="6:21" ht="16" x14ac:dyDescent="0.2">
      <c r="F83"/>
      <c r="M83"/>
      <c r="O83" s="24" t="s">
        <v>29</v>
      </c>
      <c r="P83" t="s">
        <v>251</v>
      </c>
      <c r="Q83" s="230" t="str">
        <f>IFERROR(SUM((SUMIFS('capacity data'!$G:$G,'capacity data'!$E:$E,"PO",'capacity data'!$B:$B,P83))-SUMIFS('capacity data'!$H:$H,'capacity data'!$E:$E,"PO",'capacity data'!$B:$B,P83))/SUMIFS('capacity data'!$G:$G,'capacity data'!$E:$E,"PO",'capacity data'!$B:$B,P83),"")</f>
        <v/>
      </c>
      <c r="R83" s="230" t="str">
        <f>IFERROR(SUM((SUMIFS('capacity data'!$G:$G,'capacity data'!$E:$E,"PSO",'capacity data'!$B:$B,P83))-SUMIFS('capacity data'!$H:$H,'capacity data'!$E:$E,"PSO",'capacity data'!$B:$B,P83))/SUMIFS('capacity data'!$G:$G,'capacity data'!$E:$E,"PSO",'capacity data'!$B:$B,P83),"")</f>
        <v/>
      </c>
      <c r="S83" s="23" t="str">
        <f t="shared" si="1"/>
        <v/>
      </c>
      <c r="T83" s="231" t="str">
        <f>IFERROR(SUMIFS('capacity data'!$L:$L,'capacity data'!$B:$B,P83,'capacity data'!$E:$E,"PSO")/SUMIFS('capacity data'!$G:$G,'capacity data'!$E:$E,"PSO",'capacity data'!$B:$B,P83),"")</f>
        <v/>
      </c>
      <c r="U83" s="231" t="str">
        <f>IFERROR(SUMIFS('capacity data'!$L:$L,'capacity data'!$B:$B,P83,'capacity data'!$E:$E,"TPO")/SUMIFS('capacity data'!$G:$G,'capacity data'!$E:$E,"TPO",'capacity data'!$B:$B,P83),"")</f>
        <v/>
      </c>
    </row>
    <row r="84" spans="6:21" ht="16" x14ac:dyDescent="0.2">
      <c r="F84"/>
      <c r="M84"/>
      <c r="O84" s="24" t="s">
        <v>29</v>
      </c>
      <c r="P84" t="s">
        <v>271</v>
      </c>
      <c r="Q84" s="230" t="str">
        <f>IFERROR(SUM((SUMIFS('capacity data'!$G:$G,'capacity data'!$E:$E,"PO",'capacity data'!$B:$B,P84))-SUMIFS('capacity data'!$H:$H,'capacity data'!$E:$E,"PO",'capacity data'!$B:$B,P84))/SUMIFS('capacity data'!$G:$G,'capacity data'!$E:$E,"PO",'capacity data'!$B:$B,P84),"")</f>
        <v/>
      </c>
      <c r="R84" s="230" t="str">
        <f>IFERROR(SUM((SUMIFS('capacity data'!$G:$G,'capacity data'!$E:$E,"PSO",'capacity data'!$B:$B,P84))-SUMIFS('capacity data'!$H:$H,'capacity data'!$E:$E,"PSO",'capacity data'!$B:$B,P84))/SUMIFS('capacity data'!$G:$G,'capacity data'!$E:$E,"PSO",'capacity data'!$B:$B,P84),"")</f>
        <v/>
      </c>
      <c r="S84" s="23" t="str">
        <f t="shared" si="1"/>
        <v/>
      </c>
      <c r="T84" s="231" t="str">
        <f>IFERROR(SUMIFS('capacity data'!$L:$L,'capacity data'!$B:$B,P84,'capacity data'!$E:$E,"PSO")/SUMIFS('capacity data'!$G:$G,'capacity data'!$E:$E,"PSO",'capacity data'!$B:$B,P84),"")</f>
        <v/>
      </c>
      <c r="U84" s="231" t="str">
        <f>IFERROR(SUMIFS('capacity data'!$L:$L,'capacity data'!$B:$B,P84,'capacity data'!$E:$E,"TPO")/SUMIFS('capacity data'!$G:$G,'capacity data'!$E:$E,"TPO",'capacity data'!$B:$B,P84),"")</f>
        <v/>
      </c>
    </row>
    <row r="85" spans="6:21" ht="16" x14ac:dyDescent="0.2">
      <c r="F85"/>
      <c r="M85"/>
      <c r="O85" s="24" t="s">
        <v>29</v>
      </c>
      <c r="P85" t="s">
        <v>290</v>
      </c>
      <c r="Q85" s="230" t="str">
        <f>IFERROR(SUM((SUMIFS('capacity data'!$G:$G,'capacity data'!$E:$E,"PO",'capacity data'!$B:$B,P85))-SUMIFS('capacity data'!$H:$H,'capacity data'!$E:$E,"PO",'capacity data'!$B:$B,P85))/SUMIFS('capacity data'!$G:$G,'capacity data'!$E:$E,"PO",'capacity data'!$B:$B,P85),"")</f>
        <v/>
      </c>
      <c r="R85" s="230" t="str">
        <f>IFERROR(SUM((SUMIFS('capacity data'!$G:$G,'capacity data'!$E:$E,"PSO",'capacity data'!$B:$B,P85))-SUMIFS('capacity data'!$H:$H,'capacity data'!$E:$E,"PSO",'capacity data'!$B:$B,P85))/SUMIFS('capacity data'!$G:$G,'capacity data'!$E:$E,"PSO",'capacity data'!$B:$B,P85),"")</f>
        <v/>
      </c>
      <c r="S85" s="23" t="str">
        <f t="shared" si="1"/>
        <v/>
      </c>
      <c r="T85" s="231" t="str">
        <f>IFERROR(SUMIFS('capacity data'!$L:$L,'capacity data'!$B:$B,P85,'capacity data'!$E:$E,"PSO")/SUMIFS('capacity data'!$G:$G,'capacity data'!$E:$E,"PSO",'capacity data'!$B:$B,P85),"")</f>
        <v/>
      </c>
      <c r="U85" s="231" t="str">
        <f>IFERROR(SUMIFS('capacity data'!$L:$L,'capacity data'!$B:$B,P85,'capacity data'!$E:$E,"TPO")/SUMIFS('capacity data'!$G:$G,'capacity data'!$E:$E,"TPO",'capacity data'!$B:$B,P85),"")</f>
        <v/>
      </c>
    </row>
    <row r="86" spans="6:21" ht="16" x14ac:dyDescent="0.2">
      <c r="F86"/>
      <c r="M86"/>
      <c r="O86" s="24" t="s">
        <v>29</v>
      </c>
      <c r="P86" t="s">
        <v>306</v>
      </c>
      <c r="Q86" s="230" t="str">
        <f>IFERROR(SUM((SUMIFS('capacity data'!$G:$G,'capacity data'!$E:$E,"PO",'capacity data'!$B:$B,P86))-SUMIFS('capacity data'!$H:$H,'capacity data'!$E:$E,"PO",'capacity data'!$B:$B,P86))/SUMIFS('capacity data'!$G:$G,'capacity data'!$E:$E,"PO",'capacity data'!$B:$B,P86),"")</f>
        <v/>
      </c>
      <c r="R86" s="230" t="str">
        <f>IFERROR(SUM((SUMIFS('capacity data'!$G:$G,'capacity data'!$E:$E,"PSO",'capacity data'!$B:$B,P86))-SUMIFS('capacity data'!$H:$H,'capacity data'!$E:$E,"PSO",'capacity data'!$B:$B,P86))/SUMIFS('capacity data'!$G:$G,'capacity data'!$E:$E,"PSO",'capacity data'!$B:$B,P86),"")</f>
        <v/>
      </c>
      <c r="S86" s="23" t="str">
        <f t="shared" si="1"/>
        <v/>
      </c>
      <c r="T86" s="231" t="str">
        <f>IFERROR(SUMIFS('capacity data'!$L:$L,'capacity data'!$B:$B,P86,'capacity data'!$E:$E,"PSO")/SUMIFS('capacity data'!$G:$G,'capacity data'!$E:$E,"PSO",'capacity data'!$B:$B,P86),"")</f>
        <v/>
      </c>
      <c r="U86" s="231" t="str">
        <f>IFERROR(SUMIFS('capacity data'!$L:$L,'capacity data'!$B:$B,P86,'capacity data'!$E:$E,"TPO")/SUMIFS('capacity data'!$G:$G,'capacity data'!$E:$E,"TPO",'capacity data'!$B:$B,P86),"")</f>
        <v/>
      </c>
    </row>
    <row r="87" spans="6:21" ht="16" x14ac:dyDescent="0.2">
      <c r="F87"/>
      <c r="M87"/>
      <c r="O87" s="24" t="s">
        <v>29</v>
      </c>
      <c r="P87" t="s">
        <v>322</v>
      </c>
      <c r="Q87" s="230" t="str">
        <f>IFERROR(SUM((SUMIFS('capacity data'!$G:$G,'capacity data'!$E:$E,"PO",'capacity data'!$B:$B,P87))-SUMIFS('capacity data'!$H:$H,'capacity data'!$E:$E,"PO",'capacity data'!$B:$B,P87))/SUMIFS('capacity data'!$G:$G,'capacity data'!$E:$E,"PO",'capacity data'!$B:$B,P87),"")</f>
        <v/>
      </c>
      <c r="R87" s="230" t="str">
        <f>IFERROR(SUM((SUMIFS('capacity data'!$G:$G,'capacity data'!$E:$E,"PSO",'capacity data'!$B:$B,P87))-SUMIFS('capacity data'!$H:$H,'capacity data'!$E:$E,"PSO",'capacity data'!$B:$B,P87))/SUMIFS('capacity data'!$G:$G,'capacity data'!$E:$E,"PSO",'capacity data'!$B:$B,P87),"")</f>
        <v/>
      </c>
      <c r="S87" s="23" t="str">
        <f t="shared" si="1"/>
        <v/>
      </c>
      <c r="T87" s="231" t="str">
        <f>IFERROR(SUMIFS('capacity data'!$L:$L,'capacity data'!$B:$B,P87,'capacity data'!$E:$E,"PSO")/SUMIFS('capacity data'!$G:$G,'capacity data'!$E:$E,"PSO",'capacity data'!$B:$B,P87),"")</f>
        <v/>
      </c>
      <c r="U87" s="231" t="str">
        <f>IFERROR(SUMIFS('capacity data'!$L:$L,'capacity data'!$B:$B,P87,'capacity data'!$E:$E,"TPO")/SUMIFS('capacity data'!$G:$G,'capacity data'!$E:$E,"TPO",'capacity data'!$B:$B,P87),"")</f>
        <v/>
      </c>
    </row>
    <row r="88" spans="6:21" ht="16" x14ac:dyDescent="0.2">
      <c r="F88"/>
      <c r="M88"/>
      <c r="O88" s="24" t="s">
        <v>29</v>
      </c>
      <c r="P88" t="s">
        <v>338</v>
      </c>
      <c r="Q88" s="230" t="str">
        <f>IFERROR(SUM((SUMIFS('capacity data'!$G:$G,'capacity data'!$E:$E,"PO",'capacity data'!$B:$B,P88))-SUMIFS('capacity data'!$H:$H,'capacity data'!$E:$E,"PO",'capacity data'!$B:$B,P88))/SUMIFS('capacity data'!$G:$G,'capacity data'!$E:$E,"PO",'capacity data'!$B:$B,P88),"")</f>
        <v/>
      </c>
      <c r="R88" s="230" t="str">
        <f>IFERROR(SUM((SUMIFS('capacity data'!$G:$G,'capacity data'!$E:$E,"PSO",'capacity data'!$B:$B,P88))-SUMIFS('capacity data'!$H:$H,'capacity data'!$E:$E,"PSO",'capacity data'!$B:$B,P88))/SUMIFS('capacity data'!$G:$G,'capacity data'!$E:$E,"PSO",'capacity data'!$B:$B,P88),"")</f>
        <v/>
      </c>
      <c r="S88" s="23" t="str">
        <f t="shared" si="1"/>
        <v/>
      </c>
      <c r="T88" s="231" t="str">
        <f>IFERROR(SUMIFS('capacity data'!$L:$L,'capacity data'!$B:$B,P88,'capacity data'!$E:$E,"PSO")/SUMIFS('capacity data'!$G:$G,'capacity data'!$E:$E,"PSO",'capacity data'!$B:$B,P88),"")</f>
        <v/>
      </c>
      <c r="U88" s="231" t="str">
        <f>IFERROR(SUMIFS('capacity data'!$L:$L,'capacity data'!$B:$B,P88,'capacity data'!$E:$E,"TPO")/SUMIFS('capacity data'!$G:$G,'capacity data'!$E:$E,"TPO",'capacity data'!$B:$B,P88),"")</f>
        <v/>
      </c>
    </row>
    <row r="89" spans="6:21" ht="16" x14ac:dyDescent="0.2">
      <c r="F89"/>
      <c r="M89"/>
      <c r="O89" s="24" t="s">
        <v>29</v>
      </c>
      <c r="P89" t="s">
        <v>353</v>
      </c>
      <c r="Q89" s="230" t="str">
        <f>IFERROR(SUM((SUMIFS('capacity data'!$G:$G,'capacity data'!$E:$E,"PO",'capacity data'!$B:$B,P89))-SUMIFS('capacity data'!$H:$H,'capacity data'!$E:$E,"PO",'capacity data'!$B:$B,P89))/SUMIFS('capacity data'!$G:$G,'capacity data'!$E:$E,"PO",'capacity data'!$B:$B,P89),"")</f>
        <v/>
      </c>
      <c r="R89" s="230" t="str">
        <f>IFERROR(SUM((SUMIFS('capacity data'!$G:$G,'capacity data'!$E:$E,"PSO",'capacity data'!$B:$B,P89))-SUMIFS('capacity data'!$H:$H,'capacity data'!$E:$E,"PSO",'capacity data'!$B:$B,P89))/SUMIFS('capacity data'!$G:$G,'capacity data'!$E:$E,"PSO",'capacity data'!$B:$B,P89),"")</f>
        <v/>
      </c>
      <c r="S89" s="23" t="str">
        <f t="shared" si="1"/>
        <v/>
      </c>
      <c r="T89" s="231" t="str">
        <f>IFERROR(SUMIFS('capacity data'!$L:$L,'capacity data'!$B:$B,P89,'capacity data'!$E:$E,"PSO")/SUMIFS('capacity data'!$G:$G,'capacity data'!$E:$E,"PSO",'capacity data'!$B:$B,P89),"")</f>
        <v/>
      </c>
      <c r="U89" s="231" t="str">
        <f>IFERROR(SUMIFS('capacity data'!$L:$L,'capacity data'!$B:$B,P89,'capacity data'!$E:$E,"TPO")/SUMIFS('capacity data'!$G:$G,'capacity data'!$E:$E,"TPO",'capacity data'!$B:$B,P89),"")</f>
        <v/>
      </c>
    </row>
    <row r="90" spans="6:21" ht="16" x14ac:dyDescent="0.2">
      <c r="F90"/>
      <c r="M90"/>
      <c r="O90" s="24" t="s">
        <v>29</v>
      </c>
      <c r="P90" t="s">
        <v>368</v>
      </c>
      <c r="Q90" s="230" t="str">
        <f>IFERROR(SUM((SUMIFS('capacity data'!$G:$G,'capacity data'!$E:$E,"PO",'capacity data'!$B:$B,P90))-SUMIFS('capacity data'!$H:$H,'capacity data'!$E:$E,"PO",'capacity data'!$B:$B,P90))/SUMIFS('capacity data'!$G:$G,'capacity data'!$E:$E,"PO",'capacity data'!$B:$B,P90),"")</f>
        <v/>
      </c>
      <c r="R90" s="230" t="str">
        <f>IFERROR(SUM((SUMIFS('capacity data'!$G:$G,'capacity data'!$E:$E,"PSO",'capacity data'!$B:$B,P90))-SUMIFS('capacity data'!$H:$H,'capacity data'!$E:$E,"PSO",'capacity data'!$B:$B,P90))/SUMIFS('capacity data'!$G:$G,'capacity data'!$E:$E,"PSO",'capacity data'!$B:$B,P90),"")</f>
        <v/>
      </c>
      <c r="S90" s="23" t="str">
        <f t="shared" si="1"/>
        <v/>
      </c>
      <c r="T90" s="231" t="str">
        <f>IFERROR(SUMIFS('capacity data'!$L:$L,'capacity data'!$B:$B,P90,'capacity data'!$E:$E,"PSO")/SUMIFS('capacity data'!$G:$G,'capacity data'!$E:$E,"PSO",'capacity data'!$B:$B,P90),"")</f>
        <v/>
      </c>
      <c r="U90" s="231" t="str">
        <f>IFERROR(SUMIFS('capacity data'!$L:$L,'capacity data'!$B:$B,P90,'capacity data'!$E:$E,"TPO")/SUMIFS('capacity data'!$G:$G,'capacity data'!$E:$E,"TPO",'capacity data'!$B:$B,P90),"")</f>
        <v/>
      </c>
    </row>
    <row r="91" spans="6:21" ht="16" x14ac:dyDescent="0.2">
      <c r="F91"/>
      <c r="M91"/>
      <c r="O91" s="24" t="s">
        <v>29</v>
      </c>
      <c r="P91" t="s">
        <v>383</v>
      </c>
      <c r="Q91" s="230" t="str">
        <f>IFERROR(SUM((SUMIFS('capacity data'!$G:$G,'capacity data'!$E:$E,"PO",'capacity data'!$B:$B,P91))-SUMIFS('capacity data'!$H:$H,'capacity data'!$E:$E,"PO",'capacity data'!$B:$B,P91))/SUMIFS('capacity data'!$G:$G,'capacity data'!$E:$E,"PO",'capacity data'!$B:$B,P91),"")</f>
        <v/>
      </c>
      <c r="R91" s="230" t="str">
        <f>IFERROR(SUM((SUMIFS('capacity data'!$G:$G,'capacity data'!$E:$E,"PSO",'capacity data'!$B:$B,P91))-SUMIFS('capacity data'!$H:$H,'capacity data'!$E:$E,"PSO",'capacity data'!$B:$B,P91))/SUMIFS('capacity data'!$G:$G,'capacity data'!$E:$E,"PSO",'capacity data'!$B:$B,P91),"")</f>
        <v/>
      </c>
      <c r="S91" s="23" t="str">
        <f t="shared" si="1"/>
        <v/>
      </c>
      <c r="T91" s="231" t="str">
        <f>IFERROR(SUMIFS('capacity data'!$L:$L,'capacity data'!$B:$B,P91,'capacity data'!$E:$E,"PSO")/SUMIFS('capacity data'!$G:$G,'capacity data'!$E:$E,"PSO",'capacity data'!$B:$B,P91),"")</f>
        <v/>
      </c>
      <c r="U91" s="231" t="str">
        <f>IFERROR(SUMIFS('capacity data'!$L:$L,'capacity data'!$B:$B,P91,'capacity data'!$E:$E,"TPO")/SUMIFS('capacity data'!$G:$G,'capacity data'!$E:$E,"TPO",'capacity data'!$B:$B,P91),"")</f>
        <v/>
      </c>
    </row>
    <row r="92" spans="6:21" ht="16" x14ac:dyDescent="0.2">
      <c r="F92"/>
      <c r="M92"/>
      <c r="O92" s="24" t="s">
        <v>29</v>
      </c>
      <c r="P92" t="s">
        <v>397</v>
      </c>
      <c r="Q92" s="230" t="str">
        <f>IFERROR(SUM((SUMIFS('capacity data'!$G:$G,'capacity data'!$E:$E,"PO",'capacity data'!$B:$B,P92))-SUMIFS('capacity data'!$H:$H,'capacity data'!$E:$E,"PO",'capacity data'!$B:$B,P92))/SUMIFS('capacity data'!$G:$G,'capacity data'!$E:$E,"PO",'capacity data'!$B:$B,P92),"")</f>
        <v/>
      </c>
      <c r="R92" s="230" t="str">
        <f>IFERROR(SUM((SUMIFS('capacity data'!$G:$G,'capacity data'!$E:$E,"PSO",'capacity data'!$B:$B,P92))-SUMIFS('capacity data'!$H:$H,'capacity data'!$E:$E,"PSO",'capacity data'!$B:$B,P92))/SUMIFS('capacity data'!$G:$G,'capacity data'!$E:$E,"PSO",'capacity data'!$B:$B,P92),"")</f>
        <v/>
      </c>
      <c r="S92" s="23" t="str">
        <f t="shared" si="1"/>
        <v/>
      </c>
      <c r="T92" s="231" t="str">
        <f>IFERROR(SUMIFS('capacity data'!$L:$L,'capacity data'!$B:$B,P92,'capacity data'!$E:$E,"PSO")/SUMIFS('capacity data'!$G:$G,'capacity data'!$E:$E,"PSO",'capacity data'!$B:$B,P92),"")</f>
        <v/>
      </c>
      <c r="U92" s="231" t="str">
        <f>IFERROR(SUMIFS('capacity data'!$L:$L,'capacity data'!$B:$B,P92,'capacity data'!$E:$E,"TPO")/SUMIFS('capacity data'!$G:$G,'capacity data'!$E:$E,"TPO",'capacity data'!$B:$B,P92),"")</f>
        <v/>
      </c>
    </row>
    <row r="93" spans="6:21" ht="16" x14ac:dyDescent="0.2">
      <c r="F93"/>
      <c r="M93"/>
      <c r="O93" s="24" t="s">
        <v>30</v>
      </c>
      <c r="P93" t="s">
        <v>42</v>
      </c>
      <c r="Q93" s="230" t="str">
        <f>IFERROR(SUM((SUMIFS('capacity data'!$G:$G,'capacity data'!$E:$E,"PO",'capacity data'!$B:$B,P93))-SUMIFS('capacity data'!$H:$H,'capacity data'!$E:$E,"PO",'capacity data'!$B:$B,P93))/SUMIFS('capacity data'!$G:$G,'capacity data'!$E:$E,"PO",'capacity data'!$B:$B,P93),"")</f>
        <v/>
      </c>
      <c r="R93" s="230" t="str">
        <f>IFERROR(SUM((SUMIFS('capacity data'!$G:$G,'capacity data'!$E:$E,"PSO",'capacity data'!$B:$B,P93))-SUMIFS('capacity data'!$H:$H,'capacity data'!$E:$E,"PSO",'capacity data'!$B:$B,P93))/SUMIFS('capacity data'!$G:$G,'capacity data'!$E:$E,"PSO",'capacity data'!$B:$B,P93),"")</f>
        <v/>
      </c>
      <c r="S93" s="23" t="str">
        <f t="shared" si="1"/>
        <v/>
      </c>
      <c r="T93" s="231" t="str">
        <f>IFERROR(SUMIFS('capacity data'!$L:$L,'capacity data'!$B:$B,P93,'capacity data'!$E:$E,"PSO")/SUMIFS('capacity data'!$G:$G,'capacity data'!$E:$E,"PSO",'capacity data'!$B:$B,P93),"")</f>
        <v/>
      </c>
      <c r="U93" s="231" t="str">
        <f>IFERROR(SUMIFS('capacity data'!$L:$L,'capacity data'!$B:$B,P93,'capacity data'!$E:$E,"TPO")/SUMIFS('capacity data'!$G:$G,'capacity data'!$E:$E,"TPO",'capacity data'!$B:$B,P93),"")</f>
        <v/>
      </c>
    </row>
    <row r="94" spans="6:21" ht="16" x14ac:dyDescent="0.2">
      <c r="F94"/>
      <c r="M94"/>
      <c r="O94" s="24" t="s">
        <v>30</v>
      </c>
      <c r="P94" t="s">
        <v>66</v>
      </c>
      <c r="Q94" s="230" t="str">
        <f>IFERROR(SUM((SUMIFS('capacity data'!$G:$G,'capacity data'!$E:$E,"PO",'capacity data'!$B:$B,P94))-SUMIFS('capacity data'!$H:$H,'capacity data'!$E:$E,"PO",'capacity data'!$B:$B,P94))/SUMIFS('capacity data'!$G:$G,'capacity data'!$E:$E,"PO",'capacity data'!$B:$B,P94),"")</f>
        <v/>
      </c>
      <c r="R94" s="230" t="str">
        <f>IFERROR(SUM((SUMIFS('capacity data'!$G:$G,'capacity data'!$E:$E,"PSO",'capacity data'!$B:$B,P94))-SUMIFS('capacity data'!$H:$H,'capacity data'!$E:$E,"PSO",'capacity data'!$B:$B,P94))/SUMIFS('capacity data'!$G:$G,'capacity data'!$E:$E,"PSO",'capacity data'!$B:$B,P94),"")</f>
        <v/>
      </c>
      <c r="S94" s="23" t="str">
        <f t="shared" si="1"/>
        <v/>
      </c>
      <c r="T94" s="231" t="str">
        <f>IFERROR(SUMIFS('capacity data'!$L:$L,'capacity data'!$B:$B,P94,'capacity data'!$E:$E,"PSO")/SUMIFS('capacity data'!$G:$G,'capacity data'!$E:$E,"PSO",'capacity data'!$B:$B,P94),"")</f>
        <v/>
      </c>
      <c r="U94" s="231" t="str">
        <f>IFERROR(SUMIFS('capacity data'!$L:$L,'capacity data'!$B:$B,P94,'capacity data'!$E:$E,"TPO")/SUMIFS('capacity data'!$G:$G,'capacity data'!$E:$E,"TPO",'capacity data'!$B:$B,P94),"")</f>
        <v/>
      </c>
    </row>
    <row r="95" spans="6:21" ht="16" x14ac:dyDescent="0.2">
      <c r="F95"/>
      <c r="M95"/>
      <c r="O95" s="24" t="s">
        <v>30</v>
      </c>
      <c r="P95" t="s">
        <v>90</v>
      </c>
      <c r="Q95" s="230" t="str">
        <f>IFERROR(SUM((SUMIFS('capacity data'!$G:$G,'capacity data'!$E:$E,"PO",'capacity data'!$B:$B,P95))-SUMIFS('capacity data'!$H:$H,'capacity data'!$E:$E,"PO",'capacity data'!$B:$B,P95))/SUMIFS('capacity data'!$G:$G,'capacity data'!$E:$E,"PO",'capacity data'!$B:$B,P95),"")</f>
        <v/>
      </c>
      <c r="R95" s="230" t="str">
        <f>IFERROR(SUM((SUMIFS('capacity data'!$G:$G,'capacity data'!$E:$E,"PSO",'capacity data'!$B:$B,P95))-SUMIFS('capacity data'!$H:$H,'capacity data'!$E:$E,"PSO",'capacity data'!$B:$B,P95))/SUMIFS('capacity data'!$G:$G,'capacity data'!$E:$E,"PSO",'capacity data'!$B:$B,P95),"")</f>
        <v/>
      </c>
      <c r="S95" s="23" t="str">
        <f t="shared" si="1"/>
        <v/>
      </c>
      <c r="T95" s="231" t="str">
        <f>IFERROR(SUMIFS('capacity data'!$L:$L,'capacity data'!$B:$B,P95,'capacity data'!$E:$E,"PSO")/SUMIFS('capacity data'!$G:$G,'capacity data'!$E:$E,"PSO",'capacity data'!$B:$B,P95),"")</f>
        <v/>
      </c>
      <c r="U95" s="231" t="str">
        <f>IFERROR(SUMIFS('capacity data'!$L:$L,'capacity data'!$B:$B,P95,'capacity data'!$E:$E,"TPO")/SUMIFS('capacity data'!$G:$G,'capacity data'!$E:$E,"TPO",'capacity data'!$B:$B,P95),"")</f>
        <v/>
      </c>
    </row>
    <row r="96" spans="6:21" ht="16" x14ac:dyDescent="0.2">
      <c r="F96"/>
      <c r="M96"/>
      <c r="O96" s="24" t="s">
        <v>30</v>
      </c>
      <c r="P96" t="s">
        <v>114</v>
      </c>
      <c r="Q96" s="230" t="str">
        <f>IFERROR(SUM((SUMIFS('capacity data'!$G:$G,'capacity data'!$E:$E,"PO",'capacity data'!$B:$B,P96))-SUMIFS('capacity data'!$H:$H,'capacity data'!$E:$E,"PO",'capacity data'!$B:$B,P96))/SUMIFS('capacity data'!$G:$G,'capacity data'!$E:$E,"PO",'capacity data'!$B:$B,P96),"")</f>
        <v/>
      </c>
      <c r="R96" s="230" t="str">
        <f>IFERROR(SUM((SUMIFS('capacity data'!$G:$G,'capacity data'!$E:$E,"PSO",'capacity data'!$B:$B,P96))-SUMIFS('capacity data'!$H:$H,'capacity data'!$E:$E,"PSO",'capacity data'!$B:$B,P96))/SUMIFS('capacity data'!$G:$G,'capacity data'!$E:$E,"PSO",'capacity data'!$B:$B,P96),"")</f>
        <v/>
      </c>
      <c r="S96" s="23" t="str">
        <f t="shared" si="1"/>
        <v/>
      </c>
      <c r="T96" s="231" t="str">
        <f>IFERROR(SUMIFS('capacity data'!$L:$L,'capacity data'!$B:$B,P96,'capacity data'!$E:$E,"PSO")/SUMIFS('capacity data'!$G:$G,'capacity data'!$E:$E,"PSO",'capacity data'!$B:$B,P96),"")</f>
        <v/>
      </c>
      <c r="U96" s="231" t="str">
        <f>IFERROR(SUMIFS('capacity data'!$L:$L,'capacity data'!$B:$B,P96,'capacity data'!$E:$E,"TPO")/SUMIFS('capacity data'!$G:$G,'capacity data'!$E:$E,"TPO",'capacity data'!$B:$B,P96),"")</f>
        <v/>
      </c>
    </row>
    <row r="97" spans="6:21" ht="16" x14ac:dyDescent="0.2">
      <c r="F97"/>
      <c r="M97"/>
      <c r="O97" s="24" t="s">
        <v>30</v>
      </c>
      <c r="P97" t="s">
        <v>138</v>
      </c>
      <c r="Q97" s="230" t="str">
        <f>IFERROR(SUM((SUMIFS('capacity data'!$G:$G,'capacity data'!$E:$E,"PO",'capacity data'!$B:$B,P97))-SUMIFS('capacity data'!$H:$H,'capacity data'!$E:$E,"PO",'capacity data'!$B:$B,P97))/SUMIFS('capacity data'!$G:$G,'capacity data'!$E:$E,"PO",'capacity data'!$B:$B,P97),"")</f>
        <v/>
      </c>
      <c r="R97" s="230" t="str">
        <f>IFERROR(SUM((SUMIFS('capacity data'!$G:$G,'capacity data'!$E:$E,"PSO",'capacity data'!$B:$B,P97))-SUMIFS('capacity data'!$H:$H,'capacity data'!$E:$E,"PSO",'capacity data'!$B:$B,P97))/SUMIFS('capacity data'!$G:$G,'capacity data'!$E:$E,"PSO",'capacity data'!$B:$B,P97),"")</f>
        <v/>
      </c>
      <c r="S97" s="23" t="str">
        <f t="shared" si="1"/>
        <v/>
      </c>
      <c r="T97" s="231" t="str">
        <f>IFERROR(SUMIFS('capacity data'!$L:$L,'capacity data'!$B:$B,P97,'capacity data'!$E:$E,"PSO")/SUMIFS('capacity data'!$G:$G,'capacity data'!$E:$E,"PSO",'capacity data'!$B:$B,P97),"")</f>
        <v/>
      </c>
      <c r="U97" s="231" t="str">
        <f>IFERROR(SUMIFS('capacity data'!$L:$L,'capacity data'!$B:$B,P97,'capacity data'!$E:$E,"TPO")/SUMIFS('capacity data'!$G:$G,'capacity data'!$E:$E,"TPO",'capacity data'!$B:$B,P97),"")</f>
        <v/>
      </c>
    </row>
    <row r="98" spans="6:21" ht="16" x14ac:dyDescent="0.2">
      <c r="F98"/>
      <c r="M98"/>
      <c r="O98" s="24" t="s">
        <v>30</v>
      </c>
      <c r="P98" t="s">
        <v>162</v>
      </c>
      <c r="Q98" s="230" t="str">
        <f>IFERROR(SUM((SUMIFS('capacity data'!$G:$G,'capacity data'!$E:$E,"PO",'capacity data'!$B:$B,P98))-SUMIFS('capacity data'!$H:$H,'capacity data'!$E:$E,"PO",'capacity data'!$B:$B,P98))/SUMIFS('capacity data'!$G:$G,'capacity data'!$E:$E,"PO",'capacity data'!$B:$B,P98),"")</f>
        <v/>
      </c>
      <c r="R98" s="230" t="str">
        <f>IFERROR(SUM((SUMIFS('capacity data'!$G:$G,'capacity data'!$E:$E,"PSO",'capacity data'!$B:$B,P98))-SUMIFS('capacity data'!$H:$H,'capacity data'!$E:$E,"PSO",'capacity data'!$B:$B,P98))/SUMIFS('capacity data'!$G:$G,'capacity data'!$E:$E,"PSO",'capacity data'!$B:$B,P98),"")</f>
        <v/>
      </c>
      <c r="S98" s="23" t="str">
        <f t="shared" si="1"/>
        <v/>
      </c>
      <c r="T98" s="231" t="str">
        <f>IFERROR(SUMIFS('capacity data'!$L:$L,'capacity data'!$B:$B,P98,'capacity data'!$E:$E,"PSO")/SUMIFS('capacity data'!$G:$G,'capacity data'!$E:$E,"PSO",'capacity data'!$B:$B,P98),"")</f>
        <v/>
      </c>
      <c r="U98" s="231" t="str">
        <f>IFERROR(SUMIFS('capacity data'!$L:$L,'capacity data'!$B:$B,P98,'capacity data'!$E:$E,"TPO")/SUMIFS('capacity data'!$G:$G,'capacity data'!$E:$E,"TPO",'capacity data'!$B:$B,P98),"")</f>
        <v/>
      </c>
    </row>
    <row r="99" spans="6:21" ht="16" x14ac:dyDescent="0.2">
      <c r="F99"/>
      <c r="M99"/>
      <c r="O99" s="24" t="s">
        <v>30</v>
      </c>
      <c r="P99" t="s">
        <v>186</v>
      </c>
      <c r="Q99" s="230" t="str">
        <f>IFERROR(SUM((SUMIFS('capacity data'!$G:$G,'capacity data'!$E:$E,"PO",'capacity data'!$B:$B,P99))-SUMIFS('capacity data'!$H:$H,'capacity data'!$E:$E,"PO",'capacity data'!$B:$B,P99))/SUMIFS('capacity data'!$G:$G,'capacity data'!$E:$E,"PO",'capacity data'!$B:$B,P99),"")</f>
        <v/>
      </c>
      <c r="R99" s="230" t="str">
        <f>IFERROR(SUM((SUMIFS('capacity data'!$G:$G,'capacity data'!$E:$E,"PSO",'capacity data'!$B:$B,P99))-SUMIFS('capacity data'!$H:$H,'capacity data'!$E:$E,"PSO",'capacity data'!$B:$B,P99))/SUMIFS('capacity data'!$G:$G,'capacity data'!$E:$E,"PSO",'capacity data'!$B:$B,P99),"")</f>
        <v/>
      </c>
      <c r="S99" s="23" t="str">
        <f t="shared" si="1"/>
        <v/>
      </c>
      <c r="T99" s="231" t="str">
        <f>IFERROR(SUMIFS('capacity data'!$L:$L,'capacity data'!$B:$B,P99,'capacity data'!$E:$E,"PSO")/SUMIFS('capacity data'!$G:$G,'capacity data'!$E:$E,"PSO",'capacity data'!$B:$B,P99),"")</f>
        <v/>
      </c>
      <c r="U99" s="231" t="str">
        <f>IFERROR(SUMIFS('capacity data'!$L:$L,'capacity data'!$B:$B,P99,'capacity data'!$E:$E,"TPO")/SUMIFS('capacity data'!$G:$G,'capacity data'!$E:$E,"TPO",'capacity data'!$B:$B,P99),"")</f>
        <v/>
      </c>
    </row>
    <row r="100" spans="6:21" ht="16" x14ac:dyDescent="0.2">
      <c r="F100"/>
      <c r="M100"/>
      <c r="O100" s="24" t="s">
        <v>30</v>
      </c>
      <c r="P100" t="s">
        <v>209</v>
      </c>
      <c r="Q100" s="230" t="str">
        <f>IFERROR(SUM((SUMIFS('capacity data'!$G:$G,'capacity data'!$E:$E,"PO",'capacity data'!$B:$B,P100))-SUMIFS('capacity data'!$H:$H,'capacity data'!$E:$E,"PO",'capacity data'!$B:$B,P100))/SUMIFS('capacity data'!$G:$G,'capacity data'!$E:$E,"PO",'capacity data'!$B:$B,P100),"")</f>
        <v/>
      </c>
      <c r="R100" s="230" t="str">
        <f>IFERROR(SUM((SUMIFS('capacity data'!$G:$G,'capacity data'!$E:$E,"PSO",'capacity data'!$B:$B,P100))-SUMIFS('capacity data'!$H:$H,'capacity data'!$E:$E,"PSO",'capacity data'!$B:$B,P100))/SUMIFS('capacity data'!$G:$G,'capacity data'!$E:$E,"PSO",'capacity data'!$B:$B,P100),"")</f>
        <v/>
      </c>
      <c r="S100" s="23" t="str">
        <f t="shared" si="1"/>
        <v/>
      </c>
      <c r="T100" s="231" t="str">
        <f>IFERROR(SUMIFS('capacity data'!$L:$L,'capacity data'!$B:$B,P100,'capacity data'!$E:$E,"PSO")/SUMIFS('capacity data'!$G:$G,'capacity data'!$E:$E,"PSO",'capacity data'!$B:$B,P100),"")</f>
        <v/>
      </c>
      <c r="U100" s="231" t="str">
        <f>IFERROR(SUMIFS('capacity data'!$L:$L,'capacity data'!$B:$B,P100,'capacity data'!$E:$E,"TPO")/SUMIFS('capacity data'!$G:$G,'capacity data'!$E:$E,"TPO",'capacity data'!$B:$B,P100),"")</f>
        <v/>
      </c>
    </row>
    <row r="101" spans="6:21" ht="16" x14ac:dyDescent="0.2">
      <c r="F101"/>
      <c r="M101"/>
      <c r="O101" s="24" t="s">
        <v>30</v>
      </c>
      <c r="P101" t="s">
        <v>231</v>
      </c>
      <c r="Q101" s="230" t="str">
        <f>IFERROR(SUM((SUMIFS('capacity data'!$G:$G,'capacity data'!$E:$E,"PO",'capacity data'!$B:$B,P101))-SUMIFS('capacity data'!$H:$H,'capacity data'!$E:$E,"PO",'capacity data'!$B:$B,P101))/SUMIFS('capacity data'!$G:$G,'capacity data'!$E:$E,"PO",'capacity data'!$B:$B,P101),"")</f>
        <v/>
      </c>
      <c r="R101" s="230" t="str">
        <f>IFERROR(SUM((SUMIFS('capacity data'!$G:$G,'capacity data'!$E:$E,"PSO",'capacity data'!$B:$B,P101))-SUMIFS('capacity data'!$H:$H,'capacity data'!$E:$E,"PSO",'capacity data'!$B:$B,P101))/SUMIFS('capacity data'!$G:$G,'capacity data'!$E:$E,"PSO",'capacity data'!$B:$B,P101),"")</f>
        <v/>
      </c>
      <c r="S101" s="23" t="str">
        <f t="shared" si="1"/>
        <v/>
      </c>
      <c r="T101" s="231" t="str">
        <f>IFERROR(SUMIFS('capacity data'!$L:$L,'capacity data'!$B:$B,P101,'capacity data'!$E:$E,"PSO")/SUMIFS('capacity data'!$G:$G,'capacity data'!$E:$E,"PSO",'capacity data'!$B:$B,P101),"")</f>
        <v/>
      </c>
      <c r="U101" s="231" t="str">
        <f>IFERROR(SUMIFS('capacity data'!$L:$L,'capacity data'!$B:$B,P101,'capacity data'!$E:$E,"TPO")/SUMIFS('capacity data'!$G:$G,'capacity data'!$E:$E,"TPO",'capacity data'!$B:$B,P101),"")</f>
        <v/>
      </c>
    </row>
    <row r="102" spans="6:21" ht="16" x14ac:dyDescent="0.2">
      <c r="F102"/>
      <c r="M102"/>
      <c r="O102" s="24" t="s">
        <v>31</v>
      </c>
      <c r="P102" t="s">
        <v>43</v>
      </c>
      <c r="Q102" s="230" t="str">
        <f>IFERROR(SUM((SUMIFS('capacity data'!$G:$G,'capacity data'!$E:$E,"PO",'capacity data'!$B:$B,P102))-SUMIFS('capacity data'!$H:$H,'capacity data'!$E:$E,"PO",'capacity data'!$B:$B,P102))/SUMIFS('capacity data'!$G:$G,'capacity data'!$E:$E,"PO",'capacity data'!$B:$B,P102),"")</f>
        <v/>
      </c>
      <c r="R102" s="230" t="str">
        <f>IFERROR(SUM((SUMIFS('capacity data'!$G:$G,'capacity data'!$E:$E,"PSO",'capacity data'!$B:$B,P102))-SUMIFS('capacity data'!$H:$H,'capacity data'!$E:$E,"PSO",'capacity data'!$B:$B,P102))/SUMIFS('capacity data'!$G:$G,'capacity data'!$E:$E,"PSO",'capacity data'!$B:$B,P102),"")</f>
        <v/>
      </c>
      <c r="S102" s="23" t="str">
        <f t="shared" si="1"/>
        <v/>
      </c>
      <c r="T102" s="231" t="str">
        <f>IFERROR(SUMIFS('capacity data'!$L:$L,'capacity data'!$B:$B,P102,'capacity data'!$E:$E,"PSO")/SUMIFS('capacity data'!$G:$G,'capacity data'!$E:$E,"PSO",'capacity data'!$B:$B,P102),"")</f>
        <v/>
      </c>
      <c r="U102" s="231" t="str">
        <f>IFERROR(SUMIFS('capacity data'!$L:$L,'capacity data'!$B:$B,P102,'capacity data'!$E:$E,"TPO")/SUMIFS('capacity data'!$G:$G,'capacity data'!$E:$E,"TPO",'capacity data'!$B:$B,P102),"")</f>
        <v/>
      </c>
    </row>
    <row r="103" spans="6:21" ht="16" x14ac:dyDescent="0.2">
      <c r="F103"/>
      <c r="M103"/>
      <c r="O103" s="24" t="s">
        <v>31</v>
      </c>
      <c r="P103" t="s">
        <v>67</v>
      </c>
      <c r="Q103" s="230" t="str">
        <f>IFERROR(SUM((SUMIFS('capacity data'!$G:$G,'capacity data'!$E:$E,"PO",'capacity data'!$B:$B,P103))-SUMIFS('capacity data'!$H:$H,'capacity data'!$E:$E,"PO",'capacity data'!$B:$B,P103))/SUMIFS('capacity data'!$G:$G,'capacity data'!$E:$E,"PO",'capacity data'!$B:$B,P103),"")</f>
        <v/>
      </c>
      <c r="R103" s="230" t="str">
        <f>IFERROR(SUM((SUMIFS('capacity data'!$G:$G,'capacity data'!$E:$E,"PSO",'capacity data'!$B:$B,P103))-SUMIFS('capacity data'!$H:$H,'capacity data'!$E:$E,"PSO",'capacity data'!$B:$B,P103))/SUMIFS('capacity data'!$G:$G,'capacity data'!$E:$E,"PSO",'capacity data'!$B:$B,P103),"")</f>
        <v/>
      </c>
      <c r="S103" s="23" t="str">
        <f t="shared" si="1"/>
        <v/>
      </c>
      <c r="T103" s="231" t="str">
        <f>IFERROR(SUMIFS('capacity data'!$L:$L,'capacity data'!$B:$B,P103,'capacity data'!$E:$E,"PSO")/SUMIFS('capacity data'!$G:$G,'capacity data'!$E:$E,"PSO",'capacity data'!$B:$B,P103),"")</f>
        <v/>
      </c>
      <c r="U103" s="231" t="str">
        <f>IFERROR(SUMIFS('capacity data'!$L:$L,'capacity data'!$B:$B,P103,'capacity data'!$E:$E,"TPO")/SUMIFS('capacity data'!$G:$G,'capacity data'!$E:$E,"TPO",'capacity data'!$B:$B,P103),"")</f>
        <v/>
      </c>
    </row>
    <row r="104" spans="6:21" ht="16" x14ac:dyDescent="0.2">
      <c r="F104"/>
      <c r="M104"/>
      <c r="O104" s="24" t="s">
        <v>31</v>
      </c>
      <c r="P104" t="s">
        <v>91</v>
      </c>
      <c r="Q104" s="230" t="str">
        <f>IFERROR(SUM((SUMIFS('capacity data'!$G:$G,'capacity data'!$E:$E,"PO",'capacity data'!$B:$B,P104))-SUMIFS('capacity data'!$H:$H,'capacity data'!$E:$E,"PO",'capacity data'!$B:$B,P104))/SUMIFS('capacity data'!$G:$G,'capacity data'!$E:$E,"PO",'capacity data'!$B:$B,P104),"")</f>
        <v/>
      </c>
      <c r="R104" s="230" t="str">
        <f>IFERROR(SUM((SUMIFS('capacity data'!$G:$G,'capacity data'!$E:$E,"PSO",'capacity data'!$B:$B,P104))-SUMIFS('capacity data'!$H:$H,'capacity data'!$E:$E,"PSO",'capacity data'!$B:$B,P104))/SUMIFS('capacity data'!$G:$G,'capacity data'!$E:$E,"PSO",'capacity data'!$B:$B,P104),"")</f>
        <v/>
      </c>
      <c r="S104" s="23" t="str">
        <f t="shared" si="1"/>
        <v/>
      </c>
      <c r="T104" s="231" t="str">
        <f>IFERROR(SUMIFS('capacity data'!$L:$L,'capacity data'!$B:$B,P104,'capacity data'!$E:$E,"PSO")/SUMIFS('capacity data'!$G:$G,'capacity data'!$E:$E,"PSO",'capacity data'!$B:$B,P104),"")</f>
        <v/>
      </c>
      <c r="U104" s="231" t="str">
        <f>IFERROR(SUMIFS('capacity data'!$L:$L,'capacity data'!$B:$B,P104,'capacity data'!$E:$E,"TPO")/SUMIFS('capacity data'!$G:$G,'capacity data'!$E:$E,"TPO",'capacity data'!$B:$B,P104),"")</f>
        <v/>
      </c>
    </row>
    <row r="105" spans="6:21" ht="16" x14ac:dyDescent="0.2">
      <c r="F105"/>
      <c r="M105"/>
      <c r="O105" s="24" t="s">
        <v>31</v>
      </c>
      <c r="P105" t="s">
        <v>115</v>
      </c>
      <c r="Q105" s="230" t="str">
        <f>IFERROR(SUM((SUMIFS('capacity data'!$G:$G,'capacity data'!$E:$E,"PO",'capacity data'!$B:$B,P105))-SUMIFS('capacity data'!$H:$H,'capacity data'!$E:$E,"PO",'capacity data'!$B:$B,P105))/SUMIFS('capacity data'!$G:$G,'capacity data'!$E:$E,"PO",'capacity data'!$B:$B,P105),"")</f>
        <v/>
      </c>
      <c r="R105" s="230" t="str">
        <f>IFERROR(SUM((SUMIFS('capacity data'!$G:$G,'capacity data'!$E:$E,"PSO",'capacity data'!$B:$B,P105))-SUMIFS('capacity data'!$H:$H,'capacity data'!$E:$E,"PSO",'capacity data'!$B:$B,P105))/SUMIFS('capacity data'!$G:$G,'capacity data'!$E:$E,"PSO",'capacity data'!$B:$B,P105),"")</f>
        <v/>
      </c>
      <c r="S105" s="23" t="str">
        <f t="shared" si="1"/>
        <v/>
      </c>
      <c r="T105" s="231" t="str">
        <f>IFERROR(SUMIFS('capacity data'!$L:$L,'capacity data'!$B:$B,P105,'capacity data'!$E:$E,"PSO")/SUMIFS('capacity data'!$G:$G,'capacity data'!$E:$E,"PSO",'capacity data'!$B:$B,P105),"")</f>
        <v/>
      </c>
      <c r="U105" s="231" t="str">
        <f>IFERROR(SUMIFS('capacity data'!$L:$L,'capacity data'!$B:$B,P105,'capacity data'!$E:$E,"TPO")/SUMIFS('capacity data'!$G:$G,'capacity data'!$E:$E,"TPO",'capacity data'!$B:$B,P105),"")</f>
        <v/>
      </c>
    </row>
    <row r="106" spans="6:21" ht="16" x14ac:dyDescent="0.2">
      <c r="F106"/>
      <c r="M106"/>
      <c r="O106" s="24" t="s">
        <v>31</v>
      </c>
      <c r="P106" t="s">
        <v>139</v>
      </c>
      <c r="Q106" s="230" t="str">
        <f>IFERROR(SUM((SUMIFS('capacity data'!$G:$G,'capacity data'!$E:$E,"PO",'capacity data'!$B:$B,P106))-SUMIFS('capacity data'!$H:$H,'capacity data'!$E:$E,"PO",'capacity data'!$B:$B,P106))/SUMIFS('capacity data'!$G:$G,'capacity data'!$E:$E,"PO",'capacity data'!$B:$B,P106),"")</f>
        <v/>
      </c>
      <c r="R106" s="230" t="str">
        <f>IFERROR(SUM((SUMIFS('capacity data'!$G:$G,'capacity data'!$E:$E,"PSO",'capacity data'!$B:$B,P106))-SUMIFS('capacity data'!$H:$H,'capacity data'!$E:$E,"PSO",'capacity data'!$B:$B,P106))/SUMIFS('capacity data'!$G:$G,'capacity data'!$E:$E,"PSO",'capacity data'!$B:$B,P106),"")</f>
        <v/>
      </c>
      <c r="S106" s="23" t="str">
        <f t="shared" si="1"/>
        <v/>
      </c>
      <c r="T106" s="231" t="str">
        <f>IFERROR(SUMIFS('capacity data'!$L:$L,'capacity data'!$B:$B,P106,'capacity data'!$E:$E,"PSO")/SUMIFS('capacity data'!$G:$G,'capacity data'!$E:$E,"PSO",'capacity data'!$B:$B,P106),"")</f>
        <v/>
      </c>
      <c r="U106" s="231" t="str">
        <f>IFERROR(SUMIFS('capacity data'!$L:$L,'capacity data'!$B:$B,P106,'capacity data'!$E:$E,"TPO")/SUMIFS('capacity data'!$G:$G,'capacity data'!$E:$E,"TPO",'capacity data'!$B:$B,P106),"")</f>
        <v/>
      </c>
    </row>
    <row r="107" spans="6:21" ht="16" x14ac:dyDescent="0.2">
      <c r="F107"/>
      <c r="M107"/>
      <c r="O107" s="24" t="s">
        <v>31</v>
      </c>
      <c r="P107" t="s">
        <v>163</v>
      </c>
      <c r="Q107" s="230" t="str">
        <f>IFERROR(SUM((SUMIFS('capacity data'!$G:$G,'capacity data'!$E:$E,"PO",'capacity data'!$B:$B,P107))-SUMIFS('capacity data'!$H:$H,'capacity data'!$E:$E,"PO",'capacity data'!$B:$B,P107))/SUMIFS('capacity data'!$G:$G,'capacity data'!$E:$E,"PO",'capacity data'!$B:$B,P107),"")</f>
        <v/>
      </c>
      <c r="R107" s="230" t="str">
        <f>IFERROR(SUM((SUMIFS('capacity data'!$G:$G,'capacity data'!$E:$E,"PSO",'capacity data'!$B:$B,P107))-SUMIFS('capacity data'!$H:$H,'capacity data'!$E:$E,"PSO",'capacity data'!$B:$B,P107))/SUMIFS('capacity data'!$G:$G,'capacity data'!$E:$E,"PSO",'capacity data'!$B:$B,P107),"")</f>
        <v/>
      </c>
      <c r="S107" s="23" t="str">
        <f t="shared" si="1"/>
        <v/>
      </c>
      <c r="T107" s="231" t="str">
        <f>IFERROR(SUMIFS('capacity data'!$L:$L,'capacity data'!$B:$B,P107,'capacity data'!$E:$E,"PSO")/SUMIFS('capacity data'!$G:$G,'capacity data'!$E:$E,"PSO",'capacity data'!$B:$B,P107),"")</f>
        <v/>
      </c>
      <c r="U107" s="231" t="str">
        <f>IFERROR(SUMIFS('capacity data'!$L:$L,'capacity data'!$B:$B,P107,'capacity data'!$E:$E,"TPO")/SUMIFS('capacity data'!$G:$G,'capacity data'!$E:$E,"TPO",'capacity data'!$B:$B,P107),"")</f>
        <v/>
      </c>
    </row>
    <row r="108" spans="6:21" ht="16" x14ac:dyDescent="0.2">
      <c r="F108"/>
      <c r="M108"/>
      <c r="O108" s="24" t="s">
        <v>31</v>
      </c>
      <c r="P108" t="s">
        <v>187</v>
      </c>
      <c r="Q108" s="230" t="str">
        <f>IFERROR(SUM((SUMIFS('capacity data'!$G:$G,'capacity data'!$E:$E,"PO",'capacity data'!$B:$B,P108))-SUMIFS('capacity data'!$H:$H,'capacity data'!$E:$E,"PO",'capacity data'!$B:$B,P108))/SUMIFS('capacity data'!$G:$G,'capacity data'!$E:$E,"PO",'capacity data'!$B:$B,P108),"")</f>
        <v/>
      </c>
      <c r="R108" s="230" t="str">
        <f>IFERROR(SUM((SUMIFS('capacity data'!$G:$G,'capacity data'!$E:$E,"PSO",'capacity data'!$B:$B,P108))-SUMIFS('capacity data'!$H:$H,'capacity data'!$E:$E,"PSO",'capacity data'!$B:$B,P108))/SUMIFS('capacity data'!$G:$G,'capacity data'!$E:$E,"PSO",'capacity data'!$B:$B,P108),"")</f>
        <v/>
      </c>
      <c r="S108" s="23" t="str">
        <f t="shared" si="1"/>
        <v/>
      </c>
      <c r="T108" s="231" t="str">
        <f>IFERROR(SUMIFS('capacity data'!$L:$L,'capacity data'!$B:$B,P108,'capacity data'!$E:$E,"PSO")/SUMIFS('capacity data'!$G:$G,'capacity data'!$E:$E,"PSO",'capacity data'!$B:$B,P108),"")</f>
        <v/>
      </c>
      <c r="U108" s="231" t="str">
        <f>IFERROR(SUMIFS('capacity data'!$L:$L,'capacity data'!$B:$B,P108,'capacity data'!$E:$E,"TPO")/SUMIFS('capacity data'!$G:$G,'capacity data'!$E:$E,"TPO",'capacity data'!$B:$B,P108),"")</f>
        <v/>
      </c>
    </row>
    <row r="109" spans="6:21" ht="16" x14ac:dyDescent="0.2">
      <c r="F109"/>
      <c r="M109"/>
      <c r="O109" s="24" t="s">
        <v>31</v>
      </c>
      <c r="P109" t="s">
        <v>210</v>
      </c>
      <c r="Q109" s="230" t="str">
        <f>IFERROR(SUM((SUMIFS('capacity data'!$G:$G,'capacity data'!$E:$E,"PO",'capacity data'!$B:$B,P109))-SUMIFS('capacity data'!$H:$H,'capacity data'!$E:$E,"PO",'capacity data'!$B:$B,P109))/SUMIFS('capacity data'!$G:$G,'capacity data'!$E:$E,"PO",'capacity data'!$B:$B,P109),"")</f>
        <v/>
      </c>
      <c r="R109" s="230" t="str">
        <f>IFERROR(SUM((SUMIFS('capacity data'!$G:$G,'capacity data'!$E:$E,"PSO",'capacity data'!$B:$B,P109))-SUMIFS('capacity data'!$H:$H,'capacity data'!$E:$E,"PSO",'capacity data'!$B:$B,P109))/SUMIFS('capacity data'!$G:$G,'capacity data'!$E:$E,"PSO",'capacity data'!$B:$B,P109),"")</f>
        <v/>
      </c>
      <c r="S109" s="23" t="str">
        <f t="shared" si="1"/>
        <v/>
      </c>
      <c r="T109" s="231" t="str">
        <f>IFERROR(SUMIFS('capacity data'!$L:$L,'capacity data'!$B:$B,P109,'capacity data'!$E:$E,"PSO")/SUMIFS('capacity data'!$G:$G,'capacity data'!$E:$E,"PSO",'capacity data'!$B:$B,P109),"")</f>
        <v/>
      </c>
      <c r="U109" s="231" t="str">
        <f>IFERROR(SUMIFS('capacity data'!$L:$L,'capacity data'!$B:$B,P109,'capacity data'!$E:$E,"TPO")/SUMIFS('capacity data'!$G:$G,'capacity data'!$E:$E,"TPO",'capacity data'!$B:$B,P109),"")</f>
        <v/>
      </c>
    </row>
    <row r="110" spans="6:21" ht="16" x14ac:dyDescent="0.2">
      <c r="F110"/>
      <c r="M110"/>
      <c r="O110" s="24" t="s">
        <v>31</v>
      </c>
      <c r="P110" t="s">
        <v>232</v>
      </c>
      <c r="Q110" s="230" t="str">
        <f>IFERROR(SUM((SUMIFS('capacity data'!$G:$G,'capacity data'!$E:$E,"PO",'capacity data'!$B:$B,P110))-SUMIFS('capacity data'!$H:$H,'capacity data'!$E:$E,"PO",'capacity data'!$B:$B,P110))/SUMIFS('capacity data'!$G:$G,'capacity data'!$E:$E,"PO",'capacity data'!$B:$B,P110),"")</f>
        <v/>
      </c>
      <c r="R110" s="230" t="str">
        <f>IFERROR(SUM((SUMIFS('capacity data'!$G:$G,'capacity data'!$E:$E,"PSO",'capacity data'!$B:$B,P110))-SUMIFS('capacity data'!$H:$H,'capacity data'!$E:$E,"PSO",'capacity data'!$B:$B,P110))/SUMIFS('capacity data'!$G:$G,'capacity data'!$E:$E,"PSO",'capacity data'!$B:$B,P110),"")</f>
        <v/>
      </c>
      <c r="S110" s="23" t="str">
        <f t="shared" si="1"/>
        <v/>
      </c>
      <c r="T110" s="231" t="str">
        <f>IFERROR(SUMIFS('capacity data'!$L:$L,'capacity data'!$B:$B,P110,'capacity data'!$E:$E,"PSO")/SUMIFS('capacity data'!$G:$G,'capacity data'!$E:$E,"PSO",'capacity data'!$B:$B,P110),"")</f>
        <v/>
      </c>
      <c r="U110" s="231" t="str">
        <f>IFERROR(SUMIFS('capacity data'!$L:$L,'capacity data'!$B:$B,P110,'capacity data'!$E:$E,"TPO")/SUMIFS('capacity data'!$G:$G,'capacity data'!$E:$E,"TPO",'capacity data'!$B:$B,P110),"")</f>
        <v/>
      </c>
    </row>
    <row r="111" spans="6:21" ht="16" x14ac:dyDescent="0.2">
      <c r="F111"/>
      <c r="M111"/>
      <c r="O111" s="24" t="s">
        <v>31</v>
      </c>
      <c r="P111" t="s">
        <v>252</v>
      </c>
      <c r="Q111" s="230" t="str">
        <f>IFERROR(SUM((SUMIFS('capacity data'!$G:$G,'capacity data'!$E:$E,"PO",'capacity data'!$B:$B,P111))-SUMIFS('capacity data'!$H:$H,'capacity data'!$E:$E,"PO",'capacity data'!$B:$B,P111))/SUMIFS('capacity data'!$G:$G,'capacity data'!$E:$E,"PO",'capacity data'!$B:$B,P111),"")</f>
        <v/>
      </c>
      <c r="R111" s="230" t="str">
        <f>IFERROR(SUM((SUMIFS('capacity data'!$G:$G,'capacity data'!$E:$E,"PSO",'capacity data'!$B:$B,P111))-SUMIFS('capacity data'!$H:$H,'capacity data'!$E:$E,"PSO",'capacity data'!$B:$B,P111))/SUMIFS('capacity data'!$G:$G,'capacity data'!$E:$E,"PSO",'capacity data'!$B:$B,P111),"")</f>
        <v/>
      </c>
      <c r="S111" s="23" t="str">
        <f t="shared" si="1"/>
        <v/>
      </c>
      <c r="T111" s="231" t="str">
        <f>IFERROR(SUMIFS('capacity data'!$L:$L,'capacity data'!$B:$B,P111,'capacity data'!$E:$E,"PSO")/SUMIFS('capacity data'!$G:$G,'capacity data'!$E:$E,"PSO",'capacity data'!$B:$B,P111),"")</f>
        <v/>
      </c>
      <c r="U111" s="231" t="str">
        <f>IFERROR(SUMIFS('capacity data'!$L:$L,'capacity data'!$B:$B,P111,'capacity data'!$E:$E,"TPO")/SUMIFS('capacity data'!$G:$G,'capacity data'!$E:$E,"TPO",'capacity data'!$B:$B,P111),"")</f>
        <v/>
      </c>
    </row>
    <row r="112" spans="6:21" ht="16" x14ac:dyDescent="0.2">
      <c r="F112"/>
      <c r="M112"/>
      <c r="O112" s="24" t="s">
        <v>31</v>
      </c>
      <c r="P112" t="s">
        <v>272</v>
      </c>
      <c r="Q112" s="230" t="str">
        <f>IFERROR(SUM((SUMIFS('capacity data'!$G:$G,'capacity data'!$E:$E,"PO",'capacity data'!$B:$B,P112))-SUMIFS('capacity data'!$H:$H,'capacity data'!$E:$E,"PO",'capacity data'!$B:$B,P112))/SUMIFS('capacity data'!$G:$G,'capacity data'!$E:$E,"PO",'capacity data'!$B:$B,P112),"")</f>
        <v/>
      </c>
      <c r="R112" s="230" t="str">
        <f>IFERROR(SUM((SUMIFS('capacity data'!$G:$G,'capacity data'!$E:$E,"PSO",'capacity data'!$B:$B,P112))-SUMIFS('capacity data'!$H:$H,'capacity data'!$E:$E,"PSO",'capacity data'!$B:$B,P112))/SUMIFS('capacity data'!$G:$G,'capacity data'!$E:$E,"PSO",'capacity data'!$B:$B,P112),"")</f>
        <v/>
      </c>
      <c r="S112" s="23" t="str">
        <f t="shared" si="1"/>
        <v/>
      </c>
      <c r="T112" s="231" t="str">
        <f>IFERROR(SUMIFS('capacity data'!$L:$L,'capacity data'!$B:$B,P112,'capacity data'!$E:$E,"PSO")/SUMIFS('capacity data'!$G:$G,'capacity data'!$E:$E,"PSO",'capacity data'!$B:$B,P112),"")</f>
        <v/>
      </c>
      <c r="U112" s="231" t="str">
        <f>IFERROR(SUMIFS('capacity data'!$L:$L,'capacity data'!$B:$B,P112,'capacity data'!$E:$E,"TPO")/SUMIFS('capacity data'!$G:$G,'capacity data'!$E:$E,"TPO",'capacity data'!$B:$B,P112),"")</f>
        <v/>
      </c>
    </row>
    <row r="113" spans="6:21" ht="16" x14ac:dyDescent="0.2">
      <c r="F113"/>
      <c r="M113"/>
      <c r="O113" s="24" t="s">
        <v>31</v>
      </c>
      <c r="P113" t="s">
        <v>291</v>
      </c>
      <c r="Q113" s="230" t="str">
        <f>IFERROR(SUM((SUMIFS('capacity data'!$G:$G,'capacity data'!$E:$E,"PO",'capacity data'!$B:$B,P113))-SUMIFS('capacity data'!$H:$H,'capacity data'!$E:$E,"PO",'capacity data'!$B:$B,P113))/SUMIFS('capacity data'!$G:$G,'capacity data'!$E:$E,"PO",'capacity data'!$B:$B,P113),"")</f>
        <v/>
      </c>
      <c r="R113" s="230" t="str">
        <f>IFERROR(SUM((SUMIFS('capacity data'!$G:$G,'capacity data'!$E:$E,"PSO",'capacity data'!$B:$B,P113))-SUMIFS('capacity data'!$H:$H,'capacity data'!$E:$E,"PSO",'capacity data'!$B:$B,P113))/SUMIFS('capacity data'!$G:$G,'capacity data'!$E:$E,"PSO",'capacity data'!$B:$B,P113),"")</f>
        <v/>
      </c>
      <c r="S113" s="23" t="str">
        <f t="shared" si="1"/>
        <v/>
      </c>
      <c r="T113" s="231" t="str">
        <f>IFERROR(SUMIFS('capacity data'!$L:$L,'capacity data'!$B:$B,P113,'capacity data'!$E:$E,"PSO")/SUMIFS('capacity data'!$G:$G,'capacity data'!$E:$E,"PSO",'capacity data'!$B:$B,P113),"")</f>
        <v/>
      </c>
      <c r="U113" s="231" t="str">
        <f>IFERROR(SUMIFS('capacity data'!$L:$L,'capacity data'!$B:$B,P113,'capacity data'!$E:$E,"TPO")/SUMIFS('capacity data'!$G:$G,'capacity data'!$E:$E,"TPO",'capacity data'!$B:$B,P113),"")</f>
        <v/>
      </c>
    </row>
    <row r="114" spans="6:21" ht="16" x14ac:dyDescent="0.2">
      <c r="F114"/>
      <c r="M114"/>
      <c r="O114" s="24" t="s">
        <v>32</v>
      </c>
      <c r="P114" t="s">
        <v>44</v>
      </c>
      <c r="Q114" s="230" t="str">
        <f>IFERROR(SUM((SUMIFS('capacity data'!$G:$G,'capacity data'!$E:$E,"PO",'capacity data'!$B:$B,P114))-SUMIFS('capacity data'!$H:$H,'capacity data'!$E:$E,"PO",'capacity data'!$B:$B,P114))/SUMIFS('capacity data'!$G:$G,'capacity data'!$E:$E,"PO",'capacity data'!$B:$B,P114),"")</f>
        <v/>
      </c>
      <c r="R114" s="230" t="str">
        <f>IFERROR(SUM((SUMIFS('capacity data'!$G:$G,'capacity data'!$E:$E,"PSO",'capacity data'!$B:$B,P114))-SUMIFS('capacity data'!$H:$H,'capacity data'!$E:$E,"PSO",'capacity data'!$B:$B,P114))/SUMIFS('capacity data'!$G:$G,'capacity data'!$E:$E,"PSO",'capacity data'!$B:$B,P114),"")</f>
        <v/>
      </c>
      <c r="S114" s="23" t="str">
        <f t="shared" si="1"/>
        <v/>
      </c>
      <c r="T114" s="231" t="str">
        <f>IFERROR(SUMIFS('capacity data'!$L:$L,'capacity data'!$B:$B,P114,'capacity data'!$E:$E,"PSO")/SUMIFS('capacity data'!$G:$G,'capacity data'!$E:$E,"PSO",'capacity data'!$B:$B,P114),"")</f>
        <v/>
      </c>
      <c r="U114" s="231" t="str">
        <f>IFERROR(SUMIFS('capacity data'!$L:$L,'capacity data'!$B:$B,P114,'capacity data'!$E:$E,"TPO")/SUMIFS('capacity data'!$G:$G,'capacity data'!$E:$E,"TPO",'capacity data'!$B:$B,P114),"")</f>
        <v/>
      </c>
    </row>
    <row r="115" spans="6:21" ht="16" x14ac:dyDescent="0.2">
      <c r="F115"/>
      <c r="M115"/>
      <c r="O115" s="24" t="s">
        <v>32</v>
      </c>
      <c r="P115" t="s">
        <v>68</v>
      </c>
      <c r="Q115" s="230" t="str">
        <f>IFERROR(SUM((SUMIFS('capacity data'!$G:$G,'capacity data'!$E:$E,"PO",'capacity data'!$B:$B,P115))-SUMIFS('capacity data'!$H:$H,'capacity data'!$E:$E,"PO",'capacity data'!$B:$B,P115))/SUMIFS('capacity data'!$G:$G,'capacity data'!$E:$E,"PO",'capacity data'!$B:$B,P115),"")</f>
        <v/>
      </c>
      <c r="R115" s="230" t="str">
        <f>IFERROR(SUM((SUMIFS('capacity data'!$G:$G,'capacity data'!$E:$E,"PSO",'capacity data'!$B:$B,P115))-SUMIFS('capacity data'!$H:$H,'capacity data'!$E:$E,"PSO",'capacity data'!$B:$B,P115))/SUMIFS('capacity data'!$G:$G,'capacity data'!$E:$E,"PSO",'capacity data'!$B:$B,P115),"")</f>
        <v/>
      </c>
      <c r="S115" s="23" t="str">
        <f t="shared" si="1"/>
        <v/>
      </c>
      <c r="T115" s="231" t="str">
        <f>IFERROR(SUMIFS('capacity data'!$L:$L,'capacity data'!$B:$B,P115,'capacity data'!$E:$E,"PSO")/SUMIFS('capacity data'!$G:$G,'capacity data'!$E:$E,"PSO",'capacity data'!$B:$B,P115),"")</f>
        <v/>
      </c>
      <c r="U115" s="231" t="str">
        <f>IFERROR(SUMIFS('capacity data'!$L:$L,'capacity data'!$B:$B,P115,'capacity data'!$E:$E,"TPO")/SUMIFS('capacity data'!$G:$G,'capacity data'!$E:$E,"TPO",'capacity data'!$B:$B,P115),"")</f>
        <v/>
      </c>
    </row>
    <row r="116" spans="6:21" ht="16" x14ac:dyDescent="0.2">
      <c r="F116"/>
      <c r="M116"/>
      <c r="O116" s="24" t="s">
        <v>32</v>
      </c>
      <c r="P116" t="s">
        <v>92</v>
      </c>
      <c r="Q116" s="230" t="str">
        <f>IFERROR(SUM((SUMIFS('capacity data'!$G:$G,'capacity data'!$E:$E,"PO",'capacity data'!$B:$B,P116))-SUMIFS('capacity data'!$H:$H,'capacity data'!$E:$E,"PO",'capacity data'!$B:$B,P116))/SUMIFS('capacity data'!$G:$G,'capacity data'!$E:$E,"PO",'capacity data'!$B:$B,P116),"")</f>
        <v/>
      </c>
      <c r="R116" s="230" t="str">
        <f>IFERROR(SUM((SUMIFS('capacity data'!$G:$G,'capacity data'!$E:$E,"PSO",'capacity data'!$B:$B,P116))-SUMIFS('capacity data'!$H:$H,'capacity data'!$E:$E,"PSO",'capacity data'!$B:$B,P116))/SUMIFS('capacity data'!$G:$G,'capacity data'!$E:$E,"PSO",'capacity data'!$B:$B,P116),"")</f>
        <v/>
      </c>
      <c r="S116" s="23" t="str">
        <f t="shared" si="1"/>
        <v/>
      </c>
      <c r="T116" s="231" t="str">
        <f>IFERROR(SUMIFS('capacity data'!$L:$L,'capacity data'!$B:$B,P116,'capacity data'!$E:$E,"PSO")/SUMIFS('capacity data'!$G:$G,'capacity data'!$E:$E,"PSO",'capacity data'!$B:$B,P116),"")</f>
        <v/>
      </c>
      <c r="U116" s="231" t="str">
        <f>IFERROR(SUMIFS('capacity data'!$L:$L,'capacity data'!$B:$B,P116,'capacity data'!$E:$E,"TPO")/SUMIFS('capacity data'!$G:$G,'capacity data'!$E:$E,"TPO",'capacity data'!$B:$B,P116),"")</f>
        <v/>
      </c>
    </row>
    <row r="117" spans="6:21" ht="16" x14ac:dyDescent="0.2">
      <c r="F117"/>
      <c r="M117"/>
      <c r="O117" s="24" t="s">
        <v>32</v>
      </c>
      <c r="P117" t="s">
        <v>116</v>
      </c>
      <c r="Q117" s="230" t="str">
        <f>IFERROR(SUM((SUMIFS('capacity data'!$G:$G,'capacity data'!$E:$E,"PO",'capacity data'!$B:$B,P117))-SUMIFS('capacity data'!$H:$H,'capacity data'!$E:$E,"PO",'capacity data'!$B:$B,P117))/SUMIFS('capacity data'!$G:$G,'capacity data'!$E:$E,"PO",'capacity data'!$B:$B,P117),"")</f>
        <v/>
      </c>
      <c r="R117" s="230" t="str">
        <f>IFERROR(SUM((SUMIFS('capacity data'!$G:$G,'capacity data'!$E:$E,"PSO",'capacity data'!$B:$B,P117))-SUMIFS('capacity data'!$H:$H,'capacity data'!$E:$E,"PSO",'capacity data'!$B:$B,P117))/SUMIFS('capacity data'!$G:$G,'capacity data'!$E:$E,"PSO",'capacity data'!$B:$B,P117),"")</f>
        <v/>
      </c>
      <c r="S117" s="23" t="str">
        <f t="shared" si="1"/>
        <v/>
      </c>
      <c r="T117" s="231" t="str">
        <f>IFERROR(SUMIFS('capacity data'!$L:$L,'capacity data'!$B:$B,P117,'capacity data'!$E:$E,"PSO")/SUMIFS('capacity data'!$G:$G,'capacity data'!$E:$E,"PSO",'capacity data'!$B:$B,P117),"")</f>
        <v/>
      </c>
      <c r="U117" s="231" t="str">
        <f>IFERROR(SUMIFS('capacity data'!$L:$L,'capacity data'!$B:$B,P117,'capacity data'!$E:$E,"TPO")/SUMIFS('capacity data'!$G:$G,'capacity data'!$E:$E,"TPO",'capacity data'!$B:$B,P117),"")</f>
        <v/>
      </c>
    </row>
    <row r="118" spans="6:21" ht="16" x14ac:dyDescent="0.2">
      <c r="F118"/>
      <c r="M118"/>
      <c r="O118" s="24" t="s">
        <v>32</v>
      </c>
      <c r="P118" t="s">
        <v>140</v>
      </c>
      <c r="Q118" s="230" t="str">
        <f>IFERROR(SUM((SUMIFS('capacity data'!$G:$G,'capacity data'!$E:$E,"PO",'capacity data'!$B:$B,P118))-SUMIFS('capacity data'!$H:$H,'capacity data'!$E:$E,"PO",'capacity data'!$B:$B,P118))/SUMIFS('capacity data'!$G:$G,'capacity data'!$E:$E,"PO",'capacity data'!$B:$B,P118),"")</f>
        <v/>
      </c>
      <c r="R118" s="230" t="str">
        <f>IFERROR(SUM((SUMIFS('capacity data'!$G:$G,'capacity data'!$E:$E,"PSO",'capacity data'!$B:$B,P118))-SUMIFS('capacity data'!$H:$H,'capacity data'!$E:$E,"PSO",'capacity data'!$B:$B,P118))/SUMIFS('capacity data'!$G:$G,'capacity data'!$E:$E,"PSO",'capacity data'!$B:$B,P118),"")</f>
        <v/>
      </c>
      <c r="S118" s="23" t="str">
        <f t="shared" si="1"/>
        <v/>
      </c>
      <c r="T118" s="231" t="str">
        <f>IFERROR(SUMIFS('capacity data'!$L:$L,'capacity data'!$B:$B,P118,'capacity data'!$E:$E,"PSO")/SUMIFS('capacity data'!$G:$G,'capacity data'!$E:$E,"PSO",'capacity data'!$B:$B,P118),"")</f>
        <v/>
      </c>
      <c r="U118" s="231" t="str">
        <f>IFERROR(SUMIFS('capacity data'!$L:$L,'capacity data'!$B:$B,P118,'capacity data'!$E:$E,"TPO")/SUMIFS('capacity data'!$G:$G,'capacity data'!$E:$E,"TPO",'capacity data'!$B:$B,P118),"")</f>
        <v/>
      </c>
    </row>
    <row r="119" spans="6:21" ht="16" x14ac:dyDescent="0.2">
      <c r="F119"/>
      <c r="M119"/>
      <c r="O119" s="24" t="s">
        <v>32</v>
      </c>
      <c r="P119" t="s">
        <v>164</v>
      </c>
      <c r="Q119" s="230" t="str">
        <f>IFERROR(SUM((SUMIFS('capacity data'!$G:$G,'capacity data'!$E:$E,"PO",'capacity data'!$B:$B,P119))-SUMIFS('capacity data'!$H:$H,'capacity data'!$E:$E,"PO",'capacity data'!$B:$B,P119))/SUMIFS('capacity data'!$G:$G,'capacity data'!$E:$E,"PO",'capacity data'!$B:$B,P119),"")</f>
        <v/>
      </c>
      <c r="R119" s="230" t="str">
        <f>IFERROR(SUM((SUMIFS('capacity data'!$G:$G,'capacity data'!$E:$E,"PSO",'capacity data'!$B:$B,P119))-SUMIFS('capacity data'!$H:$H,'capacity data'!$E:$E,"PSO",'capacity data'!$B:$B,P119))/SUMIFS('capacity data'!$G:$G,'capacity data'!$E:$E,"PSO",'capacity data'!$B:$B,P119),"")</f>
        <v/>
      </c>
      <c r="S119" s="23" t="str">
        <f t="shared" si="1"/>
        <v/>
      </c>
      <c r="T119" s="231" t="str">
        <f>IFERROR(SUMIFS('capacity data'!$L:$L,'capacity data'!$B:$B,P119,'capacity data'!$E:$E,"PSO")/SUMIFS('capacity data'!$G:$G,'capacity data'!$E:$E,"PSO",'capacity data'!$B:$B,P119),"")</f>
        <v/>
      </c>
      <c r="U119" s="231" t="str">
        <f>IFERROR(SUMIFS('capacity data'!$L:$L,'capacity data'!$B:$B,P119,'capacity data'!$E:$E,"TPO")/SUMIFS('capacity data'!$G:$G,'capacity data'!$E:$E,"TPO",'capacity data'!$B:$B,P119),"")</f>
        <v/>
      </c>
    </row>
    <row r="120" spans="6:21" ht="16" x14ac:dyDescent="0.2">
      <c r="F120"/>
      <c r="M120"/>
      <c r="O120" s="24" t="s">
        <v>32</v>
      </c>
      <c r="P120" t="s">
        <v>188</v>
      </c>
      <c r="Q120" s="230" t="str">
        <f>IFERROR(SUM((SUMIFS('capacity data'!$G:$G,'capacity data'!$E:$E,"PO",'capacity data'!$B:$B,P120))-SUMIFS('capacity data'!$H:$H,'capacity data'!$E:$E,"PO",'capacity data'!$B:$B,P120))/SUMIFS('capacity data'!$G:$G,'capacity data'!$E:$E,"PO",'capacity data'!$B:$B,P120),"")</f>
        <v/>
      </c>
      <c r="R120" s="230" t="str">
        <f>IFERROR(SUM((SUMIFS('capacity data'!$G:$G,'capacity data'!$E:$E,"PSO",'capacity data'!$B:$B,P120))-SUMIFS('capacity data'!$H:$H,'capacity data'!$E:$E,"PSO",'capacity data'!$B:$B,P120))/SUMIFS('capacity data'!$G:$G,'capacity data'!$E:$E,"PSO",'capacity data'!$B:$B,P120),"")</f>
        <v/>
      </c>
      <c r="S120" s="23" t="str">
        <f t="shared" si="1"/>
        <v/>
      </c>
      <c r="T120" s="231" t="str">
        <f>IFERROR(SUMIFS('capacity data'!$L:$L,'capacity data'!$B:$B,P120,'capacity data'!$E:$E,"PSO")/SUMIFS('capacity data'!$G:$G,'capacity data'!$E:$E,"PSO",'capacity data'!$B:$B,P120),"")</f>
        <v/>
      </c>
      <c r="U120" s="231" t="str">
        <f>IFERROR(SUMIFS('capacity data'!$L:$L,'capacity data'!$B:$B,P120,'capacity data'!$E:$E,"TPO")/SUMIFS('capacity data'!$G:$G,'capacity data'!$E:$E,"TPO",'capacity data'!$B:$B,P120),"")</f>
        <v/>
      </c>
    </row>
    <row r="121" spans="6:21" ht="16" x14ac:dyDescent="0.2">
      <c r="F121"/>
      <c r="M121"/>
      <c r="O121" s="24" t="s">
        <v>32</v>
      </c>
      <c r="P121" t="s">
        <v>211</v>
      </c>
      <c r="Q121" s="230" t="str">
        <f>IFERROR(SUM((SUMIFS('capacity data'!$G:$G,'capacity data'!$E:$E,"PO",'capacity data'!$B:$B,P121))-SUMIFS('capacity data'!$H:$H,'capacity data'!$E:$E,"PO",'capacity data'!$B:$B,P121))/SUMIFS('capacity data'!$G:$G,'capacity data'!$E:$E,"PO",'capacity data'!$B:$B,P121),"")</f>
        <v/>
      </c>
      <c r="R121" s="230" t="str">
        <f>IFERROR(SUM((SUMIFS('capacity data'!$G:$G,'capacity data'!$E:$E,"PSO",'capacity data'!$B:$B,P121))-SUMIFS('capacity data'!$H:$H,'capacity data'!$E:$E,"PSO",'capacity data'!$B:$B,P121))/SUMIFS('capacity data'!$G:$G,'capacity data'!$E:$E,"PSO",'capacity data'!$B:$B,P121),"")</f>
        <v/>
      </c>
      <c r="S121" s="23" t="str">
        <f t="shared" si="1"/>
        <v/>
      </c>
      <c r="T121" s="231" t="str">
        <f>IFERROR(SUMIFS('capacity data'!$L:$L,'capacity data'!$B:$B,P121,'capacity data'!$E:$E,"PSO")/SUMIFS('capacity data'!$G:$G,'capacity data'!$E:$E,"PSO",'capacity data'!$B:$B,P121),"")</f>
        <v/>
      </c>
      <c r="U121" s="231" t="str">
        <f>IFERROR(SUMIFS('capacity data'!$L:$L,'capacity data'!$B:$B,P121,'capacity data'!$E:$E,"TPO")/SUMIFS('capacity data'!$G:$G,'capacity data'!$E:$E,"TPO",'capacity data'!$B:$B,P121),"")</f>
        <v/>
      </c>
    </row>
    <row r="122" spans="6:21" ht="16" x14ac:dyDescent="0.2">
      <c r="F122"/>
      <c r="M122"/>
      <c r="O122" s="24" t="s">
        <v>33</v>
      </c>
      <c r="P122" t="s">
        <v>45</v>
      </c>
      <c r="Q122" s="230" t="str">
        <f>IFERROR(SUM((SUMIFS('capacity data'!$G:$G,'capacity data'!$E:$E,"PO",'capacity data'!$B:$B,P122))-SUMIFS('capacity data'!$H:$H,'capacity data'!$E:$E,"PO",'capacity data'!$B:$B,P122))/SUMIFS('capacity data'!$G:$G,'capacity data'!$E:$E,"PO",'capacity data'!$B:$B,P122),"")</f>
        <v/>
      </c>
      <c r="R122" s="230" t="str">
        <f>IFERROR(SUM((SUMIFS('capacity data'!$G:$G,'capacity data'!$E:$E,"PSO",'capacity data'!$B:$B,P122))-SUMIFS('capacity data'!$H:$H,'capacity data'!$E:$E,"PSO",'capacity data'!$B:$B,P122))/SUMIFS('capacity data'!$G:$G,'capacity data'!$E:$E,"PSO",'capacity data'!$B:$B,P122),"")</f>
        <v/>
      </c>
      <c r="S122" s="23" t="str">
        <f t="shared" si="1"/>
        <v/>
      </c>
      <c r="T122" s="231" t="str">
        <f>IFERROR(SUMIFS('capacity data'!$L:$L,'capacity data'!$B:$B,P122,'capacity data'!$E:$E,"PSO")/SUMIFS('capacity data'!$G:$G,'capacity data'!$E:$E,"PSO",'capacity data'!$B:$B,P122),"")</f>
        <v/>
      </c>
      <c r="U122" s="231" t="str">
        <f>IFERROR(SUMIFS('capacity data'!$L:$L,'capacity data'!$B:$B,P122,'capacity data'!$E:$E,"TPO")/SUMIFS('capacity data'!$G:$G,'capacity data'!$E:$E,"TPO",'capacity data'!$B:$B,P122),"")</f>
        <v/>
      </c>
    </row>
    <row r="123" spans="6:21" ht="16" x14ac:dyDescent="0.2">
      <c r="F123"/>
      <c r="M123"/>
      <c r="O123" s="24" t="s">
        <v>33</v>
      </c>
      <c r="P123" t="s">
        <v>69</v>
      </c>
      <c r="Q123" s="230" t="str">
        <f>IFERROR(SUM((SUMIFS('capacity data'!$G:$G,'capacity data'!$E:$E,"PO",'capacity data'!$B:$B,P123))-SUMIFS('capacity data'!$H:$H,'capacity data'!$E:$E,"PO",'capacity data'!$B:$B,P123))/SUMIFS('capacity data'!$G:$G,'capacity data'!$E:$E,"PO",'capacity data'!$B:$B,P123),"")</f>
        <v/>
      </c>
      <c r="R123" s="230" t="str">
        <f>IFERROR(SUM((SUMIFS('capacity data'!$G:$G,'capacity data'!$E:$E,"PSO",'capacity data'!$B:$B,P123))-SUMIFS('capacity data'!$H:$H,'capacity data'!$E:$E,"PSO",'capacity data'!$B:$B,P123))/SUMIFS('capacity data'!$G:$G,'capacity data'!$E:$E,"PSO",'capacity data'!$B:$B,P123),"")</f>
        <v/>
      </c>
      <c r="S123" s="23" t="str">
        <f t="shared" si="1"/>
        <v/>
      </c>
      <c r="T123" s="231" t="str">
        <f>IFERROR(SUMIFS('capacity data'!$L:$L,'capacity data'!$B:$B,P123,'capacity data'!$E:$E,"PSO")/SUMIFS('capacity data'!$G:$G,'capacity data'!$E:$E,"PSO",'capacity data'!$B:$B,P123),"")</f>
        <v/>
      </c>
      <c r="U123" s="231" t="str">
        <f>IFERROR(SUMIFS('capacity data'!$L:$L,'capacity data'!$B:$B,P123,'capacity data'!$E:$E,"TPO")/SUMIFS('capacity data'!$G:$G,'capacity data'!$E:$E,"TPO",'capacity data'!$B:$B,P123),"")</f>
        <v/>
      </c>
    </row>
    <row r="124" spans="6:21" ht="16" x14ac:dyDescent="0.2">
      <c r="F124"/>
      <c r="M124"/>
      <c r="O124" s="24" t="s">
        <v>33</v>
      </c>
      <c r="P124" t="s">
        <v>93</v>
      </c>
      <c r="Q124" s="230" t="str">
        <f>IFERROR(SUM((SUMIFS('capacity data'!$G:$G,'capacity data'!$E:$E,"PO",'capacity data'!$B:$B,P124))-SUMIFS('capacity data'!$H:$H,'capacity data'!$E:$E,"PO",'capacity data'!$B:$B,P124))/SUMIFS('capacity data'!$G:$G,'capacity data'!$E:$E,"PO",'capacity data'!$B:$B,P124),"")</f>
        <v/>
      </c>
      <c r="R124" s="230" t="str">
        <f>IFERROR(SUM((SUMIFS('capacity data'!$G:$G,'capacity data'!$E:$E,"PSO",'capacity data'!$B:$B,P124))-SUMIFS('capacity data'!$H:$H,'capacity data'!$E:$E,"PSO",'capacity data'!$B:$B,P124))/SUMIFS('capacity data'!$G:$G,'capacity data'!$E:$E,"PSO",'capacity data'!$B:$B,P124),"")</f>
        <v/>
      </c>
      <c r="S124" s="23" t="str">
        <f t="shared" si="1"/>
        <v/>
      </c>
      <c r="T124" s="231" t="str">
        <f>IFERROR(SUMIFS('capacity data'!$L:$L,'capacity data'!$B:$B,P124,'capacity data'!$E:$E,"PSO")/SUMIFS('capacity data'!$G:$G,'capacity data'!$E:$E,"PSO",'capacity data'!$B:$B,P124),"")</f>
        <v/>
      </c>
      <c r="U124" s="231" t="str">
        <f>IFERROR(SUMIFS('capacity data'!$L:$L,'capacity data'!$B:$B,P124,'capacity data'!$E:$E,"TPO")/SUMIFS('capacity data'!$G:$G,'capacity data'!$E:$E,"TPO",'capacity data'!$B:$B,P124),"")</f>
        <v/>
      </c>
    </row>
    <row r="125" spans="6:21" ht="16" x14ac:dyDescent="0.2">
      <c r="F125"/>
      <c r="M125"/>
      <c r="O125" s="24" t="s">
        <v>33</v>
      </c>
      <c r="P125" t="s">
        <v>117</v>
      </c>
      <c r="Q125" s="230" t="str">
        <f>IFERROR(SUM((SUMIFS('capacity data'!$G:$G,'capacity data'!$E:$E,"PO",'capacity data'!$B:$B,P125))-SUMIFS('capacity data'!$H:$H,'capacity data'!$E:$E,"PO",'capacity data'!$B:$B,P125))/SUMIFS('capacity data'!$G:$G,'capacity data'!$E:$E,"PO",'capacity data'!$B:$B,P125),"")</f>
        <v/>
      </c>
      <c r="R125" s="230" t="str">
        <f>IFERROR(SUM((SUMIFS('capacity data'!$G:$G,'capacity data'!$E:$E,"PSO",'capacity data'!$B:$B,P125))-SUMIFS('capacity data'!$H:$H,'capacity data'!$E:$E,"PSO",'capacity data'!$B:$B,P125))/SUMIFS('capacity data'!$G:$G,'capacity data'!$E:$E,"PSO",'capacity data'!$B:$B,P125),"")</f>
        <v/>
      </c>
      <c r="S125" s="23" t="str">
        <f t="shared" si="1"/>
        <v/>
      </c>
      <c r="T125" s="231" t="str">
        <f>IFERROR(SUMIFS('capacity data'!$L:$L,'capacity data'!$B:$B,P125,'capacity data'!$E:$E,"PSO")/SUMIFS('capacity data'!$G:$G,'capacity data'!$E:$E,"PSO",'capacity data'!$B:$B,P125),"")</f>
        <v/>
      </c>
      <c r="U125" s="231" t="str">
        <f>IFERROR(SUMIFS('capacity data'!$L:$L,'capacity data'!$B:$B,P125,'capacity data'!$E:$E,"TPO")/SUMIFS('capacity data'!$G:$G,'capacity data'!$E:$E,"TPO",'capacity data'!$B:$B,P125),"")</f>
        <v/>
      </c>
    </row>
    <row r="126" spans="6:21" ht="16" x14ac:dyDescent="0.2">
      <c r="F126"/>
      <c r="M126"/>
      <c r="O126" s="24" t="s">
        <v>33</v>
      </c>
      <c r="P126" t="s">
        <v>141</v>
      </c>
      <c r="Q126" s="230" t="str">
        <f>IFERROR(SUM((SUMIFS('capacity data'!$G:$G,'capacity data'!$E:$E,"PO",'capacity data'!$B:$B,P126))-SUMIFS('capacity data'!$H:$H,'capacity data'!$E:$E,"PO",'capacity data'!$B:$B,P126))/SUMIFS('capacity data'!$G:$G,'capacity data'!$E:$E,"PO",'capacity data'!$B:$B,P126),"")</f>
        <v/>
      </c>
      <c r="R126" s="230" t="str">
        <f>IFERROR(SUM((SUMIFS('capacity data'!$G:$G,'capacity data'!$E:$E,"PSO",'capacity data'!$B:$B,P126))-SUMIFS('capacity data'!$H:$H,'capacity data'!$E:$E,"PSO",'capacity data'!$B:$B,P126))/SUMIFS('capacity data'!$G:$G,'capacity data'!$E:$E,"PSO",'capacity data'!$B:$B,P126),"")</f>
        <v/>
      </c>
      <c r="S126" s="23" t="str">
        <f t="shared" si="1"/>
        <v/>
      </c>
      <c r="T126" s="231" t="str">
        <f>IFERROR(SUMIFS('capacity data'!$L:$L,'capacity data'!$B:$B,P126,'capacity data'!$E:$E,"PSO")/SUMIFS('capacity data'!$G:$G,'capacity data'!$E:$E,"PSO",'capacity data'!$B:$B,P126),"")</f>
        <v/>
      </c>
      <c r="U126" s="231" t="str">
        <f>IFERROR(SUMIFS('capacity data'!$L:$L,'capacity data'!$B:$B,P126,'capacity data'!$E:$E,"TPO")/SUMIFS('capacity data'!$G:$G,'capacity data'!$E:$E,"TPO",'capacity data'!$B:$B,P126),"")</f>
        <v/>
      </c>
    </row>
    <row r="127" spans="6:21" ht="16" x14ac:dyDescent="0.2">
      <c r="F127"/>
      <c r="M127"/>
      <c r="O127" s="24" t="s">
        <v>33</v>
      </c>
      <c r="P127" t="s">
        <v>165</v>
      </c>
      <c r="Q127" s="230" t="str">
        <f>IFERROR(SUM((SUMIFS('capacity data'!$G:$G,'capacity data'!$E:$E,"PO",'capacity data'!$B:$B,P127))-SUMIFS('capacity data'!$H:$H,'capacity data'!$E:$E,"PO",'capacity data'!$B:$B,P127))/SUMIFS('capacity data'!$G:$G,'capacity data'!$E:$E,"PO",'capacity data'!$B:$B,P127),"")</f>
        <v/>
      </c>
      <c r="R127" s="230" t="str">
        <f>IFERROR(SUM((SUMIFS('capacity data'!$G:$G,'capacity data'!$E:$E,"PSO",'capacity data'!$B:$B,P127))-SUMIFS('capacity data'!$H:$H,'capacity data'!$E:$E,"PSO",'capacity data'!$B:$B,P127))/SUMIFS('capacity data'!$G:$G,'capacity data'!$E:$E,"PSO",'capacity data'!$B:$B,P127),"")</f>
        <v/>
      </c>
      <c r="S127" s="23" t="str">
        <f t="shared" si="1"/>
        <v/>
      </c>
      <c r="T127" s="231" t="str">
        <f>IFERROR(SUMIFS('capacity data'!$L:$L,'capacity data'!$B:$B,P127,'capacity data'!$E:$E,"PSO")/SUMIFS('capacity data'!$G:$G,'capacity data'!$E:$E,"PSO",'capacity data'!$B:$B,P127),"")</f>
        <v/>
      </c>
      <c r="U127" s="231" t="str">
        <f>IFERROR(SUMIFS('capacity data'!$L:$L,'capacity data'!$B:$B,P127,'capacity data'!$E:$E,"TPO")/SUMIFS('capacity data'!$G:$G,'capacity data'!$E:$E,"TPO",'capacity data'!$B:$B,P127),"")</f>
        <v/>
      </c>
    </row>
    <row r="128" spans="6:21" ht="16" x14ac:dyDescent="0.2">
      <c r="F128"/>
      <c r="M128"/>
      <c r="O128" s="24" t="s">
        <v>33</v>
      </c>
      <c r="P128" t="s">
        <v>189</v>
      </c>
      <c r="Q128" s="230" t="str">
        <f>IFERROR(SUM((SUMIFS('capacity data'!$G:$G,'capacity data'!$E:$E,"PO",'capacity data'!$B:$B,P128))-SUMIFS('capacity data'!$H:$H,'capacity data'!$E:$E,"PO",'capacity data'!$B:$B,P128))/SUMIFS('capacity data'!$G:$G,'capacity data'!$E:$E,"PO",'capacity data'!$B:$B,P128),"")</f>
        <v/>
      </c>
      <c r="R128" s="230" t="str">
        <f>IFERROR(SUM((SUMIFS('capacity data'!$G:$G,'capacity data'!$E:$E,"PSO",'capacity data'!$B:$B,P128))-SUMIFS('capacity data'!$H:$H,'capacity data'!$E:$E,"PSO",'capacity data'!$B:$B,P128))/SUMIFS('capacity data'!$G:$G,'capacity data'!$E:$E,"PSO",'capacity data'!$B:$B,P128),"")</f>
        <v/>
      </c>
      <c r="S128" s="23" t="str">
        <f t="shared" si="1"/>
        <v/>
      </c>
      <c r="T128" s="231" t="str">
        <f>IFERROR(SUMIFS('capacity data'!$L:$L,'capacity data'!$B:$B,P128,'capacity data'!$E:$E,"PSO")/SUMIFS('capacity data'!$G:$G,'capacity data'!$E:$E,"PSO",'capacity data'!$B:$B,P128),"")</f>
        <v/>
      </c>
      <c r="U128" s="231" t="str">
        <f>IFERROR(SUMIFS('capacity data'!$L:$L,'capacity data'!$B:$B,P128,'capacity data'!$E:$E,"TPO")/SUMIFS('capacity data'!$G:$G,'capacity data'!$E:$E,"TPO",'capacity data'!$B:$B,P128),"")</f>
        <v/>
      </c>
    </row>
    <row r="129" spans="6:21" ht="16" x14ac:dyDescent="0.2">
      <c r="F129"/>
      <c r="M129"/>
      <c r="O129" s="24" t="s">
        <v>33</v>
      </c>
      <c r="P129" t="s">
        <v>212</v>
      </c>
      <c r="Q129" s="230" t="str">
        <f>IFERROR(SUM((SUMIFS('capacity data'!$G:$G,'capacity data'!$E:$E,"PO",'capacity data'!$B:$B,P129))-SUMIFS('capacity data'!$H:$H,'capacity data'!$E:$E,"PO",'capacity data'!$B:$B,P129))/SUMIFS('capacity data'!$G:$G,'capacity data'!$E:$E,"PO",'capacity data'!$B:$B,P129),"")</f>
        <v/>
      </c>
      <c r="R129" s="230" t="str">
        <f>IFERROR(SUM((SUMIFS('capacity data'!$G:$G,'capacity data'!$E:$E,"PSO",'capacity data'!$B:$B,P129))-SUMIFS('capacity data'!$H:$H,'capacity data'!$E:$E,"PSO",'capacity data'!$B:$B,P129))/SUMIFS('capacity data'!$G:$G,'capacity data'!$E:$E,"PSO",'capacity data'!$B:$B,P129),"")</f>
        <v/>
      </c>
      <c r="S129" s="23" t="str">
        <f t="shared" si="1"/>
        <v/>
      </c>
      <c r="T129" s="231" t="str">
        <f>IFERROR(SUMIFS('capacity data'!$L:$L,'capacity data'!$B:$B,P129,'capacity data'!$E:$E,"PSO")/SUMIFS('capacity data'!$G:$G,'capacity data'!$E:$E,"PSO",'capacity data'!$B:$B,P129),"")</f>
        <v/>
      </c>
      <c r="U129" s="231" t="str">
        <f>IFERROR(SUMIFS('capacity data'!$L:$L,'capacity data'!$B:$B,P129,'capacity data'!$E:$E,"TPO")/SUMIFS('capacity data'!$G:$G,'capacity data'!$E:$E,"TPO",'capacity data'!$B:$B,P129),"")</f>
        <v/>
      </c>
    </row>
    <row r="130" spans="6:21" ht="16" x14ac:dyDescent="0.2">
      <c r="F130"/>
      <c r="M130"/>
      <c r="O130" s="24" t="s">
        <v>33</v>
      </c>
      <c r="P130" t="s">
        <v>233</v>
      </c>
      <c r="Q130" s="230" t="str">
        <f>IFERROR(SUM((SUMIFS('capacity data'!$G:$G,'capacity data'!$E:$E,"PO",'capacity data'!$B:$B,P130))-SUMIFS('capacity data'!$H:$H,'capacity data'!$E:$E,"PO",'capacity data'!$B:$B,P130))/SUMIFS('capacity data'!$G:$G,'capacity data'!$E:$E,"PO",'capacity data'!$B:$B,P130),"")</f>
        <v/>
      </c>
      <c r="R130" s="230" t="str">
        <f>IFERROR(SUM((SUMIFS('capacity data'!$G:$G,'capacity data'!$E:$E,"PSO",'capacity data'!$B:$B,P130))-SUMIFS('capacity data'!$H:$H,'capacity data'!$E:$E,"PSO",'capacity data'!$B:$B,P130))/SUMIFS('capacity data'!$G:$G,'capacity data'!$E:$E,"PSO",'capacity data'!$B:$B,P130),"")</f>
        <v/>
      </c>
      <c r="S130" s="23" t="str">
        <f t="shared" si="1"/>
        <v/>
      </c>
      <c r="T130" s="231" t="str">
        <f>IFERROR(SUMIFS('capacity data'!$L:$L,'capacity data'!$B:$B,P130,'capacity data'!$E:$E,"PSO")/SUMIFS('capacity data'!$G:$G,'capacity data'!$E:$E,"PSO",'capacity data'!$B:$B,P130),"")</f>
        <v/>
      </c>
      <c r="U130" s="231" t="str">
        <f>IFERROR(SUMIFS('capacity data'!$L:$L,'capacity data'!$B:$B,P130,'capacity data'!$E:$E,"TPO")/SUMIFS('capacity data'!$G:$G,'capacity data'!$E:$E,"TPO",'capacity data'!$B:$B,P130),"")</f>
        <v/>
      </c>
    </row>
    <row r="131" spans="6:21" ht="16" x14ac:dyDescent="0.2">
      <c r="F131"/>
      <c r="M131"/>
      <c r="O131" s="24" t="s">
        <v>33</v>
      </c>
      <c r="P131" t="s">
        <v>253</v>
      </c>
      <c r="Q131" s="230" t="str">
        <f>IFERROR(SUM((SUMIFS('capacity data'!$G:$G,'capacity data'!$E:$E,"PO",'capacity data'!$B:$B,P131))-SUMIFS('capacity data'!$H:$H,'capacity data'!$E:$E,"PO",'capacity data'!$B:$B,P131))/SUMIFS('capacity data'!$G:$G,'capacity data'!$E:$E,"PO",'capacity data'!$B:$B,P131),"")</f>
        <v/>
      </c>
      <c r="R131" s="230" t="str">
        <f>IFERROR(SUM((SUMIFS('capacity data'!$G:$G,'capacity data'!$E:$E,"PSO",'capacity data'!$B:$B,P131))-SUMIFS('capacity data'!$H:$H,'capacity data'!$E:$E,"PSO",'capacity data'!$B:$B,P131))/SUMIFS('capacity data'!$G:$G,'capacity data'!$E:$E,"PSO",'capacity data'!$B:$B,P131),"")</f>
        <v/>
      </c>
      <c r="S131" s="23" t="str">
        <f t="shared" ref="S131:S153" si="2">IFERROR((Q131-R131),"")</f>
        <v/>
      </c>
      <c r="T131" s="231" t="str">
        <f>IFERROR(SUMIFS('capacity data'!$L:$L,'capacity data'!$B:$B,P131,'capacity data'!$E:$E,"PSO")/SUMIFS('capacity data'!$G:$G,'capacity data'!$E:$E,"PSO",'capacity data'!$B:$B,P131),"")</f>
        <v/>
      </c>
      <c r="U131" s="231" t="str">
        <f>IFERROR(SUMIFS('capacity data'!$L:$L,'capacity data'!$B:$B,P131,'capacity data'!$E:$E,"TPO")/SUMIFS('capacity data'!$G:$G,'capacity data'!$E:$E,"TPO",'capacity data'!$B:$B,P131),"")</f>
        <v/>
      </c>
    </row>
    <row r="132" spans="6:21" ht="16" x14ac:dyDescent="0.2">
      <c r="F132"/>
      <c r="M132"/>
      <c r="O132" s="24" t="s">
        <v>33</v>
      </c>
      <c r="P132" t="s">
        <v>273</v>
      </c>
      <c r="Q132" s="230" t="str">
        <f>IFERROR(SUM((SUMIFS('capacity data'!$G:$G,'capacity data'!$E:$E,"PO",'capacity data'!$B:$B,P132))-SUMIFS('capacity data'!$H:$H,'capacity data'!$E:$E,"PO",'capacity data'!$B:$B,P132))/SUMIFS('capacity data'!$G:$G,'capacity data'!$E:$E,"PO",'capacity data'!$B:$B,P132),"")</f>
        <v/>
      </c>
      <c r="R132" s="230" t="str">
        <f>IFERROR(SUM((SUMIFS('capacity data'!$G:$G,'capacity data'!$E:$E,"PSO",'capacity data'!$B:$B,P132))-SUMIFS('capacity data'!$H:$H,'capacity data'!$E:$E,"PSO",'capacity data'!$B:$B,P132))/SUMIFS('capacity data'!$G:$G,'capacity data'!$E:$E,"PSO",'capacity data'!$B:$B,P132),"")</f>
        <v/>
      </c>
      <c r="S132" s="23" t="str">
        <f t="shared" si="2"/>
        <v/>
      </c>
      <c r="T132" s="231" t="str">
        <f>IFERROR(SUMIFS('capacity data'!$L:$L,'capacity data'!$B:$B,P132,'capacity data'!$E:$E,"PSO")/SUMIFS('capacity data'!$G:$G,'capacity data'!$E:$E,"PSO",'capacity data'!$B:$B,P132),"")</f>
        <v/>
      </c>
      <c r="U132" s="231" t="str">
        <f>IFERROR(SUMIFS('capacity data'!$L:$L,'capacity data'!$B:$B,P132,'capacity data'!$E:$E,"TPO")/SUMIFS('capacity data'!$G:$G,'capacity data'!$E:$E,"TPO",'capacity data'!$B:$B,P132),"")</f>
        <v/>
      </c>
    </row>
    <row r="133" spans="6:21" ht="16" x14ac:dyDescent="0.2">
      <c r="F133"/>
      <c r="M133"/>
      <c r="O133" s="24" t="s">
        <v>33</v>
      </c>
      <c r="P133" t="s">
        <v>292</v>
      </c>
      <c r="Q133" s="230" t="str">
        <f>IFERROR(SUM((SUMIFS('capacity data'!$G:$G,'capacity data'!$E:$E,"PO",'capacity data'!$B:$B,P133))-SUMIFS('capacity data'!$H:$H,'capacity data'!$E:$E,"PO",'capacity data'!$B:$B,P133))/SUMIFS('capacity data'!$G:$G,'capacity data'!$E:$E,"PO",'capacity data'!$B:$B,P133),"")</f>
        <v/>
      </c>
      <c r="R133" s="230" t="str">
        <f>IFERROR(SUM((SUMIFS('capacity data'!$G:$G,'capacity data'!$E:$E,"PSO",'capacity data'!$B:$B,P133))-SUMIFS('capacity data'!$H:$H,'capacity data'!$E:$E,"PSO",'capacity data'!$B:$B,P133))/SUMIFS('capacity data'!$G:$G,'capacity data'!$E:$E,"PSO",'capacity data'!$B:$B,P133),"")</f>
        <v/>
      </c>
      <c r="S133" s="23" t="str">
        <f t="shared" si="2"/>
        <v/>
      </c>
      <c r="T133" s="231" t="str">
        <f>IFERROR(SUMIFS('capacity data'!$L:$L,'capacity data'!$B:$B,P133,'capacity data'!$E:$E,"PSO")/SUMIFS('capacity data'!$G:$G,'capacity data'!$E:$E,"PSO",'capacity data'!$B:$B,P133),"")</f>
        <v/>
      </c>
      <c r="U133" s="231" t="str">
        <f>IFERROR(SUMIFS('capacity data'!$L:$L,'capacity data'!$B:$B,P133,'capacity data'!$E:$E,"TPO")/SUMIFS('capacity data'!$G:$G,'capacity data'!$E:$E,"TPO",'capacity data'!$B:$B,P133),"")</f>
        <v/>
      </c>
    </row>
    <row r="134" spans="6:21" ht="16" x14ac:dyDescent="0.2">
      <c r="F134"/>
      <c r="M134"/>
      <c r="O134" s="24" t="s">
        <v>34</v>
      </c>
      <c r="P134" t="s">
        <v>46</v>
      </c>
      <c r="Q134" s="230" t="str">
        <f>IFERROR(SUM((SUMIFS('capacity data'!$G:$G,'capacity data'!$E:$E,"PO",'capacity data'!$B:$B,P134))-SUMIFS('capacity data'!$H:$H,'capacity data'!$E:$E,"PO",'capacity data'!$B:$B,P134))/SUMIFS('capacity data'!$G:$G,'capacity data'!$E:$E,"PO",'capacity data'!$B:$B,P134),"")</f>
        <v/>
      </c>
      <c r="R134" s="230" t="str">
        <f>IFERROR(SUM((SUMIFS('capacity data'!$G:$G,'capacity data'!$E:$E,"PSO",'capacity data'!$B:$B,P134))-SUMIFS('capacity data'!$H:$H,'capacity data'!$E:$E,"PSO",'capacity data'!$B:$B,P134))/SUMIFS('capacity data'!$G:$G,'capacity data'!$E:$E,"PSO",'capacity data'!$B:$B,P134),"")</f>
        <v/>
      </c>
      <c r="S134" s="23" t="str">
        <f t="shared" si="2"/>
        <v/>
      </c>
      <c r="T134" s="231" t="str">
        <f>IFERROR(SUMIFS('capacity data'!$L:$L,'capacity data'!$B:$B,P134,'capacity data'!$E:$E,"PSO")/SUMIFS('capacity data'!$G:$G,'capacity data'!$E:$E,"PSO",'capacity data'!$B:$B,P134),"")</f>
        <v/>
      </c>
      <c r="U134" s="231" t="str">
        <f>IFERROR(SUMIFS('capacity data'!$L:$L,'capacity data'!$B:$B,P134,'capacity data'!$E:$E,"TPO")/SUMIFS('capacity data'!$G:$G,'capacity data'!$E:$E,"TPO",'capacity data'!$B:$B,P134),"")</f>
        <v/>
      </c>
    </row>
    <row r="135" spans="6:21" ht="16" x14ac:dyDescent="0.2">
      <c r="F135"/>
      <c r="M135"/>
      <c r="O135" s="24" t="s">
        <v>34</v>
      </c>
      <c r="P135" t="s">
        <v>1016</v>
      </c>
      <c r="Q135" s="230" t="str">
        <f>IFERROR(SUM((SUMIFS('capacity data'!$G:$G,'capacity data'!$E:$E,"PO",'capacity data'!$B:$B,P135))-SUMIFS('capacity data'!$H:$H,'capacity data'!$E:$E,"PO",'capacity data'!$B:$B,P135))/SUMIFS('capacity data'!$G:$G,'capacity data'!$E:$E,"PO",'capacity data'!$B:$B,P135),"")</f>
        <v/>
      </c>
      <c r="R135" s="230" t="str">
        <f>IFERROR(SUM((SUMIFS('capacity data'!$G:$G,'capacity data'!$E:$E,"PSO",'capacity data'!$B:$B,P135))-SUMIFS('capacity data'!$H:$H,'capacity data'!$E:$E,"PSO",'capacity data'!$B:$B,P135))/SUMIFS('capacity data'!$G:$G,'capacity data'!$E:$E,"PSO",'capacity data'!$B:$B,P135),"")</f>
        <v/>
      </c>
      <c r="S135" s="23" t="str">
        <f t="shared" si="2"/>
        <v/>
      </c>
      <c r="T135" s="231" t="str">
        <f>IFERROR(SUMIFS('capacity data'!$L:$L,'capacity data'!$B:$B,P135,'capacity data'!$E:$E,"PSO")/SUMIFS('capacity data'!$G:$G,'capacity data'!$E:$E,"PSO",'capacity data'!$B:$B,P135),"")</f>
        <v/>
      </c>
      <c r="U135" s="231" t="str">
        <f>IFERROR(SUMIFS('capacity data'!$L:$L,'capacity data'!$B:$B,P135,'capacity data'!$E:$E,"TPO")/SUMIFS('capacity data'!$G:$G,'capacity data'!$E:$E,"TPO",'capacity data'!$B:$B,P135),"")</f>
        <v/>
      </c>
    </row>
    <row r="136" spans="6:21" ht="16" x14ac:dyDescent="0.2">
      <c r="F136"/>
      <c r="M136"/>
      <c r="O136" s="24" t="s">
        <v>34</v>
      </c>
      <c r="P136" t="s">
        <v>70</v>
      </c>
      <c r="Q136" s="230" t="str">
        <f>IFERROR(SUM((SUMIFS('capacity data'!$G:$G,'capacity data'!$E:$E,"PO",'capacity data'!$B:$B,P136))-SUMIFS('capacity data'!$H:$H,'capacity data'!$E:$E,"PO",'capacity data'!$B:$B,P136))/SUMIFS('capacity data'!$G:$G,'capacity data'!$E:$E,"PO",'capacity data'!$B:$B,P136),"")</f>
        <v/>
      </c>
      <c r="R136" s="230" t="str">
        <f>IFERROR(SUM((SUMIFS('capacity data'!$G:$G,'capacity data'!$E:$E,"PSO",'capacity data'!$B:$B,P136))-SUMIFS('capacity data'!$H:$H,'capacity data'!$E:$E,"PSO",'capacity data'!$B:$B,P136))/SUMIFS('capacity data'!$G:$G,'capacity data'!$E:$E,"PSO",'capacity data'!$B:$B,P136),"")</f>
        <v/>
      </c>
      <c r="S136" s="23" t="str">
        <f t="shared" si="2"/>
        <v/>
      </c>
      <c r="T136" s="231" t="str">
        <f>IFERROR(SUMIFS('capacity data'!$L:$L,'capacity data'!$B:$B,P136,'capacity data'!$E:$E,"PSO")/SUMIFS('capacity data'!$G:$G,'capacity data'!$E:$E,"PSO",'capacity data'!$B:$B,P136),"")</f>
        <v/>
      </c>
      <c r="U136" s="231" t="str">
        <f>IFERROR(SUMIFS('capacity data'!$L:$L,'capacity data'!$B:$B,P136,'capacity data'!$E:$E,"TPO")/SUMIFS('capacity data'!$G:$G,'capacity data'!$E:$E,"TPO",'capacity data'!$B:$B,P136),"")</f>
        <v/>
      </c>
    </row>
    <row r="137" spans="6:21" ht="16" x14ac:dyDescent="0.2">
      <c r="F137"/>
      <c r="M137"/>
      <c r="O137" s="24" t="s">
        <v>34</v>
      </c>
      <c r="P137" t="s">
        <v>94</v>
      </c>
      <c r="Q137" s="230" t="str">
        <f>IFERROR(SUM((SUMIFS('capacity data'!$G:$G,'capacity data'!$E:$E,"PO",'capacity data'!$B:$B,P137))-SUMIFS('capacity data'!$H:$H,'capacity data'!$E:$E,"PO",'capacity data'!$B:$B,P137))/SUMIFS('capacity data'!$G:$G,'capacity data'!$E:$E,"PO",'capacity data'!$B:$B,P137),"")</f>
        <v/>
      </c>
      <c r="R137" s="230" t="str">
        <f>IFERROR(SUM((SUMIFS('capacity data'!$G:$G,'capacity data'!$E:$E,"PSO",'capacity data'!$B:$B,P137))-SUMIFS('capacity data'!$H:$H,'capacity data'!$E:$E,"PSO",'capacity data'!$B:$B,P137))/SUMIFS('capacity data'!$G:$G,'capacity data'!$E:$E,"PSO",'capacity data'!$B:$B,P137),"")</f>
        <v/>
      </c>
      <c r="S137" s="23" t="str">
        <f t="shared" si="2"/>
        <v/>
      </c>
      <c r="T137" s="231" t="str">
        <f>IFERROR(SUMIFS('capacity data'!$L:$L,'capacity data'!$B:$B,P137,'capacity data'!$E:$E,"PSO")/SUMIFS('capacity data'!$G:$G,'capacity data'!$E:$E,"PSO",'capacity data'!$B:$B,P137),"")</f>
        <v/>
      </c>
      <c r="U137" s="231" t="str">
        <f>IFERROR(SUMIFS('capacity data'!$L:$L,'capacity data'!$B:$B,P137,'capacity data'!$E:$E,"TPO")/SUMIFS('capacity data'!$G:$G,'capacity data'!$E:$E,"TPO",'capacity data'!$B:$B,P137),"")</f>
        <v/>
      </c>
    </row>
    <row r="138" spans="6:21" ht="16" x14ac:dyDescent="0.2">
      <c r="F138"/>
      <c r="M138"/>
      <c r="O138" s="24" t="s">
        <v>34</v>
      </c>
      <c r="P138" t="s">
        <v>118</v>
      </c>
      <c r="Q138" s="230" t="str">
        <f>IFERROR(SUM((SUMIFS('capacity data'!$G:$G,'capacity data'!$E:$E,"PO",'capacity data'!$B:$B,P138))-SUMIFS('capacity data'!$H:$H,'capacity data'!$E:$E,"PO",'capacity data'!$B:$B,P138))/SUMIFS('capacity data'!$G:$G,'capacity data'!$E:$E,"PO",'capacity data'!$B:$B,P138),"")</f>
        <v/>
      </c>
      <c r="R138" s="230" t="str">
        <f>IFERROR(SUM((SUMIFS('capacity data'!$G:$G,'capacity data'!$E:$E,"PSO",'capacity data'!$B:$B,P138))-SUMIFS('capacity data'!$H:$H,'capacity data'!$E:$E,"PSO",'capacity data'!$B:$B,P138))/SUMIFS('capacity data'!$G:$G,'capacity data'!$E:$E,"PSO",'capacity data'!$B:$B,P138),"")</f>
        <v/>
      </c>
      <c r="S138" s="23" t="str">
        <f t="shared" si="2"/>
        <v/>
      </c>
      <c r="T138" s="231" t="str">
        <f>IFERROR(SUMIFS('capacity data'!$L:$L,'capacity data'!$B:$B,P138,'capacity data'!$E:$E,"PSO")/SUMIFS('capacity data'!$G:$G,'capacity data'!$E:$E,"PSO",'capacity data'!$B:$B,P138),"")</f>
        <v/>
      </c>
      <c r="U138" s="231" t="str">
        <f>IFERROR(SUMIFS('capacity data'!$L:$L,'capacity data'!$B:$B,P138,'capacity data'!$E:$E,"TPO")/SUMIFS('capacity data'!$G:$G,'capacity data'!$E:$E,"TPO",'capacity data'!$B:$B,P138),"")</f>
        <v/>
      </c>
    </row>
    <row r="139" spans="6:21" ht="16" x14ac:dyDescent="0.2">
      <c r="F139"/>
      <c r="M139"/>
      <c r="O139" s="24" t="s">
        <v>34</v>
      </c>
      <c r="P139" t="s">
        <v>1017</v>
      </c>
      <c r="Q139" s="230" t="str">
        <f>IFERROR(SUM((SUMIFS('capacity data'!$G:$G,'capacity data'!$E:$E,"PO",'capacity data'!$B:$B,P139))-SUMIFS('capacity data'!$H:$H,'capacity data'!$E:$E,"PO",'capacity data'!$B:$B,P139))/SUMIFS('capacity data'!$G:$G,'capacity data'!$E:$E,"PO",'capacity data'!$B:$B,P139),"")</f>
        <v/>
      </c>
      <c r="R139" s="230" t="str">
        <f>IFERROR(SUM((SUMIFS('capacity data'!$G:$G,'capacity data'!$E:$E,"PSO",'capacity data'!$B:$B,P139))-SUMIFS('capacity data'!$H:$H,'capacity data'!$E:$E,"PSO",'capacity data'!$B:$B,P139))/SUMIFS('capacity data'!$G:$G,'capacity data'!$E:$E,"PSO",'capacity data'!$B:$B,P139),"")</f>
        <v/>
      </c>
      <c r="S139" s="23" t="str">
        <f t="shared" si="2"/>
        <v/>
      </c>
      <c r="T139" s="231" t="str">
        <f>IFERROR(SUMIFS('capacity data'!$L:$L,'capacity data'!$B:$B,P139,'capacity data'!$E:$E,"PSO")/SUMIFS('capacity data'!$G:$G,'capacity data'!$E:$E,"PSO",'capacity data'!$B:$B,P139),"")</f>
        <v/>
      </c>
      <c r="U139" s="231" t="str">
        <f>IFERROR(SUMIFS('capacity data'!$L:$L,'capacity data'!$B:$B,P139,'capacity data'!$E:$E,"TPO")/SUMIFS('capacity data'!$G:$G,'capacity data'!$E:$E,"TPO",'capacity data'!$B:$B,P139),"")</f>
        <v/>
      </c>
    </row>
    <row r="140" spans="6:21" ht="16" x14ac:dyDescent="0.2">
      <c r="F140"/>
      <c r="M140"/>
      <c r="O140" s="24" t="s">
        <v>34</v>
      </c>
      <c r="P140" t="s">
        <v>142</v>
      </c>
      <c r="Q140" s="230" t="str">
        <f>IFERROR(SUM((SUMIFS('capacity data'!$G:$G,'capacity data'!$E:$E,"PO",'capacity data'!$B:$B,P140))-SUMIFS('capacity data'!$H:$H,'capacity data'!$E:$E,"PO",'capacity data'!$B:$B,P140))/SUMIFS('capacity data'!$G:$G,'capacity data'!$E:$E,"PO",'capacity data'!$B:$B,P140),"")</f>
        <v/>
      </c>
      <c r="R140" s="230" t="str">
        <f>IFERROR(SUM((SUMIFS('capacity data'!$G:$G,'capacity data'!$E:$E,"PSO",'capacity data'!$B:$B,P140))-SUMIFS('capacity data'!$H:$H,'capacity data'!$E:$E,"PSO",'capacity data'!$B:$B,P140))/SUMIFS('capacity data'!$G:$G,'capacity data'!$E:$E,"PSO",'capacity data'!$B:$B,P140),"")</f>
        <v/>
      </c>
      <c r="S140" s="23" t="str">
        <f t="shared" si="2"/>
        <v/>
      </c>
      <c r="T140" s="231" t="str">
        <f>IFERROR(SUMIFS('capacity data'!$L:$L,'capacity data'!$B:$B,P140,'capacity data'!$E:$E,"PSO")/SUMIFS('capacity data'!$G:$G,'capacity data'!$E:$E,"PSO",'capacity data'!$B:$B,P140),"")</f>
        <v/>
      </c>
      <c r="U140" s="231" t="str">
        <f>IFERROR(SUMIFS('capacity data'!$L:$L,'capacity data'!$B:$B,P140,'capacity data'!$E:$E,"TPO")/SUMIFS('capacity data'!$G:$G,'capacity data'!$E:$E,"TPO",'capacity data'!$B:$B,P140),"")</f>
        <v/>
      </c>
    </row>
    <row r="141" spans="6:21" ht="16" x14ac:dyDescent="0.2">
      <c r="F141"/>
      <c r="M141"/>
      <c r="O141" s="24" t="s">
        <v>34</v>
      </c>
      <c r="P141" t="s">
        <v>166</v>
      </c>
      <c r="Q141" s="230" t="str">
        <f>IFERROR(SUM((SUMIFS('capacity data'!$G:$G,'capacity data'!$E:$E,"PO",'capacity data'!$B:$B,P141))-SUMIFS('capacity data'!$H:$H,'capacity data'!$E:$E,"PO",'capacity data'!$B:$B,P141))/SUMIFS('capacity data'!$G:$G,'capacity data'!$E:$E,"PO",'capacity data'!$B:$B,P141),"")</f>
        <v/>
      </c>
      <c r="R141" s="230" t="str">
        <f>IFERROR(SUM((SUMIFS('capacity data'!$G:$G,'capacity data'!$E:$E,"PSO",'capacity data'!$B:$B,P141))-SUMIFS('capacity data'!$H:$H,'capacity data'!$E:$E,"PSO",'capacity data'!$B:$B,P141))/SUMIFS('capacity data'!$G:$G,'capacity data'!$E:$E,"PSO",'capacity data'!$B:$B,P141),"")</f>
        <v/>
      </c>
      <c r="S141" s="23" t="str">
        <f t="shared" si="2"/>
        <v/>
      </c>
      <c r="T141" s="231" t="str">
        <f>IFERROR(SUMIFS('capacity data'!$L:$L,'capacity data'!$B:$B,P141,'capacity data'!$E:$E,"PSO")/SUMIFS('capacity data'!$G:$G,'capacity data'!$E:$E,"PSO",'capacity data'!$B:$B,P141),"")</f>
        <v/>
      </c>
      <c r="U141" s="231" t="str">
        <f>IFERROR(SUMIFS('capacity data'!$L:$L,'capacity data'!$B:$B,P141,'capacity data'!$E:$E,"TPO")/SUMIFS('capacity data'!$G:$G,'capacity data'!$E:$E,"TPO",'capacity data'!$B:$B,P141),"")</f>
        <v/>
      </c>
    </row>
    <row r="142" spans="6:21" ht="16" x14ac:dyDescent="0.2">
      <c r="F142"/>
      <c r="M142"/>
      <c r="O142" s="24" t="s">
        <v>34</v>
      </c>
      <c r="P142" t="s">
        <v>190</v>
      </c>
      <c r="Q142" s="230" t="str">
        <f>IFERROR(SUM((SUMIFS('capacity data'!$G:$G,'capacity data'!$E:$E,"PO",'capacity data'!$B:$B,P142))-SUMIFS('capacity data'!$H:$H,'capacity data'!$E:$E,"PO",'capacity data'!$B:$B,P142))/SUMIFS('capacity data'!$G:$G,'capacity data'!$E:$E,"PO",'capacity data'!$B:$B,P142),"")</f>
        <v/>
      </c>
      <c r="R142" s="230" t="str">
        <f>IFERROR(SUM((SUMIFS('capacity data'!$G:$G,'capacity data'!$E:$E,"PSO",'capacity data'!$B:$B,P142))-SUMIFS('capacity data'!$H:$H,'capacity data'!$E:$E,"PSO",'capacity data'!$B:$B,P142))/SUMIFS('capacity data'!$G:$G,'capacity data'!$E:$E,"PSO",'capacity data'!$B:$B,P142),"")</f>
        <v/>
      </c>
      <c r="S142" s="23" t="str">
        <f t="shared" si="2"/>
        <v/>
      </c>
      <c r="T142" s="231" t="str">
        <f>IFERROR(SUMIFS('capacity data'!$L:$L,'capacity data'!$B:$B,P142,'capacity data'!$E:$E,"PSO")/SUMIFS('capacity data'!$G:$G,'capacity data'!$E:$E,"PSO",'capacity data'!$B:$B,P142),"")</f>
        <v/>
      </c>
      <c r="U142" s="231" t="str">
        <f>IFERROR(SUMIFS('capacity data'!$L:$L,'capacity data'!$B:$B,P142,'capacity data'!$E:$E,"TPO")/SUMIFS('capacity data'!$G:$G,'capacity data'!$E:$E,"TPO",'capacity data'!$B:$B,P142),"")</f>
        <v/>
      </c>
    </row>
    <row r="143" spans="6:21" ht="16" x14ac:dyDescent="0.2">
      <c r="F143"/>
      <c r="M143"/>
      <c r="O143" s="24" t="s">
        <v>34</v>
      </c>
      <c r="P143" t="s">
        <v>213</v>
      </c>
      <c r="Q143" s="230" t="str">
        <f>IFERROR(SUM((SUMIFS('capacity data'!$G:$G,'capacity data'!$E:$E,"PO",'capacity data'!$B:$B,P143))-SUMIFS('capacity data'!$H:$H,'capacity data'!$E:$E,"PO",'capacity data'!$B:$B,P143))/SUMIFS('capacity data'!$G:$G,'capacity data'!$E:$E,"PO",'capacity data'!$B:$B,P143),"")</f>
        <v/>
      </c>
      <c r="R143" s="230" t="str">
        <f>IFERROR(SUM((SUMIFS('capacity data'!$G:$G,'capacity data'!$E:$E,"PSO",'capacity data'!$B:$B,P143))-SUMIFS('capacity data'!$H:$H,'capacity data'!$E:$E,"PSO",'capacity data'!$B:$B,P143))/SUMIFS('capacity data'!$G:$G,'capacity data'!$E:$E,"PSO",'capacity data'!$B:$B,P143),"")</f>
        <v/>
      </c>
      <c r="S143" s="23" t="str">
        <f t="shared" si="2"/>
        <v/>
      </c>
      <c r="T143" s="231" t="str">
        <f>IFERROR(SUMIFS('capacity data'!$L:$L,'capacity data'!$B:$B,P143,'capacity data'!$E:$E,"PSO")/SUMIFS('capacity data'!$G:$G,'capacity data'!$E:$E,"PSO",'capacity data'!$B:$B,P143),"")</f>
        <v/>
      </c>
      <c r="U143" s="231" t="str">
        <f>IFERROR(SUMIFS('capacity data'!$L:$L,'capacity data'!$B:$B,P143,'capacity data'!$E:$E,"TPO")/SUMIFS('capacity data'!$G:$G,'capacity data'!$E:$E,"TPO",'capacity data'!$B:$B,P143),"")</f>
        <v/>
      </c>
    </row>
    <row r="144" spans="6:21" ht="16" x14ac:dyDescent="0.2">
      <c r="F144"/>
      <c r="M144"/>
      <c r="O144" s="24" t="s">
        <v>34</v>
      </c>
      <c r="P144" t="s">
        <v>234</v>
      </c>
      <c r="Q144" s="230" t="str">
        <f>IFERROR(SUM((SUMIFS('capacity data'!$G:$G,'capacity data'!$E:$E,"PO",'capacity data'!$B:$B,P144))-SUMIFS('capacity data'!$H:$H,'capacity data'!$E:$E,"PO",'capacity data'!$B:$B,P144))/SUMIFS('capacity data'!$G:$G,'capacity data'!$E:$E,"PO",'capacity data'!$B:$B,P144),"")</f>
        <v/>
      </c>
      <c r="R144" s="230" t="str">
        <f>IFERROR(SUM((SUMIFS('capacity data'!$G:$G,'capacity data'!$E:$E,"PSO",'capacity data'!$B:$B,P144))-SUMIFS('capacity data'!$H:$H,'capacity data'!$E:$E,"PSO",'capacity data'!$B:$B,P144))/SUMIFS('capacity data'!$G:$G,'capacity data'!$E:$E,"PSO",'capacity data'!$B:$B,P144),"")</f>
        <v/>
      </c>
      <c r="S144" s="23" t="str">
        <f t="shared" si="2"/>
        <v/>
      </c>
      <c r="T144" s="231" t="str">
        <f>IFERROR(SUMIFS('capacity data'!$L:$L,'capacity data'!$B:$B,P144,'capacity data'!$E:$E,"PSO")/SUMIFS('capacity data'!$G:$G,'capacity data'!$E:$E,"PSO",'capacity data'!$B:$B,P144),"")</f>
        <v/>
      </c>
      <c r="U144" s="231" t="str">
        <f>IFERROR(SUMIFS('capacity data'!$L:$L,'capacity data'!$B:$B,P144,'capacity data'!$E:$E,"TPO")/SUMIFS('capacity data'!$G:$G,'capacity data'!$E:$E,"TPO",'capacity data'!$B:$B,P144),"")</f>
        <v/>
      </c>
    </row>
    <row r="145" spans="6:21" ht="16" x14ac:dyDescent="0.2">
      <c r="F145"/>
      <c r="M145"/>
      <c r="O145" s="24" t="s">
        <v>34</v>
      </c>
      <c r="P145" t="s">
        <v>254</v>
      </c>
      <c r="Q145" s="230" t="str">
        <f>IFERROR(SUM((SUMIFS('capacity data'!$G:$G,'capacity data'!$E:$E,"PO",'capacity data'!$B:$B,P145))-SUMIFS('capacity data'!$H:$H,'capacity data'!$E:$E,"PO",'capacity data'!$B:$B,P145))/SUMIFS('capacity data'!$G:$G,'capacity data'!$E:$E,"PO",'capacity data'!$B:$B,P145),"")</f>
        <v/>
      </c>
      <c r="R145" s="230" t="str">
        <f>IFERROR(SUM((SUMIFS('capacity data'!$G:$G,'capacity data'!$E:$E,"PSO",'capacity data'!$B:$B,P145))-SUMIFS('capacity data'!$H:$H,'capacity data'!$E:$E,"PSO",'capacity data'!$B:$B,P145))/SUMIFS('capacity data'!$G:$G,'capacity data'!$E:$E,"PSO",'capacity data'!$B:$B,P145),"")</f>
        <v/>
      </c>
      <c r="S145" s="23" t="str">
        <f t="shared" si="2"/>
        <v/>
      </c>
      <c r="T145" s="231" t="str">
        <f>IFERROR(SUMIFS('capacity data'!$L:$L,'capacity data'!$B:$B,P145,'capacity data'!$E:$E,"PSO")/SUMIFS('capacity data'!$G:$G,'capacity data'!$E:$E,"PSO",'capacity data'!$B:$B,P145),"")</f>
        <v/>
      </c>
      <c r="U145" s="231" t="str">
        <f>IFERROR(SUMIFS('capacity data'!$L:$L,'capacity data'!$B:$B,P145,'capacity data'!$E:$E,"TPO")/SUMIFS('capacity data'!$G:$G,'capacity data'!$E:$E,"TPO",'capacity data'!$B:$B,P145),"")</f>
        <v/>
      </c>
    </row>
    <row r="146" spans="6:21" ht="16" x14ac:dyDescent="0.2">
      <c r="F146"/>
      <c r="M146"/>
      <c r="O146" s="24" t="s">
        <v>34</v>
      </c>
      <c r="P146" t="s">
        <v>274</v>
      </c>
      <c r="Q146" s="230" t="str">
        <f>IFERROR(SUM((SUMIFS('capacity data'!$G:$G,'capacity data'!$E:$E,"PO",'capacity data'!$B:$B,P146))-SUMIFS('capacity data'!$H:$H,'capacity data'!$E:$E,"PO",'capacity data'!$B:$B,P146))/SUMIFS('capacity data'!$G:$G,'capacity data'!$E:$E,"PO",'capacity data'!$B:$B,P146),"")</f>
        <v/>
      </c>
      <c r="R146" s="230" t="str">
        <f>IFERROR(SUM((SUMIFS('capacity data'!$G:$G,'capacity data'!$E:$E,"PSO",'capacity data'!$B:$B,P146))-SUMIFS('capacity data'!$H:$H,'capacity data'!$E:$E,"PSO",'capacity data'!$B:$B,P146))/SUMIFS('capacity data'!$G:$G,'capacity data'!$E:$E,"PSO",'capacity data'!$B:$B,P146),"")</f>
        <v/>
      </c>
      <c r="S146" s="23" t="str">
        <f t="shared" si="2"/>
        <v/>
      </c>
      <c r="T146" s="231" t="str">
        <f>IFERROR(SUMIFS('capacity data'!$L:$L,'capacity data'!$B:$B,P146,'capacity data'!$E:$E,"PSO")/SUMIFS('capacity data'!$G:$G,'capacity data'!$E:$E,"PSO",'capacity data'!$B:$B,P146),"")</f>
        <v/>
      </c>
      <c r="U146" s="231" t="str">
        <f>IFERROR(SUMIFS('capacity data'!$L:$L,'capacity data'!$B:$B,P146,'capacity data'!$E:$E,"TPO")/SUMIFS('capacity data'!$G:$G,'capacity data'!$E:$E,"TPO",'capacity data'!$B:$B,P146),"")</f>
        <v/>
      </c>
    </row>
    <row r="147" spans="6:21" ht="16" x14ac:dyDescent="0.2">
      <c r="F147"/>
      <c r="M147"/>
      <c r="O147" s="24" t="s">
        <v>34</v>
      </c>
      <c r="P147" t="s">
        <v>1018</v>
      </c>
      <c r="Q147" s="230" t="str">
        <f>IFERROR(SUM((SUMIFS('capacity data'!$G:$G,'capacity data'!$E:$E,"PO",'capacity data'!$B:$B,P147))-SUMIFS('capacity data'!$H:$H,'capacity data'!$E:$E,"PO",'capacity data'!$B:$B,P147))/SUMIFS('capacity data'!$G:$G,'capacity data'!$E:$E,"PO",'capacity data'!$B:$B,P147),"")</f>
        <v/>
      </c>
      <c r="R147" s="230" t="str">
        <f>IFERROR(SUM((SUMIFS('capacity data'!$G:$G,'capacity data'!$E:$E,"PSO",'capacity data'!$B:$B,P147))-SUMIFS('capacity data'!$H:$H,'capacity data'!$E:$E,"PSO",'capacity data'!$B:$B,P147))/SUMIFS('capacity data'!$G:$G,'capacity data'!$E:$E,"PSO",'capacity data'!$B:$B,P147),"")</f>
        <v/>
      </c>
      <c r="S147" s="23" t="str">
        <f t="shared" si="2"/>
        <v/>
      </c>
      <c r="T147" s="231" t="str">
        <f>IFERROR(SUMIFS('capacity data'!$L:$L,'capacity data'!$B:$B,P147,'capacity data'!$E:$E,"PSO")/SUMIFS('capacity data'!$G:$G,'capacity data'!$E:$E,"PSO",'capacity data'!$B:$B,P147),"")</f>
        <v/>
      </c>
      <c r="U147" s="231" t="str">
        <f>IFERROR(SUMIFS('capacity data'!$L:$L,'capacity data'!$B:$B,P147,'capacity data'!$E:$E,"TPO")/SUMIFS('capacity data'!$G:$G,'capacity data'!$E:$E,"TPO",'capacity data'!$B:$B,P147),"")</f>
        <v/>
      </c>
    </row>
    <row r="148" spans="6:21" ht="16" x14ac:dyDescent="0.2">
      <c r="F148"/>
      <c r="M148"/>
      <c r="O148" s="24" t="s">
        <v>34</v>
      </c>
      <c r="P148" t="s">
        <v>293</v>
      </c>
      <c r="Q148" s="230" t="str">
        <f>IFERROR(SUM((SUMIFS('capacity data'!$G:$G,'capacity data'!$E:$E,"PO",'capacity data'!$B:$B,P148))-SUMIFS('capacity data'!$H:$H,'capacity data'!$E:$E,"PO",'capacity data'!$B:$B,P148))/SUMIFS('capacity data'!$G:$G,'capacity data'!$E:$E,"PO",'capacity data'!$B:$B,P148),"")</f>
        <v/>
      </c>
      <c r="R148" s="230" t="str">
        <f>IFERROR(SUM((SUMIFS('capacity data'!$G:$G,'capacity data'!$E:$E,"PSO",'capacity data'!$B:$B,P148))-SUMIFS('capacity data'!$H:$H,'capacity data'!$E:$E,"PSO",'capacity data'!$B:$B,P148))/SUMIFS('capacity data'!$G:$G,'capacity data'!$E:$E,"PSO",'capacity data'!$B:$B,P148),"")</f>
        <v/>
      </c>
      <c r="S148" s="23" t="str">
        <f t="shared" si="2"/>
        <v/>
      </c>
      <c r="T148" s="231" t="str">
        <f>IFERROR(SUMIFS('capacity data'!$L:$L,'capacity data'!$B:$B,P148,'capacity data'!$E:$E,"PSO")/SUMIFS('capacity data'!$G:$G,'capacity data'!$E:$E,"PSO",'capacity data'!$B:$B,P148),"")</f>
        <v/>
      </c>
      <c r="U148" s="231" t="str">
        <f>IFERROR(SUMIFS('capacity data'!$L:$L,'capacity data'!$B:$B,P148,'capacity data'!$E:$E,"TPO")/SUMIFS('capacity data'!$G:$G,'capacity data'!$E:$E,"TPO",'capacity data'!$B:$B,P148),"")</f>
        <v/>
      </c>
    </row>
    <row r="149" spans="6:21" ht="16" x14ac:dyDescent="0.2">
      <c r="F149"/>
      <c r="M149"/>
      <c r="O149" s="24" t="s">
        <v>34</v>
      </c>
      <c r="P149" t="s">
        <v>308</v>
      </c>
      <c r="Q149" s="230" t="str">
        <f>IFERROR(SUM((SUMIFS('capacity data'!$G:$G,'capacity data'!$E:$E,"PO",'capacity data'!$B:$B,P149))-SUMIFS('capacity data'!$H:$H,'capacity data'!$E:$E,"PO",'capacity data'!$B:$B,P149))/SUMIFS('capacity data'!$G:$G,'capacity data'!$E:$E,"PO",'capacity data'!$B:$B,P149),"")</f>
        <v/>
      </c>
      <c r="R149" s="230" t="str">
        <f>IFERROR(SUM((SUMIFS('capacity data'!$G:$G,'capacity data'!$E:$E,"PSO",'capacity data'!$B:$B,P149))-SUMIFS('capacity data'!$H:$H,'capacity data'!$E:$E,"PSO",'capacity data'!$B:$B,P149))/SUMIFS('capacity data'!$G:$G,'capacity data'!$E:$E,"PSO",'capacity data'!$B:$B,P149),"")</f>
        <v/>
      </c>
      <c r="S149" s="23" t="str">
        <f t="shared" si="2"/>
        <v/>
      </c>
      <c r="T149" s="231" t="str">
        <f>IFERROR(SUMIFS('capacity data'!$L:$L,'capacity data'!$B:$B,P149,'capacity data'!$E:$E,"PSO")/SUMIFS('capacity data'!$G:$G,'capacity data'!$E:$E,"PSO",'capacity data'!$B:$B,P149),"")</f>
        <v/>
      </c>
      <c r="U149" s="231" t="str">
        <f>IFERROR(SUMIFS('capacity data'!$L:$L,'capacity data'!$B:$B,P149,'capacity data'!$E:$E,"TPO")/SUMIFS('capacity data'!$G:$G,'capacity data'!$E:$E,"TPO",'capacity data'!$B:$B,P149),"")</f>
        <v/>
      </c>
    </row>
    <row r="150" spans="6:21" ht="16" x14ac:dyDescent="0.2">
      <c r="F150"/>
      <c r="M150"/>
      <c r="O150" s="24" t="s">
        <v>34</v>
      </c>
      <c r="P150" t="s">
        <v>324</v>
      </c>
      <c r="Q150" s="230" t="str">
        <f>IFERROR(SUM((SUMIFS('capacity data'!$G:$G,'capacity data'!$E:$E,"PO",'capacity data'!$B:$B,P150))-SUMIFS('capacity data'!$H:$H,'capacity data'!$E:$E,"PO",'capacity data'!$B:$B,P150))/SUMIFS('capacity data'!$G:$G,'capacity data'!$E:$E,"PO",'capacity data'!$B:$B,P150),"")</f>
        <v/>
      </c>
      <c r="R150" s="230" t="str">
        <f>IFERROR(SUM((SUMIFS('capacity data'!$G:$G,'capacity data'!$E:$E,"PSO",'capacity data'!$B:$B,P150))-SUMIFS('capacity data'!$H:$H,'capacity data'!$E:$E,"PSO",'capacity data'!$B:$B,P150))/SUMIFS('capacity data'!$G:$G,'capacity data'!$E:$E,"PSO",'capacity data'!$B:$B,P150),"")</f>
        <v/>
      </c>
      <c r="S150" s="23" t="str">
        <f t="shared" si="2"/>
        <v/>
      </c>
      <c r="T150" s="231" t="str">
        <f>IFERROR(SUMIFS('capacity data'!$L:$L,'capacity data'!$B:$B,P150,'capacity data'!$E:$E,"PSO")/SUMIFS('capacity data'!$G:$G,'capacity data'!$E:$E,"PSO",'capacity data'!$B:$B,P150),"")</f>
        <v/>
      </c>
      <c r="U150" s="231" t="str">
        <f>IFERROR(SUMIFS('capacity data'!$L:$L,'capacity data'!$B:$B,P150,'capacity data'!$E:$E,"TPO")/SUMIFS('capacity data'!$G:$G,'capacity data'!$E:$E,"TPO",'capacity data'!$B:$B,P150),"")</f>
        <v/>
      </c>
    </row>
    <row r="151" spans="6:21" ht="16" x14ac:dyDescent="0.2">
      <c r="F151"/>
      <c r="M151"/>
      <c r="O151" s="24" t="s">
        <v>34</v>
      </c>
      <c r="P151" t="s">
        <v>339</v>
      </c>
      <c r="Q151" s="230" t="str">
        <f>IFERROR(SUM((SUMIFS('capacity data'!$G:$G,'capacity data'!$E:$E,"PO",'capacity data'!$B:$B,P151))-SUMIFS('capacity data'!$H:$H,'capacity data'!$E:$E,"PO",'capacity data'!$B:$B,P151))/SUMIFS('capacity data'!$G:$G,'capacity data'!$E:$E,"PO",'capacity data'!$B:$B,P151),"")</f>
        <v/>
      </c>
      <c r="R151" s="230" t="str">
        <f>IFERROR(SUM((SUMIFS('capacity data'!$G:$G,'capacity data'!$E:$E,"PSO",'capacity data'!$B:$B,P151))-SUMIFS('capacity data'!$H:$H,'capacity data'!$E:$E,"PSO",'capacity data'!$B:$B,P151))/SUMIFS('capacity data'!$G:$G,'capacity data'!$E:$E,"PSO",'capacity data'!$B:$B,P151),"")</f>
        <v/>
      </c>
      <c r="S151" s="23" t="str">
        <f t="shared" si="2"/>
        <v/>
      </c>
      <c r="T151" s="231" t="str">
        <f>IFERROR(SUMIFS('capacity data'!$L:$L,'capacity data'!$B:$B,P151,'capacity data'!$E:$E,"PSO")/SUMIFS('capacity data'!$G:$G,'capacity data'!$E:$E,"PSO",'capacity data'!$B:$B,P151),"")</f>
        <v/>
      </c>
      <c r="U151" s="231" t="str">
        <f>IFERROR(SUMIFS('capacity data'!$L:$L,'capacity data'!$B:$B,P151,'capacity data'!$E:$E,"TPO")/SUMIFS('capacity data'!$G:$G,'capacity data'!$E:$E,"TPO",'capacity data'!$B:$B,P151),"")</f>
        <v/>
      </c>
    </row>
    <row r="152" spans="6:21" ht="16" x14ac:dyDescent="0.2">
      <c r="F152"/>
      <c r="M152"/>
      <c r="O152" s="24" t="s">
        <v>34</v>
      </c>
      <c r="P152" t="s">
        <v>354</v>
      </c>
      <c r="Q152" s="230" t="str">
        <f>IFERROR(SUM((SUMIFS('capacity data'!$G:$G,'capacity data'!$E:$E,"PO",'capacity data'!$B:$B,P152))-SUMIFS('capacity data'!$H:$H,'capacity data'!$E:$E,"PO",'capacity data'!$B:$B,P152))/SUMIFS('capacity data'!$G:$G,'capacity data'!$E:$E,"PO",'capacity data'!$B:$B,P152),"")</f>
        <v/>
      </c>
      <c r="R152" s="230" t="str">
        <f>IFERROR(SUM((SUMIFS('capacity data'!$G:$G,'capacity data'!$E:$E,"PSO",'capacity data'!$B:$B,P152))-SUMIFS('capacity data'!$H:$H,'capacity data'!$E:$E,"PSO",'capacity data'!$B:$B,P152))/SUMIFS('capacity data'!$G:$G,'capacity data'!$E:$E,"PSO",'capacity data'!$B:$B,P152),"")</f>
        <v/>
      </c>
      <c r="S152" s="23" t="str">
        <f t="shared" si="2"/>
        <v/>
      </c>
      <c r="T152" s="231" t="str">
        <f>IFERROR(SUMIFS('capacity data'!$L:$L,'capacity data'!$B:$B,P152,'capacity data'!$E:$E,"PSO")/SUMIFS('capacity data'!$G:$G,'capacity data'!$E:$E,"PSO",'capacity data'!$B:$B,P152),"")</f>
        <v/>
      </c>
      <c r="U152" s="231" t="str">
        <f>IFERROR(SUMIFS('capacity data'!$L:$L,'capacity data'!$B:$B,P152,'capacity data'!$E:$E,"TPO")/SUMIFS('capacity data'!$G:$G,'capacity data'!$E:$E,"TPO",'capacity data'!$B:$B,P152),"")</f>
        <v/>
      </c>
    </row>
    <row r="153" spans="6:21" ht="16" x14ac:dyDescent="0.2">
      <c r="F153"/>
      <c r="M153"/>
      <c r="O153" s="24" t="s">
        <v>34</v>
      </c>
      <c r="P153" t="s">
        <v>369</v>
      </c>
      <c r="Q153" s="230" t="str">
        <f>IFERROR(SUM((SUMIFS('capacity data'!$G:$G,'capacity data'!$E:$E,"PO",'capacity data'!$B:$B,P153))-SUMIFS('capacity data'!$H:$H,'capacity data'!$E:$E,"PO",'capacity data'!$B:$B,P153))/SUMIFS('capacity data'!$G:$G,'capacity data'!$E:$E,"PO",'capacity data'!$B:$B,P153),"")</f>
        <v/>
      </c>
      <c r="R153" s="230" t="str">
        <f>IFERROR(SUM((SUMIFS('capacity data'!$G:$G,'capacity data'!$E:$E,"PSO",'capacity data'!$B:$B,P153))-SUMIFS('capacity data'!$H:$H,'capacity data'!$E:$E,"PSO",'capacity data'!$B:$B,P153))/SUMIFS('capacity data'!$G:$G,'capacity data'!$E:$E,"PSO",'capacity data'!$B:$B,P153),"")</f>
        <v/>
      </c>
      <c r="S153" s="23" t="str">
        <f t="shared" si="2"/>
        <v/>
      </c>
      <c r="T153" s="231" t="str">
        <f>IFERROR(SUMIFS('capacity data'!$L:$L,'capacity data'!$B:$B,P153,'capacity data'!$E:$E,"PSO")/SUMIFS('capacity data'!$G:$G,'capacity data'!$E:$E,"PSO",'capacity data'!$B:$B,P153),"")</f>
        <v/>
      </c>
      <c r="U153" s="231" t="str">
        <f>IFERROR(SUMIFS('capacity data'!$L:$L,'capacity data'!$B:$B,P153,'capacity data'!$E:$E,"TPO")/SUMIFS('capacity data'!$G:$G,'capacity data'!$E:$E,"TPO",'capacity data'!$B:$B,P153),"")</f>
        <v/>
      </c>
    </row>
  </sheetData>
  <sheetProtection selectLockedCells="1" selectUnlockedCells="1"/>
  <autoFilter ref="A1:U3732" xr:uid="{FB14D664-1DC0-4031-91B2-C77D3171EFF4}"/>
  <conditionalFormatting sqref="P94:P101">
    <cfRule type="duplicateValues" dxfId="6847" priority="3"/>
  </conditionalFormatting>
  <conditionalFormatting sqref="P114:P119 P121">
    <cfRule type="duplicateValues" dxfId="6846" priority="2"/>
  </conditionalFormatting>
  <conditionalFormatting sqref="P134:P146">
    <cfRule type="duplicateValues" dxfId="6845"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election activeCell="A3" sqref="A3"/>
    </sheetView>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40" t="s">
        <v>996</v>
      </c>
      <c r="B1" s="40" t="s">
        <v>1019</v>
      </c>
      <c r="C1" s="40" t="s">
        <v>1020</v>
      </c>
      <c r="D1" s="40" t="s">
        <v>1021</v>
      </c>
      <c r="E1" s="40" t="s">
        <v>1022</v>
      </c>
      <c r="F1" s="40" t="s">
        <v>1023</v>
      </c>
      <c r="G1" s="40" t="s">
        <v>1024</v>
      </c>
      <c r="H1" s="40" t="s">
        <v>1025</v>
      </c>
      <c r="I1" s="40" t="s">
        <v>1026</v>
      </c>
      <c r="J1" s="40" t="s">
        <v>1027</v>
      </c>
      <c r="K1" s="40" t="s">
        <v>1028</v>
      </c>
      <c r="L1" s="40" t="s">
        <v>1029</v>
      </c>
      <c r="M1" s="40" t="s">
        <v>1030</v>
      </c>
      <c r="N1" s="40" t="s">
        <v>1031</v>
      </c>
      <c r="O1" s="40" t="s">
        <v>1032</v>
      </c>
      <c r="P1" s="40" t="s">
        <v>1033</v>
      </c>
      <c r="Q1" s="40" t="s">
        <v>1034</v>
      </c>
      <c r="R1" s="40" t="s">
        <v>1035</v>
      </c>
      <c r="S1" s="40" t="s">
        <v>1036</v>
      </c>
      <c r="T1" s="40" t="s">
        <v>1037</v>
      </c>
      <c r="U1" s="40" t="s">
        <v>1038</v>
      </c>
      <c r="V1" s="40" t="s">
        <v>1039</v>
      </c>
    </row>
  </sheetData>
  <autoFilter ref="A1:X1630" xr:uid="{C6EF8DC2-A903-4871-892C-37BFFE8ED2D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topLeftCell="F1" zoomScale="70" zoomScaleNormal="70" workbookViewId="0">
      <pane ySplit="1" topLeftCell="A2" activePane="bottomLeft" state="frozen"/>
      <selection pane="bottomLeft" activeCell="G2" sqref="G2"/>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9" width="9.1640625" customWidth="1"/>
    <col min="10" max="10" width="13.33203125" customWidth="1"/>
    <col min="11" max="11" width="9.1640625" customWidth="1"/>
    <col min="12" max="12" width="255.5" bestFit="1" customWidth="1"/>
    <col min="13" max="16384" width="9.1640625" style="3"/>
  </cols>
  <sheetData>
    <row r="1" spans="1:12" ht="30" x14ac:dyDescent="0.15">
      <c r="A1" s="21" t="s">
        <v>996</v>
      </c>
      <c r="B1" s="21" t="s">
        <v>997</v>
      </c>
      <c r="C1" s="21" t="s">
        <v>998</v>
      </c>
      <c r="D1" s="21" t="s">
        <v>999</v>
      </c>
      <c r="E1" s="21" t="s">
        <v>1021</v>
      </c>
      <c r="F1" s="21" t="s">
        <v>1004</v>
      </c>
      <c r="G1" s="21" t="s">
        <v>1040</v>
      </c>
      <c r="H1" s="21" t="s">
        <v>1041</v>
      </c>
      <c r="I1" s="21" t="s">
        <v>1042</v>
      </c>
      <c r="J1" s="21" t="s">
        <v>1043</v>
      </c>
      <c r="K1" s="21" t="s">
        <v>1044</v>
      </c>
      <c r="L1" s="21" t="s">
        <v>1045</v>
      </c>
    </row>
  </sheetData>
  <sheetProtection selectLockedCells="1" selectUnlockedCells="1"/>
  <autoFilter ref="A1:L5156"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topLeftCell="A46" zoomScaleNormal="100" workbookViewId="0">
      <selection activeCell="A55" sqref="A55"/>
    </sheetView>
  </sheetViews>
  <sheetFormatPr baseColWidth="10" defaultColWidth="8.83203125" defaultRowHeight="14" x14ac:dyDescent="0.15"/>
  <cols>
    <col min="1" max="1" width="43.5" style="8" customWidth="1"/>
    <col min="2" max="2" width="9.1640625" style="8"/>
    <col min="3" max="3" width="64.5" style="8" customWidth="1"/>
    <col min="4" max="4" width="5.5" style="28" customWidth="1"/>
    <col min="5" max="5" width="10" style="28" customWidth="1"/>
    <col min="6" max="6" width="9.1640625" style="8"/>
    <col min="7" max="7" width="51.1640625" style="8" customWidth="1"/>
    <col min="8" max="8" width="33.1640625" style="28" customWidth="1"/>
    <col min="9" max="9" width="32.83203125" style="28" customWidth="1"/>
    <col min="10" max="10" width="32.83203125" style="8" customWidth="1"/>
    <col min="11" max="11" width="9.1640625" style="8"/>
  </cols>
  <sheetData>
    <row r="4" spans="1:9" ht="16" x14ac:dyDescent="0.2">
      <c r="C4" s="13" t="s">
        <v>1046</v>
      </c>
      <c r="D4" s="25"/>
      <c r="E4" s="34"/>
      <c r="G4" s="26" t="s">
        <v>1047</v>
      </c>
      <c r="H4" s="220" t="s">
        <v>1048</v>
      </c>
      <c r="I4" s="220" t="s">
        <v>1049</v>
      </c>
    </row>
    <row r="5" spans="1:9" ht="16" x14ac:dyDescent="0.2">
      <c r="C5" s="13"/>
      <c r="D5" s="25"/>
      <c r="E5" s="34"/>
      <c r="G5" s="26"/>
      <c r="H5" s="220"/>
      <c r="I5" s="220"/>
    </row>
    <row r="6" spans="1:9" ht="16" x14ac:dyDescent="0.2">
      <c r="A6" s="24" t="s">
        <v>1050</v>
      </c>
      <c r="C6" s="15" t="s">
        <v>1050</v>
      </c>
      <c r="D6" s="37">
        <f>COUNTIF('reductions data'!G:G,'reductions workings'!C6)</f>
        <v>0</v>
      </c>
      <c r="E6" s="37">
        <f>D6+0.0001</f>
        <v>1E-4</v>
      </c>
      <c r="G6" s="15" t="s">
        <v>1050</v>
      </c>
      <c r="H6" s="29">
        <f>SUMIF('reductions data'!$G:$G,'reductions workings'!$G6,'reductions data'!$H:$H)</f>
        <v>0</v>
      </c>
      <c r="I6" s="23" t="e">
        <f>H6/H61</f>
        <v>#DIV/0!</v>
      </c>
    </row>
    <row r="7" spans="1:9" ht="16" x14ac:dyDescent="0.2">
      <c r="A7" s="24" t="s">
        <v>1052</v>
      </c>
      <c r="C7" s="15" t="s">
        <v>1051</v>
      </c>
      <c r="D7" s="37">
        <f>COUNTIF('reductions data'!G:G,'reductions workings'!C7)</f>
        <v>0</v>
      </c>
      <c r="E7" s="37">
        <f>D7+0.0002</f>
        <v>2.0000000000000001E-4</v>
      </c>
      <c r="G7" s="15" t="s">
        <v>1052</v>
      </c>
      <c r="H7" s="29">
        <f>SUMIF('reductions data'!$G:$G,'reductions workings'!$G7,'reductions data'!$H:$H)</f>
        <v>0</v>
      </c>
      <c r="I7" s="23" t="e">
        <f>H7/H61</f>
        <v>#DIV/0!</v>
      </c>
    </row>
    <row r="8" spans="1:9" ht="16" x14ac:dyDescent="0.2">
      <c r="A8" s="24" t="s">
        <v>1051</v>
      </c>
      <c r="C8" s="15" t="s">
        <v>1052</v>
      </c>
      <c r="D8" s="37">
        <f>COUNTIF('reductions data'!G:G,'reductions workings'!C8)</f>
        <v>0</v>
      </c>
      <c r="E8" s="37">
        <f>D8+0.0003</f>
        <v>2.9999999999999997E-4</v>
      </c>
      <c r="G8" s="15" t="s">
        <v>1051</v>
      </c>
      <c r="H8" s="29">
        <f>SUMIF('reductions data'!$G:$G,'reductions workings'!$G8,'reductions data'!$H:$H)</f>
        <v>0</v>
      </c>
      <c r="I8" s="23" t="e">
        <f>H8/H61</f>
        <v>#DIV/0!</v>
      </c>
    </row>
    <row r="9" spans="1:9" ht="16" x14ac:dyDescent="0.2">
      <c r="A9" s="24" t="s">
        <v>1053</v>
      </c>
      <c r="C9" s="15" t="s">
        <v>1053</v>
      </c>
      <c r="D9" s="37">
        <f>COUNTIF('reductions data'!G:G,'reductions workings'!C9)</f>
        <v>0</v>
      </c>
      <c r="E9" s="37">
        <f>D9+0.0004</f>
        <v>4.0000000000000002E-4</v>
      </c>
      <c r="G9" s="15" t="s">
        <v>1053</v>
      </c>
      <c r="H9" s="29">
        <f>SUMIF('reductions data'!$G:$G,'reductions workings'!$G9,'reductions data'!$H:$H)</f>
        <v>0</v>
      </c>
      <c r="I9" s="23" t="e">
        <f>H9/H61</f>
        <v>#DIV/0!</v>
      </c>
    </row>
    <row r="10" spans="1:9" ht="16" x14ac:dyDescent="0.2">
      <c r="A10" s="24" t="s">
        <v>1054</v>
      </c>
      <c r="C10" s="15" t="s">
        <v>1054</v>
      </c>
      <c r="D10" s="37">
        <f>COUNTIF('reductions data'!G:G,'reductions workings'!C10)</f>
        <v>0</v>
      </c>
      <c r="E10" s="37">
        <f>D10+0.0005</f>
        <v>5.0000000000000001E-4</v>
      </c>
      <c r="G10" s="15" t="s">
        <v>1054</v>
      </c>
      <c r="H10" s="29">
        <f>SUMIF('reductions data'!$G:$G,'reductions workings'!$G10,'reductions data'!$H:$H)</f>
        <v>0</v>
      </c>
      <c r="I10" s="23" t="e">
        <f>H10/H61</f>
        <v>#DIV/0!</v>
      </c>
    </row>
    <row r="11" spans="1:9" ht="16" x14ac:dyDescent="0.2">
      <c r="A11" s="24" t="s">
        <v>1055</v>
      </c>
      <c r="C11" s="15" t="s">
        <v>1055</v>
      </c>
      <c r="D11" s="37">
        <f>COUNTIF('reductions data'!G:G,'reductions workings'!C11)</f>
        <v>0</v>
      </c>
      <c r="E11" s="37">
        <f>D11+0.0006</f>
        <v>5.9999999999999995E-4</v>
      </c>
      <c r="G11" s="15" t="s">
        <v>1055</v>
      </c>
      <c r="H11" s="29">
        <f>SUMIF('reductions data'!$G:$G,'reductions workings'!$G11,'reductions data'!$H:$H)</f>
        <v>0</v>
      </c>
      <c r="I11" s="23" t="e">
        <f>H11/H61</f>
        <v>#DIV/0!</v>
      </c>
    </row>
    <row r="12" spans="1:9" ht="16" x14ac:dyDescent="0.2">
      <c r="A12" s="24" t="s">
        <v>1056</v>
      </c>
      <c r="C12" s="15" t="s">
        <v>1056</v>
      </c>
      <c r="D12" s="37">
        <f>COUNTIF('reductions data'!G:G,'reductions workings'!C12)</f>
        <v>0</v>
      </c>
      <c r="E12" s="37">
        <f>D12+0.0006</f>
        <v>5.9999999999999995E-4</v>
      </c>
      <c r="G12" s="15" t="s">
        <v>1056</v>
      </c>
      <c r="H12" s="29">
        <f>SUMIF('reductions data'!$G:$G,'reductions workings'!$G12,'reductions data'!$H:$H)</f>
        <v>0</v>
      </c>
      <c r="I12" s="23" t="e">
        <f>H12/H61</f>
        <v>#DIV/0!</v>
      </c>
    </row>
    <row r="13" spans="1:9" ht="16" x14ac:dyDescent="0.2">
      <c r="A13" s="24" t="s">
        <v>1057</v>
      </c>
      <c r="C13" s="15" t="s">
        <v>1057</v>
      </c>
      <c r="D13" s="37">
        <f>COUNTIF('reductions data'!G:G,'reductions workings'!C13)</f>
        <v>0</v>
      </c>
      <c r="E13" s="37">
        <f>D13+0.0008</f>
        <v>8.0000000000000004E-4</v>
      </c>
      <c r="G13" s="15" t="s">
        <v>1057</v>
      </c>
      <c r="H13" s="29">
        <f>SUMIF('reductions data'!$G:$G,'reductions workings'!$G13,'reductions data'!$H:$H)</f>
        <v>0</v>
      </c>
      <c r="I13" s="23" t="e">
        <f>H13/H61</f>
        <v>#DIV/0!</v>
      </c>
    </row>
    <row r="14" spans="1:9" ht="16" x14ac:dyDescent="0.2">
      <c r="A14" s="24" t="s">
        <v>1444</v>
      </c>
      <c r="C14" s="15" t="s">
        <v>1444</v>
      </c>
      <c r="D14" s="335">
        <f>COUNTIF('reductions data'!G:G,'reductions workings'!C14)</f>
        <v>0</v>
      </c>
      <c r="E14" s="335">
        <f>D14+0.0008</f>
        <v>8.0000000000000004E-4</v>
      </c>
      <c r="G14" s="15" t="s">
        <v>1444</v>
      </c>
      <c r="H14" s="29">
        <f>SUMIF('reductions data'!$G:$G,'reductions workings'!$G14,'reductions data'!$H:$H)</f>
        <v>0</v>
      </c>
      <c r="I14" s="23" t="e">
        <f>H14/H61</f>
        <v>#DIV/0!</v>
      </c>
    </row>
    <row r="15" spans="1:9" ht="16" x14ac:dyDescent="0.2">
      <c r="A15" s="24" t="s">
        <v>1058</v>
      </c>
      <c r="C15" s="15" t="s">
        <v>1058</v>
      </c>
      <c r="D15" s="37">
        <f>COUNTIF('reductions data'!G:G,'reductions workings'!C15)</f>
        <v>0</v>
      </c>
      <c r="E15" s="37">
        <f>D15+0.0009</f>
        <v>8.9999999999999998E-4</v>
      </c>
      <c r="G15" s="15" t="s">
        <v>1058</v>
      </c>
      <c r="H15" s="29">
        <f>SUMIF('reductions data'!$G:$G,'reductions workings'!$G15,'reductions data'!$H:$H)</f>
        <v>0</v>
      </c>
      <c r="I15" s="23" t="e">
        <f>H15/H61</f>
        <v>#DIV/0!</v>
      </c>
    </row>
    <row r="16" spans="1:9" ht="16" x14ac:dyDescent="0.2">
      <c r="A16" s="24" t="s">
        <v>1059</v>
      </c>
      <c r="C16" s="15" t="s">
        <v>1059</v>
      </c>
      <c r="D16" s="37">
        <f>COUNTIF('reductions data'!G:G,'reductions workings'!C16)</f>
        <v>0</v>
      </c>
      <c r="E16" s="37">
        <f>D16+0.0009</f>
        <v>8.9999999999999998E-4</v>
      </c>
      <c r="G16" s="15" t="s">
        <v>1059</v>
      </c>
      <c r="H16" s="29">
        <f>SUMIF('reductions data'!$G:$G,'reductions workings'!$G16,'reductions data'!$H:$H)</f>
        <v>0</v>
      </c>
      <c r="I16" s="23" t="e">
        <f>H16/H61</f>
        <v>#DIV/0!</v>
      </c>
    </row>
    <row r="17" spans="1:9" ht="16" x14ac:dyDescent="0.2">
      <c r="A17" s="24" t="s">
        <v>1060</v>
      </c>
      <c r="C17" s="15" t="s">
        <v>1060</v>
      </c>
      <c r="D17" s="37">
        <f>COUNTIF('reductions data'!G:G,'reductions workings'!C17)</f>
        <v>0</v>
      </c>
      <c r="E17" s="37">
        <f>D17+0.00011</f>
        <v>1.1E-4</v>
      </c>
      <c r="G17" s="15" t="s">
        <v>1060</v>
      </c>
      <c r="H17" s="29">
        <f>SUMIF('reductions data'!$G:$G,'reductions workings'!$G17,'reductions data'!$H:$H)</f>
        <v>0</v>
      </c>
      <c r="I17" s="23" t="e">
        <f>H17/H61</f>
        <v>#DIV/0!</v>
      </c>
    </row>
    <row r="18" spans="1:9" ht="16" x14ac:dyDescent="0.2">
      <c r="A18" s="24" t="s">
        <v>1064</v>
      </c>
      <c r="C18" s="15" t="s">
        <v>1061</v>
      </c>
      <c r="D18" s="37">
        <f>COUNTIF('reductions data'!G:G,'reductions workings'!C18)</f>
        <v>0</v>
      </c>
      <c r="E18" s="37">
        <f>D18+0.00012</f>
        <v>1.2E-4</v>
      </c>
      <c r="G18" s="15" t="s">
        <v>1061</v>
      </c>
      <c r="H18" s="29">
        <f>SUMIF('reductions data'!$G:$G,'reductions workings'!$G18,'reductions data'!$H:$H)</f>
        <v>0</v>
      </c>
      <c r="I18" s="23" t="e">
        <f>H18/H61</f>
        <v>#DIV/0!</v>
      </c>
    </row>
    <row r="19" spans="1:9" ht="16" x14ac:dyDescent="0.2">
      <c r="A19" s="24" t="s">
        <v>1061</v>
      </c>
      <c r="C19" s="15" t="s">
        <v>1062</v>
      </c>
      <c r="D19" s="37">
        <f>COUNTIF('reductions data'!G:G,'reductions workings'!C19)</f>
        <v>0</v>
      </c>
      <c r="E19" s="37">
        <f>D19+0.00013</f>
        <v>1.2999999999999999E-4</v>
      </c>
      <c r="G19" s="15" t="s">
        <v>1063</v>
      </c>
      <c r="H19" s="29">
        <f>SUMIF('reductions data'!$G:$G,'reductions workings'!$G19,'reductions data'!$H:$H)</f>
        <v>0</v>
      </c>
      <c r="I19" s="23" t="e">
        <f>H19/H61</f>
        <v>#DIV/0!</v>
      </c>
    </row>
    <row r="20" spans="1:9" ht="16" x14ac:dyDescent="0.2">
      <c r="A20" s="24" t="s">
        <v>1063</v>
      </c>
      <c r="C20" s="15" t="s">
        <v>1063</v>
      </c>
      <c r="D20" s="37">
        <f>COUNTIF('reductions data'!G:G,'reductions workings'!C20)</f>
        <v>0</v>
      </c>
      <c r="E20" s="37">
        <f>D20+0.00014</f>
        <v>1.3999999999999999E-4</v>
      </c>
      <c r="G20" s="15" t="s">
        <v>1066</v>
      </c>
      <c r="H20" s="29">
        <f>SUMIF('reductions data'!$G:$G,'reductions workings'!$G20,'reductions data'!$H:$H)</f>
        <v>0</v>
      </c>
      <c r="I20" s="23" t="e">
        <f>H20/H61</f>
        <v>#DIV/0!</v>
      </c>
    </row>
    <row r="21" spans="1:9" ht="16" x14ac:dyDescent="0.2">
      <c r="A21" s="24" t="s">
        <v>1066</v>
      </c>
      <c r="C21" s="15" t="s">
        <v>1065</v>
      </c>
      <c r="D21" s="37">
        <f>COUNTIF('reductions data'!G:G,'reductions workings'!C21)</f>
        <v>0</v>
      </c>
      <c r="E21" s="37">
        <f>D21+0.00015</f>
        <v>1.4999999999999999E-4</v>
      </c>
      <c r="G21" s="15" t="s">
        <v>1062</v>
      </c>
      <c r="H21" s="29">
        <f>SUMIF('reductions data'!$G:$G,'reductions workings'!$G21,'reductions data'!$H:$H)</f>
        <v>0</v>
      </c>
      <c r="I21" s="23" t="e">
        <f>H21/H61</f>
        <v>#DIV/0!</v>
      </c>
    </row>
    <row r="22" spans="1:9" ht="16" x14ac:dyDescent="0.2">
      <c r="A22" s="24" t="s">
        <v>1062</v>
      </c>
      <c r="C22" s="15" t="s">
        <v>1066</v>
      </c>
      <c r="D22" s="37">
        <f>COUNTIF('reductions data'!G:G,'reductions workings'!C22)</f>
        <v>0</v>
      </c>
      <c r="E22" s="37">
        <f>D22+0.00016</f>
        <v>1.6000000000000001E-4</v>
      </c>
      <c r="G22" s="15" t="s">
        <v>1065</v>
      </c>
      <c r="H22" s="29">
        <f>SUMIF('reductions data'!$G:$G,'reductions workings'!$G22,'reductions data'!$H:$H)</f>
        <v>0</v>
      </c>
      <c r="I22" s="23" t="e">
        <f>H22/H61</f>
        <v>#DIV/0!</v>
      </c>
    </row>
    <row r="23" spans="1:9" ht="16" x14ac:dyDescent="0.2">
      <c r="A23" s="24" t="s">
        <v>1067</v>
      </c>
      <c r="C23" s="15" t="s">
        <v>1067</v>
      </c>
      <c r="D23" s="37">
        <f>COUNTIF('reductions data'!G:G,'reductions workings'!C23)</f>
        <v>0</v>
      </c>
      <c r="E23" s="37">
        <f>D23+0.00017</f>
        <v>1.7000000000000001E-4</v>
      </c>
      <c r="G23" s="15" t="s">
        <v>1067</v>
      </c>
      <c r="H23" s="29">
        <f>SUMIF('reductions data'!$G:$G,'reductions workings'!$G23,'reductions data'!$H:$H)</f>
        <v>0</v>
      </c>
      <c r="I23" s="23" t="e">
        <f>H23/H61</f>
        <v>#DIV/0!</v>
      </c>
    </row>
    <row r="24" spans="1:9" ht="16" x14ac:dyDescent="0.2">
      <c r="A24" s="24" t="s">
        <v>1068</v>
      </c>
      <c r="C24" s="15" t="s">
        <v>1068</v>
      </c>
      <c r="D24" s="37">
        <f>COUNTIF('reductions data'!G:G,'reductions workings'!C24)</f>
        <v>0</v>
      </c>
      <c r="E24" s="37">
        <f>D24+0.00018</f>
        <v>1.8000000000000001E-4</v>
      </c>
      <c r="G24" s="15" t="s">
        <v>1068</v>
      </c>
      <c r="H24" s="29">
        <f>SUMIF('reductions data'!$G:$G,'reductions workings'!$G24,'reductions data'!$H:$H)</f>
        <v>0</v>
      </c>
      <c r="I24" s="23" t="e">
        <f>H24/H61</f>
        <v>#DIV/0!</v>
      </c>
    </row>
    <row r="25" spans="1:9" ht="16" x14ac:dyDescent="0.2">
      <c r="A25" s="24" t="s">
        <v>1069</v>
      </c>
      <c r="C25" s="15" t="s">
        <v>1069</v>
      </c>
      <c r="D25" s="37">
        <f>COUNTIF('reductions data'!G:G,'reductions workings'!C25)</f>
        <v>0</v>
      </c>
      <c r="E25" s="37">
        <f>D25+0.00019</f>
        <v>1.9000000000000001E-4</v>
      </c>
      <c r="G25" s="15" t="s">
        <v>1069</v>
      </c>
      <c r="H25" s="29">
        <f>SUMIF('reductions data'!$G:$G,'reductions workings'!$G25,'reductions data'!$H:$H)</f>
        <v>0</v>
      </c>
      <c r="I25" s="23" t="e">
        <f>H25/H61</f>
        <v>#DIV/0!</v>
      </c>
    </row>
    <row r="26" spans="1:9" ht="16" x14ac:dyDescent="0.2">
      <c r="A26" s="24" t="s">
        <v>1070</v>
      </c>
      <c r="C26" s="15" t="s">
        <v>1070</v>
      </c>
      <c r="D26" s="37">
        <f>COUNTIF('reductions data'!G:G,'reductions workings'!C26)</f>
        <v>0</v>
      </c>
      <c r="E26" s="37">
        <f>D26+0.00021</f>
        <v>2.1000000000000001E-4</v>
      </c>
      <c r="G26" s="15" t="s">
        <v>1070</v>
      </c>
      <c r="H26" s="29">
        <f>SUMIF('reductions data'!$G:$G,'reductions workings'!$G26,'reductions data'!$H:$H)</f>
        <v>0</v>
      </c>
      <c r="I26" s="23" t="e">
        <f>H26/H61</f>
        <v>#DIV/0!</v>
      </c>
    </row>
    <row r="27" spans="1:9" ht="16" x14ac:dyDescent="0.2">
      <c r="A27" s="24" t="s">
        <v>1071</v>
      </c>
      <c r="C27" s="15" t="s">
        <v>1071</v>
      </c>
      <c r="D27" s="37">
        <f>COUNTIF('reductions data'!G:G,'reductions workings'!C27)</f>
        <v>0</v>
      </c>
      <c r="E27" s="37">
        <f>D27+0.00022</f>
        <v>2.2000000000000001E-4</v>
      </c>
      <c r="G27" s="15" t="s">
        <v>1071</v>
      </c>
      <c r="H27" s="29">
        <f>SUMIF('reductions data'!$G:$G,'reductions workings'!$G27,'reductions data'!$H:$H)</f>
        <v>0</v>
      </c>
      <c r="I27" s="23" t="e">
        <f>H27/H61</f>
        <v>#DIV/0!</v>
      </c>
    </row>
    <row r="28" spans="1:9" ht="16" x14ac:dyDescent="0.2">
      <c r="A28" s="24" t="s">
        <v>1072</v>
      </c>
      <c r="C28" s="15" t="s">
        <v>1072</v>
      </c>
      <c r="D28" s="37">
        <f>COUNTIF('reductions data'!G:G,'reductions workings'!C28)</f>
        <v>0</v>
      </c>
      <c r="E28" s="37">
        <f>D28+0.00023</f>
        <v>2.3000000000000001E-4</v>
      </c>
      <c r="G28" s="15" t="s">
        <v>1072</v>
      </c>
      <c r="H28" s="29">
        <f>SUMIF('reductions data'!$G:$G,'reductions workings'!$G28,'reductions data'!$H:$H)</f>
        <v>0</v>
      </c>
      <c r="I28" s="23" t="e">
        <f>H28/H61</f>
        <v>#DIV/0!</v>
      </c>
    </row>
    <row r="29" spans="1:9" ht="16" x14ac:dyDescent="0.2">
      <c r="A29" s="24" t="s">
        <v>1073</v>
      </c>
      <c r="C29" s="15" t="s">
        <v>1073</v>
      </c>
      <c r="D29" s="37">
        <f>COUNTIF('reductions data'!G:G,'reductions workings'!C29)</f>
        <v>0</v>
      </c>
      <c r="E29" s="37">
        <f>D29+0.00024</f>
        <v>2.4000000000000001E-4</v>
      </c>
      <c r="G29" s="15" t="s">
        <v>1073</v>
      </c>
      <c r="H29" s="29">
        <f>SUMIF('reductions data'!$G:$G,'reductions workings'!$G29,'reductions data'!$H:$H)</f>
        <v>0</v>
      </c>
      <c r="I29" s="23" t="e">
        <f>H29/H61</f>
        <v>#DIV/0!</v>
      </c>
    </row>
    <row r="30" spans="1:9" ht="16" x14ac:dyDescent="0.2">
      <c r="A30" s="24" t="s">
        <v>1075</v>
      </c>
      <c r="C30" s="15" t="s">
        <v>1074</v>
      </c>
      <c r="D30" s="37">
        <f>COUNTIF('reductions data'!G:G,'reductions workings'!C30)</f>
        <v>0</v>
      </c>
      <c r="E30" s="37">
        <f>D30+0.00026</f>
        <v>2.5999999999999998E-4</v>
      </c>
      <c r="G30" s="15" t="s">
        <v>1075</v>
      </c>
      <c r="H30" s="29">
        <f>SUMIF('reductions data'!$G:$G,'reductions workings'!$G30,'reductions data'!$H:$H)</f>
        <v>0</v>
      </c>
      <c r="I30" s="23" t="e">
        <f>H30/H61</f>
        <v>#DIV/0!</v>
      </c>
    </row>
    <row r="31" spans="1:9" ht="16" x14ac:dyDescent="0.2">
      <c r="A31" s="24" t="s">
        <v>1077</v>
      </c>
      <c r="C31" s="15" t="s">
        <v>1075</v>
      </c>
      <c r="D31" s="37">
        <f>COUNTIF('reductions data'!G:G,'reductions workings'!C31)</f>
        <v>0</v>
      </c>
      <c r="E31" s="37">
        <f>D31+0.00027</f>
        <v>2.7E-4</v>
      </c>
      <c r="G31" s="15" t="s">
        <v>1077</v>
      </c>
      <c r="H31" s="29">
        <f>SUMIF('reductions data'!$G:$G,'reductions workings'!$G31,'reductions data'!$H:$H)</f>
        <v>0</v>
      </c>
      <c r="I31" s="23" t="e">
        <f>H31/H61</f>
        <v>#DIV/0!</v>
      </c>
    </row>
    <row r="32" spans="1:9" ht="16" x14ac:dyDescent="0.2">
      <c r="A32" s="24" t="s">
        <v>1079</v>
      </c>
      <c r="C32" s="15" t="s">
        <v>1076</v>
      </c>
      <c r="D32" s="37">
        <f>COUNTIF('reductions data'!G:G,'reductions workings'!C32)</f>
        <v>0</v>
      </c>
      <c r="E32" s="37">
        <f>D32+0.00028</f>
        <v>2.7999999999999998E-4</v>
      </c>
      <c r="G32" s="15" t="s">
        <v>1079</v>
      </c>
      <c r="H32" s="29">
        <f>SUMIF('reductions data'!$G:$G,'reductions workings'!$G32,'reductions data'!$H:$H)</f>
        <v>0</v>
      </c>
      <c r="I32" s="23" t="e">
        <f>H32/H61</f>
        <v>#DIV/0!</v>
      </c>
    </row>
    <row r="33" spans="1:9" ht="16" x14ac:dyDescent="0.2">
      <c r="A33" s="339" t="s">
        <v>1437</v>
      </c>
      <c r="C33" s="15" t="s">
        <v>1077</v>
      </c>
      <c r="D33" s="37">
        <f>COUNTIF('reductions data'!G:G,'reductions workings'!C33)</f>
        <v>0</v>
      </c>
      <c r="E33" s="37">
        <f>D33+0.00029</f>
        <v>2.9E-4</v>
      </c>
      <c r="G33" s="339" t="s">
        <v>1437</v>
      </c>
      <c r="H33" s="29">
        <f>SUMIF('reductions data'!$G:$G,'reductions workings'!$G33,'reductions data'!$H:$H)</f>
        <v>0</v>
      </c>
      <c r="I33" s="23" t="e">
        <f>H33/H61</f>
        <v>#DIV/0!</v>
      </c>
    </row>
    <row r="34" spans="1:9" ht="16" x14ac:dyDescent="0.2">
      <c r="A34" s="339" t="s">
        <v>1438</v>
      </c>
      <c r="C34" s="15" t="s">
        <v>1078</v>
      </c>
      <c r="D34" s="37">
        <f>COUNTIF('reductions data'!G:G,'reductions workings'!C34)</f>
        <v>0</v>
      </c>
      <c r="E34" s="37">
        <f>D34+0.00031</f>
        <v>3.1E-4</v>
      </c>
      <c r="G34" s="339" t="s">
        <v>1438</v>
      </c>
      <c r="H34" s="29">
        <f>SUMIF('reductions data'!$G:$G,'reductions workings'!$G34,'reductions data'!$H:$H)</f>
        <v>0</v>
      </c>
      <c r="I34" s="23" t="e">
        <f>H34/H61</f>
        <v>#DIV/0!</v>
      </c>
    </row>
    <row r="35" spans="1:9" ht="16" x14ac:dyDescent="0.2">
      <c r="A35" s="339" t="s">
        <v>1434</v>
      </c>
      <c r="C35" s="15" t="s">
        <v>1079</v>
      </c>
      <c r="D35" s="340">
        <f>COUNTIF('reductions data'!G:G,'reductions workings'!C35)</f>
        <v>0</v>
      </c>
      <c r="E35" s="37">
        <f t="shared" ref="E35:E45" si="0">D35+0.00032</f>
        <v>3.2000000000000003E-4</v>
      </c>
      <c r="G35" s="339" t="s">
        <v>1434</v>
      </c>
      <c r="H35" s="29">
        <f>SUMIF('reductions data'!$G:$G,'reductions workings'!$G35,'reductions data'!$H:$H)</f>
        <v>0</v>
      </c>
      <c r="I35" s="23" t="e">
        <f>H35/H61</f>
        <v>#DIV/0!</v>
      </c>
    </row>
    <row r="36" spans="1:9" ht="16" x14ac:dyDescent="0.2">
      <c r="A36" s="339" t="s">
        <v>1435</v>
      </c>
      <c r="C36" s="339" t="s">
        <v>1434</v>
      </c>
      <c r="D36" s="340">
        <f>COUNTIF('reductions data'!G:G,'reductions workings'!C36)</f>
        <v>0</v>
      </c>
      <c r="E36" s="332">
        <f t="shared" si="0"/>
        <v>3.2000000000000003E-4</v>
      </c>
      <c r="G36" s="339" t="s">
        <v>1435</v>
      </c>
      <c r="H36" s="29">
        <f>SUMIF('reductions data'!$G:$G,'reductions workings'!$G36,'reductions data'!$H:$H)</f>
        <v>0</v>
      </c>
      <c r="I36" s="23" t="e">
        <f>H36/H61</f>
        <v>#DIV/0!</v>
      </c>
    </row>
    <row r="37" spans="1:9" ht="16" x14ac:dyDescent="0.2">
      <c r="A37" s="339" t="s">
        <v>1436</v>
      </c>
      <c r="C37" s="339" t="s">
        <v>1435</v>
      </c>
      <c r="D37" s="340">
        <f>COUNTIF('reductions data'!G:G,'reductions workings'!C37)</f>
        <v>0</v>
      </c>
      <c r="E37" s="332">
        <f t="shared" si="0"/>
        <v>3.2000000000000003E-4</v>
      </c>
      <c r="G37" s="339" t="s">
        <v>1445</v>
      </c>
      <c r="H37" s="29">
        <f>SUMIF('reductions data'!$G:$G,'reductions workings'!$G37,'reductions data'!$H:$H)</f>
        <v>0</v>
      </c>
      <c r="I37" s="23" t="e">
        <f>H37/H61</f>
        <v>#DIV/0!</v>
      </c>
    </row>
    <row r="38" spans="1:9" ht="16" x14ac:dyDescent="0.2">
      <c r="A38" s="24" t="s">
        <v>1076</v>
      </c>
      <c r="C38" s="339" t="s">
        <v>1445</v>
      </c>
      <c r="D38" s="340">
        <f>COUNTIF('reductions data'!G:G,'reductions workings'!C38)</f>
        <v>0</v>
      </c>
      <c r="E38" s="332">
        <f t="shared" si="0"/>
        <v>3.2000000000000003E-4</v>
      </c>
      <c r="G38" s="15" t="s">
        <v>1076</v>
      </c>
      <c r="H38" s="29">
        <f>SUMIF('reductions data'!$G:$G,'reductions workings'!$G38,'reductions data'!$H:$H)</f>
        <v>0</v>
      </c>
      <c r="I38" s="23" t="e">
        <f>H38/H61</f>
        <v>#DIV/0!</v>
      </c>
    </row>
    <row r="39" spans="1:9" ht="16" x14ac:dyDescent="0.2">
      <c r="A39" s="24" t="s">
        <v>1080</v>
      </c>
      <c r="C39" s="339" t="s">
        <v>1437</v>
      </c>
      <c r="D39" s="340">
        <f>COUNTIF('reductions data'!G:G,'reductions workings'!C39)</f>
        <v>0</v>
      </c>
      <c r="E39" s="332">
        <f t="shared" si="0"/>
        <v>3.2000000000000003E-4</v>
      </c>
      <c r="G39" s="15" t="s">
        <v>1081</v>
      </c>
      <c r="H39" s="29">
        <f>SUMIF('reductions data'!$G:$G,'reductions workings'!$G39,'reductions data'!$H:$H)</f>
        <v>0</v>
      </c>
      <c r="I39" s="23" t="e">
        <f>H39/H61</f>
        <v>#DIV/0!</v>
      </c>
    </row>
    <row r="40" spans="1:9" ht="16" x14ac:dyDescent="0.2">
      <c r="A40" s="24" t="s">
        <v>1078</v>
      </c>
      <c r="C40" s="339" t="s">
        <v>1438</v>
      </c>
      <c r="D40" s="340">
        <f>COUNTIF('reductions data'!G:G,'reductions workings'!C40)</f>
        <v>0</v>
      </c>
      <c r="E40" s="332">
        <f t="shared" si="0"/>
        <v>3.2000000000000003E-4</v>
      </c>
      <c r="G40" s="15" t="s">
        <v>1078</v>
      </c>
      <c r="H40" s="29">
        <f>SUMIF('reductions data'!$G:$G,'reductions workings'!$G40,'reductions data'!$H:$H)</f>
        <v>0</v>
      </c>
      <c r="I40" s="23" t="e">
        <f>H40/H61</f>
        <v>#DIV/0!</v>
      </c>
    </row>
    <row r="41" spans="1:9" ht="16" x14ac:dyDescent="0.2">
      <c r="A41" s="339" t="s">
        <v>1439</v>
      </c>
      <c r="C41" s="339" t="s">
        <v>1441</v>
      </c>
      <c r="D41" s="340">
        <f>COUNTIF('reductions data'!G:G,'reductions workings'!C41)</f>
        <v>0</v>
      </c>
      <c r="E41" s="332">
        <f t="shared" si="0"/>
        <v>3.2000000000000003E-4</v>
      </c>
      <c r="G41" s="339" t="s">
        <v>1439</v>
      </c>
      <c r="H41" s="29">
        <f>SUMIF('reductions data'!$G:$G,'reductions workings'!$G41,'reductions data'!$H:$H)</f>
        <v>0</v>
      </c>
      <c r="I41" s="23" t="e">
        <f>H41/H61</f>
        <v>#DIV/0!</v>
      </c>
    </row>
    <row r="42" spans="1:9" ht="16" x14ac:dyDescent="0.2">
      <c r="A42" s="339" t="s">
        <v>1440</v>
      </c>
      <c r="C42" s="339" t="s">
        <v>1442</v>
      </c>
      <c r="D42" s="340">
        <f>COUNTIF('reductions data'!G:G,'reductions workings'!C42)</f>
        <v>0</v>
      </c>
      <c r="E42" s="332">
        <f t="shared" si="0"/>
        <v>3.2000000000000003E-4</v>
      </c>
      <c r="G42" s="339" t="s">
        <v>1440</v>
      </c>
      <c r="H42" s="29">
        <f>SUMIF('reductions data'!$G:$G,'reductions workings'!$G42,'reductions data'!$H:$H)</f>
        <v>0</v>
      </c>
      <c r="I42" s="23" t="e">
        <f>H42/H61</f>
        <v>#DIV/0!</v>
      </c>
    </row>
    <row r="43" spans="1:9" ht="16" x14ac:dyDescent="0.2">
      <c r="A43" s="24" t="s">
        <v>1082</v>
      </c>
      <c r="C43" s="339" t="s">
        <v>1446</v>
      </c>
      <c r="D43" s="340">
        <f>COUNTIF('reductions data'!G:G,'reductions workings'!C43)</f>
        <v>0</v>
      </c>
      <c r="E43" s="332">
        <f t="shared" si="0"/>
        <v>3.2000000000000003E-4</v>
      </c>
      <c r="G43" s="15" t="s">
        <v>1082</v>
      </c>
      <c r="H43" s="29">
        <f>SUMIF('reductions data'!$G:$G,'reductions workings'!$G43,'reductions data'!$H:$H)</f>
        <v>0</v>
      </c>
      <c r="I43" s="23" t="e">
        <f>H43/H61</f>
        <v>#DIV/0!</v>
      </c>
    </row>
    <row r="44" spans="1:9" ht="16" x14ac:dyDescent="0.2">
      <c r="A44" s="24" t="s">
        <v>1083</v>
      </c>
      <c r="C44" s="339" t="s">
        <v>1439</v>
      </c>
      <c r="D44" s="340">
        <f>COUNTIF('reductions data'!G:G,'reductions workings'!C44)</f>
        <v>0</v>
      </c>
      <c r="E44" s="332">
        <f t="shared" si="0"/>
        <v>3.2000000000000003E-4</v>
      </c>
      <c r="G44" s="15" t="s">
        <v>1083</v>
      </c>
      <c r="H44" s="29">
        <f>SUMIF('reductions data'!$G:$G,'reductions workings'!$G44,'reductions data'!$H:$H)</f>
        <v>0</v>
      </c>
      <c r="I44" s="23" t="e">
        <f>H44/H61</f>
        <v>#DIV/0!</v>
      </c>
    </row>
    <row r="45" spans="1:9" ht="16" x14ac:dyDescent="0.2">
      <c r="A45" s="24" t="s">
        <v>1084</v>
      </c>
      <c r="C45" s="339" t="s">
        <v>1440</v>
      </c>
      <c r="D45" s="340">
        <f>COUNTIF('reductions data'!G:G,'reductions workings'!C45)</f>
        <v>0</v>
      </c>
      <c r="E45" s="332">
        <f t="shared" si="0"/>
        <v>3.2000000000000003E-4</v>
      </c>
      <c r="G45" s="15" t="s">
        <v>1084</v>
      </c>
      <c r="H45" s="29">
        <f>SUMIF('reductions data'!$G:$G,'reductions workings'!$G45,'reductions data'!$H:$H)</f>
        <v>0</v>
      </c>
      <c r="I45" s="23" t="e">
        <f>H45/H61</f>
        <v>#DIV/0!</v>
      </c>
    </row>
    <row r="46" spans="1:9" ht="16" x14ac:dyDescent="0.2">
      <c r="A46" s="24" t="s">
        <v>1085</v>
      </c>
      <c r="C46" s="15" t="s">
        <v>1081</v>
      </c>
      <c r="D46" s="340">
        <f>COUNTIF('reductions data'!G:G,'reductions workings'!C46)</f>
        <v>0</v>
      </c>
      <c r="E46" s="37">
        <f t="shared" ref="E46:E52" si="1">D46+0.00033</f>
        <v>3.3E-4</v>
      </c>
      <c r="G46" s="15" t="s">
        <v>1085</v>
      </c>
      <c r="H46" s="29">
        <f>SUMIF('reductions data'!$G:$G,'reductions workings'!$G46,'reductions data'!$H:$H)</f>
        <v>0</v>
      </c>
      <c r="I46" s="23" t="e">
        <f>H46/H61</f>
        <v>#DIV/0!</v>
      </c>
    </row>
    <row r="47" spans="1:9" ht="16" x14ac:dyDescent="0.2">
      <c r="A47" s="24" t="s">
        <v>1086</v>
      </c>
      <c r="C47" s="15" t="s">
        <v>1082</v>
      </c>
      <c r="D47" s="37">
        <f>COUNTIF('reductions data'!G:G,'reductions workings'!C47)</f>
        <v>0</v>
      </c>
      <c r="E47" s="37">
        <f t="shared" si="1"/>
        <v>3.3E-4</v>
      </c>
      <c r="G47" s="15" t="s">
        <v>1086</v>
      </c>
      <c r="H47" s="29">
        <f>SUMIF('reductions data'!$G:$G,'reductions workings'!$G47,'reductions data'!$H:$H)</f>
        <v>0</v>
      </c>
      <c r="I47" s="23" t="e">
        <f>H47/H61</f>
        <v>#DIV/0!</v>
      </c>
    </row>
    <row r="48" spans="1:9" ht="16" x14ac:dyDescent="0.2">
      <c r="A48" s="24" t="s">
        <v>1087</v>
      </c>
      <c r="C48" s="15" t="s">
        <v>1083</v>
      </c>
      <c r="D48" s="37">
        <f>COUNTIF('reductions data'!G:G,'reductions workings'!C48)</f>
        <v>0</v>
      </c>
      <c r="E48" s="37">
        <f t="shared" si="1"/>
        <v>3.3E-4</v>
      </c>
      <c r="G48" s="15" t="s">
        <v>1087</v>
      </c>
      <c r="H48" s="29">
        <f>SUMIF('reductions data'!$G:$G,'reductions workings'!$G48,'reductions data'!$H:$H)</f>
        <v>0</v>
      </c>
      <c r="I48" s="23" t="e">
        <f>H48/H61</f>
        <v>#DIV/0!</v>
      </c>
    </row>
    <row r="49" spans="1:9" ht="16" x14ac:dyDescent="0.2">
      <c r="A49" s="339" t="s">
        <v>1441</v>
      </c>
      <c r="C49" s="15" t="s">
        <v>1084</v>
      </c>
      <c r="D49" s="37">
        <f>COUNTIF('reductions data'!G:G,'reductions workings'!C49)</f>
        <v>0</v>
      </c>
      <c r="E49" s="37">
        <f t="shared" si="1"/>
        <v>3.3E-4</v>
      </c>
      <c r="G49" s="339" t="s">
        <v>1441</v>
      </c>
      <c r="H49" s="29">
        <f>SUMIF('reductions data'!$G:$G,'reductions workings'!$G49,'reductions data'!$H:$H)</f>
        <v>0</v>
      </c>
      <c r="I49" s="23" t="e">
        <f>H49/H61</f>
        <v>#DIV/0!</v>
      </c>
    </row>
    <row r="50" spans="1:9" ht="16" x14ac:dyDescent="0.2">
      <c r="A50" s="339" t="s">
        <v>1442</v>
      </c>
      <c r="C50" s="15" t="s">
        <v>1085</v>
      </c>
      <c r="D50" s="37">
        <f>COUNTIF('reductions data'!G:G,'reductions workings'!C50)</f>
        <v>0</v>
      </c>
      <c r="E50" s="37">
        <f t="shared" si="1"/>
        <v>3.3E-4</v>
      </c>
      <c r="G50" s="339" t="s">
        <v>1442</v>
      </c>
      <c r="H50" s="29">
        <f>SUMIF('reductions data'!$G:$G,'reductions workings'!$G50,'reductions data'!$H:$H)</f>
        <v>0</v>
      </c>
      <c r="I50" s="23" t="e">
        <f>H50/H61</f>
        <v>#DIV/0!</v>
      </c>
    </row>
    <row r="51" spans="1:9" ht="16" x14ac:dyDescent="0.2">
      <c r="A51" s="339" t="s">
        <v>1443</v>
      </c>
      <c r="C51" s="15" t="s">
        <v>1086</v>
      </c>
      <c r="D51" s="37">
        <f>COUNTIF('reductions data'!G:G,'reductions workings'!C51)</f>
        <v>0</v>
      </c>
      <c r="E51" s="37">
        <f t="shared" si="1"/>
        <v>3.3E-4</v>
      </c>
      <c r="G51" s="339" t="s">
        <v>1446</v>
      </c>
      <c r="H51" s="29">
        <f>SUMIF('reductions data'!$G:$G,'reductions workings'!$G51,'reductions data'!$H:$H)</f>
        <v>0</v>
      </c>
      <c r="I51" s="23" t="e">
        <f>H51/H61</f>
        <v>#DIV/0!</v>
      </c>
    </row>
    <row r="52" spans="1:9" ht="16" x14ac:dyDescent="0.2">
      <c r="A52" s="24" t="s">
        <v>1074</v>
      </c>
      <c r="C52" s="15" t="s">
        <v>1087</v>
      </c>
      <c r="D52" s="37">
        <f>COUNTIF('reductions data'!G:G,'reductions workings'!C52)</f>
        <v>0</v>
      </c>
      <c r="E52" s="37">
        <f t="shared" si="1"/>
        <v>3.3E-4</v>
      </c>
      <c r="G52" s="15" t="s">
        <v>1074</v>
      </c>
      <c r="H52" s="29">
        <f>SUMIF('reductions data'!$G:$G,'reductions workings'!$G52,'reductions data'!$H:$H)</f>
        <v>0</v>
      </c>
      <c r="I52" s="23" t="e">
        <f>H52/H61</f>
        <v>#DIV/0!</v>
      </c>
    </row>
    <row r="53" spans="1:9" ht="16" x14ac:dyDescent="0.2">
      <c r="A53" s="24" t="s">
        <v>1091</v>
      </c>
      <c r="C53" s="15" t="s">
        <v>1091</v>
      </c>
      <c r="D53" s="37">
        <f>COUNTIF('reductions data'!G:G,'reductions workings'!C53)</f>
        <v>0</v>
      </c>
      <c r="E53" s="37">
        <f>D53+0.00034</f>
        <v>3.4000000000000002E-4</v>
      </c>
      <c r="G53" s="15" t="s">
        <v>1091</v>
      </c>
      <c r="H53" s="29">
        <f>SUMIF('reductions data'!$G:$G,'reductions workings'!$G53,'reductions data'!$H:$H)</f>
        <v>0</v>
      </c>
      <c r="I53" s="23" t="e">
        <f>H53/H61</f>
        <v>#DIV/0!</v>
      </c>
    </row>
    <row r="54" spans="1:9" ht="16" x14ac:dyDescent="0.2">
      <c r="A54" s="24" t="s">
        <v>1088</v>
      </c>
      <c r="C54" s="15" t="s">
        <v>1092</v>
      </c>
      <c r="D54" s="37">
        <f>COUNTIF('reductions data'!G:G,'reductions workings'!C54)</f>
        <v>0</v>
      </c>
      <c r="E54" s="37">
        <f>D54+0.00035</f>
        <v>3.5E-4</v>
      </c>
      <c r="G54" s="15" t="s">
        <v>1092</v>
      </c>
      <c r="H54" s="29">
        <f>SUMIF('reductions data'!$G:$G,'reductions workings'!$G54,'reductions data'!$H:$H)</f>
        <v>0</v>
      </c>
      <c r="I54" s="23" t="e">
        <f>H54/H61</f>
        <v>#DIV/0!</v>
      </c>
    </row>
    <row r="55" spans="1:9" ht="16" x14ac:dyDescent="0.2">
      <c r="A55" s="24" t="s">
        <v>1089</v>
      </c>
      <c r="C55" s="15" t="s">
        <v>1093</v>
      </c>
      <c r="D55" s="37">
        <f>COUNTIF('reductions data'!G:G,'reductions workings'!C55)</f>
        <v>0</v>
      </c>
      <c r="E55" s="37">
        <f>D55+0.00036</f>
        <v>3.6000000000000002E-4</v>
      </c>
      <c r="G55" s="15" t="s">
        <v>1093</v>
      </c>
      <c r="H55" s="29">
        <f>SUMIF('reductions data'!$G:$G,'reductions workings'!$G55,'reductions data'!$H:$H)</f>
        <v>0</v>
      </c>
      <c r="I55" s="23" t="e">
        <f>H55/H61</f>
        <v>#DIV/0!</v>
      </c>
    </row>
    <row r="56" spans="1:9" ht="16" x14ac:dyDescent="0.2">
      <c r="A56" s="24" t="s">
        <v>1090</v>
      </c>
      <c r="C56" s="15" t="s">
        <v>1094</v>
      </c>
      <c r="D56" s="37">
        <f>COUNTIF('reductions data'!G:G,'reductions workings'!C56)</f>
        <v>0</v>
      </c>
      <c r="E56" s="37">
        <f>D56+0.00037</f>
        <v>3.6999999999999999E-4</v>
      </c>
      <c r="G56" s="15" t="s">
        <v>1094</v>
      </c>
      <c r="H56" s="29">
        <f>SUMIF('reductions data'!$G:$G,'reductions workings'!$G56,'reductions data'!$H:$H)</f>
        <v>0</v>
      </c>
      <c r="I56" s="23" t="e">
        <f>H56/H61</f>
        <v>#DIV/0!</v>
      </c>
    </row>
    <row r="57" spans="1:9" ht="16" x14ac:dyDescent="0.2">
      <c r="A57" s="24" t="s">
        <v>1092</v>
      </c>
      <c r="C57" s="15" t="s">
        <v>1095</v>
      </c>
      <c r="D57" s="37">
        <f>COUNTIF('reductions data'!G:G,'reductions workings'!C57)</f>
        <v>0</v>
      </c>
      <c r="E57" s="37">
        <f>D57+0.00038</f>
        <v>3.8000000000000002E-4</v>
      </c>
      <c r="G57" s="15" t="s">
        <v>1095</v>
      </c>
      <c r="H57" s="29">
        <f>SUMIF('reductions data'!$G:$G,'reductions workings'!$G57,'reductions data'!$H:$H)</f>
        <v>0</v>
      </c>
      <c r="I57" s="23" t="e">
        <f>H57/H61</f>
        <v>#DIV/0!</v>
      </c>
    </row>
    <row r="58" spans="1:9" ht="16" x14ac:dyDescent="0.2">
      <c r="A58" s="24" t="s">
        <v>1093</v>
      </c>
      <c r="C58" s="15" t="s">
        <v>1096</v>
      </c>
      <c r="D58" s="37">
        <f>COUNTIF('reductions data'!G:G,'reductions workings'!C58)</f>
        <v>0</v>
      </c>
      <c r="E58" s="37">
        <f>D58+0.00039</f>
        <v>3.8999999999999999E-4</v>
      </c>
      <c r="G58" s="15" t="s">
        <v>1096</v>
      </c>
      <c r="H58" s="29">
        <f>SUMIF('reductions data'!$G:$G,'reductions workings'!$G58,'reductions data'!$H:$H)</f>
        <v>0</v>
      </c>
      <c r="I58" s="23" t="e">
        <f>H58/H61</f>
        <v>#DIV/0!</v>
      </c>
    </row>
    <row r="59" spans="1:9" ht="16" x14ac:dyDescent="0.2">
      <c r="A59" s="24" t="s">
        <v>1094</v>
      </c>
      <c r="C59" s="15" t="s">
        <v>1097</v>
      </c>
      <c r="D59" s="37">
        <f>COUNTIF('reductions data'!G:G,'reductions workings'!C59)</f>
        <v>0</v>
      </c>
      <c r="E59" s="37">
        <f>D59+0.00039</f>
        <v>3.8999999999999999E-4</v>
      </c>
      <c r="G59" s="15" t="s">
        <v>1097</v>
      </c>
      <c r="H59" s="29">
        <f>SUMIF('reductions data'!$G:$G,'reductions workings'!$G59,'reductions data'!$H:$H)</f>
        <v>0</v>
      </c>
      <c r="I59" s="23" t="e">
        <f>H59/H61</f>
        <v>#DIV/0!</v>
      </c>
    </row>
    <row r="60" spans="1:9" ht="16" x14ac:dyDescent="0.2">
      <c r="A60" s="24" t="s">
        <v>1095</v>
      </c>
      <c r="C60" s="15" t="s">
        <v>1098</v>
      </c>
      <c r="D60" s="37">
        <f>COUNTIF('reductions data'!G:G,'reductions workings'!C60)</f>
        <v>0</v>
      </c>
      <c r="E60" s="37">
        <f>D60+0.00041</f>
        <v>4.0999999999999999E-4</v>
      </c>
      <c r="G60" s="15" t="s">
        <v>1098</v>
      </c>
      <c r="H60" s="29">
        <f>SUMIF('reductions data'!$G:$G,'reductions workings'!$G60,'reductions data'!$H:$H)</f>
        <v>0</v>
      </c>
      <c r="I60" s="23" t="e">
        <f>H60/H61</f>
        <v>#DIV/0!</v>
      </c>
    </row>
    <row r="61" spans="1:9" ht="18" x14ac:dyDescent="0.2">
      <c r="A61" s="24" t="s">
        <v>1096</v>
      </c>
      <c r="C61" s="27" t="s">
        <v>1099</v>
      </c>
      <c r="D61" s="352">
        <f>SUM(D6:D60)</f>
        <v>0</v>
      </c>
      <c r="E61" s="353"/>
      <c r="G61" s="27" t="s">
        <v>1100</v>
      </c>
      <c r="H61" s="354">
        <f>SUM(H6:H60)</f>
        <v>0</v>
      </c>
      <c r="I61" s="355"/>
    </row>
    <row r="62" spans="1:9" x14ac:dyDescent="0.15">
      <c r="A62" s="24" t="s">
        <v>1097</v>
      </c>
    </row>
    <row r="63" spans="1:9" x14ac:dyDescent="0.15">
      <c r="A63" s="24" t="s">
        <v>1098</v>
      </c>
    </row>
    <row r="99" spans="4:9" x14ac:dyDescent="0.15">
      <c r="D99" s="8"/>
      <c r="E99" s="8"/>
      <c r="H99" s="8"/>
      <c r="I99" s="8"/>
    </row>
    <row r="100" spans="4:9" x14ac:dyDescent="0.15">
      <c r="D100" s="8"/>
      <c r="E100" s="8"/>
      <c r="H100" s="8"/>
      <c r="I100" s="8"/>
    </row>
    <row r="101" spans="4:9" x14ac:dyDescent="0.15">
      <c r="D101" s="8"/>
      <c r="E101" s="8"/>
      <c r="H101" s="8"/>
      <c r="I101" s="8"/>
    </row>
    <row r="102" spans="4:9" x14ac:dyDescent="0.15">
      <c r="D102" s="8"/>
      <c r="E102" s="8"/>
      <c r="H102" s="8"/>
      <c r="I102" s="8"/>
    </row>
    <row r="103" spans="4:9" x14ac:dyDescent="0.15">
      <c r="D103" s="8"/>
      <c r="E103" s="8"/>
      <c r="H103" s="8"/>
      <c r="I103" s="8"/>
    </row>
    <row r="104" spans="4:9" x14ac:dyDescent="0.15">
      <c r="D104" s="8"/>
      <c r="E104" s="8"/>
      <c r="H104" s="8"/>
      <c r="I104" s="8"/>
    </row>
    <row r="105" spans="4:9" x14ac:dyDescent="0.15">
      <c r="D105" s="8"/>
      <c r="E105" s="8"/>
      <c r="H105" s="8"/>
      <c r="I105" s="8"/>
    </row>
    <row r="106" spans="4:9" x14ac:dyDescent="0.15">
      <c r="D106" s="8"/>
      <c r="E106" s="8"/>
      <c r="H106" s="8"/>
      <c r="I106" s="8"/>
    </row>
    <row r="107" spans="4:9" x14ac:dyDescent="0.15">
      <c r="D107" s="8"/>
      <c r="E107" s="8"/>
      <c r="H107" s="8"/>
      <c r="I107" s="8"/>
    </row>
    <row r="108" spans="4:9" x14ac:dyDescent="0.15">
      <c r="D108" s="8"/>
      <c r="E108" s="8"/>
      <c r="H108" s="8"/>
      <c r="I108" s="8"/>
    </row>
    <row r="109" spans="4:9" x14ac:dyDescent="0.15">
      <c r="D109" s="8"/>
      <c r="E109" s="8"/>
      <c r="H109" s="8"/>
      <c r="I109" s="8"/>
    </row>
    <row r="110" spans="4:9" x14ac:dyDescent="0.15">
      <c r="D110" s="8"/>
      <c r="E110" s="8"/>
      <c r="H110" s="8"/>
      <c r="I110" s="8"/>
    </row>
    <row r="111" spans="4:9" x14ac:dyDescent="0.15">
      <c r="D111" s="8"/>
      <c r="E111" s="8"/>
      <c r="H111" s="8"/>
      <c r="I111" s="8"/>
    </row>
    <row r="112" spans="4:9" x14ac:dyDescent="0.15">
      <c r="D112" s="8"/>
      <c r="E112" s="8"/>
      <c r="H112" s="8"/>
      <c r="I112" s="8"/>
    </row>
    <row r="127" spans="3:9" x14ac:dyDescent="0.15">
      <c r="C127" s="30"/>
      <c r="D127" s="31"/>
      <c r="E127" s="31"/>
      <c r="G127" s="30"/>
      <c r="H127" s="31"/>
      <c r="I127" s="31"/>
    </row>
    <row r="130" spans="1:11" x14ac:dyDescent="0.15">
      <c r="A130" s="30"/>
    </row>
    <row r="131" spans="1:11" x14ac:dyDescent="0.15">
      <c r="B131" s="30"/>
      <c r="F131" s="30"/>
      <c r="J131" s="30"/>
      <c r="K131" s="30"/>
    </row>
  </sheetData>
  <sheetProtection selectLockedCells="1" selectUnlockedCells="1"/>
  <sortState xmlns:xlrd2="http://schemas.microsoft.com/office/spreadsheetml/2017/richdata2" ref="G6:I57">
    <sortCondition ref="G6:G57"/>
  </sortState>
  <mergeCells count="2">
    <mergeCell ref="D61:E61"/>
    <mergeCell ref="H61:I6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1"/>
  <sheetViews>
    <sheetView showGridLines="0" showRowColHeaders="0" workbookViewId="0">
      <selection activeCell="S14" sqref="S14"/>
    </sheetView>
  </sheetViews>
  <sheetFormatPr baseColWidth="10" defaultColWidth="8.83203125" defaultRowHeight="14" x14ac:dyDescent="0.15"/>
  <sheetData>
    <row r="1" spans="1:19" ht="40.5" customHeight="1" x14ac:dyDescent="0.3">
      <c r="A1" s="356" t="s">
        <v>1101</v>
      </c>
      <c r="B1" s="356"/>
      <c r="C1" s="356"/>
      <c r="D1" s="356"/>
      <c r="E1" s="356"/>
      <c r="F1" s="356"/>
      <c r="G1" s="356"/>
      <c r="H1" s="356"/>
      <c r="I1" s="356"/>
      <c r="J1" s="356"/>
      <c r="K1" s="356"/>
      <c r="L1" s="356"/>
      <c r="M1" s="356"/>
      <c r="N1" s="356"/>
      <c r="O1" s="356"/>
      <c r="P1" s="356"/>
      <c r="Q1" s="356"/>
      <c r="R1" s="290"/>
      <c r="S1" s="290"/>
    </row>
  </sheetData>
  <mergeCells count="1">
    <mergeCell ref="A1:Q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35"/>
  <sheetViews>
    <sheetView showGridLines="0" zoomScale="70" zoomScaleNormal="70" workbookViewId="0">
      <selection activeCell="B5" sqref="B5"/>
    </sheetView>
  </sheetViews>
  <sheetFormatPr baseColWidth="10" defaultColWidth="9.1640625" defaultRowHeight="14" x14ac:dyDescent="0.15"/>
  <cols>
    <col min="2" max="2" width="46.5" customWidth="1"/>
    <col min="3" max="3" width="14.5" bestFit="1" customWidth="1"/>
    <col min="4" max="4" width="17.5" customWidth="1"/>
    <col min="5" max="5" width="14.83203125" customWidth="1"/>
    <col min="6" max="6" width="20.1640625" customWidth="1"/>
    <col min="7" max="7" width="17.5" customWidth="1"/>
    <col min="8" max="8" width="19.5" customWidth="1"/>
    <col min="9" max="9" width="16.5" customWidth="1"/>
    <col min="10" max="10" width="15.5" customWidth="1"/>
    <col min="11" max="11" width="18" customWidth="1"/>
    <col min="12" max="12" width="16" customWidth="1"/>
    <col min="13" max="13" width="15.5" customWidth="1"/>
    <col min="21" max="21" width="43.5" bestFit="1" customWidth="1"/>
  </cols>
  <sheetData>
    <row r="1" spans="1:19" ht="52.5" customHeight="1" x14ac:dyDescent="0.15">
      <c r="A1" s="363" t="s">
        <v>1102</v>
      </c>
      <c r="B1" s="363"/>
      <c r="C1" s="363"/>
      <c r="D1" s="363"/>
      <c r="E1" s="363"/>
      <c r="F1" s="363"/>
      <c r="G1" s="363"/>
      <c r="H1" s="363"/>
      <c r="I1" s="363"/>
      <c r="J1" s="363"/>
      <c r="K1" s="363"/>
      <c r="L1" s="363"/>
      <c r="M1" s="363"/>
      <c r="N1" s="249"/>
      <c r="O1" s="249"/>
      <c r="P1" s="249"/>
      <c r="Q1" s="249"/>
      <c r="R1" s="249"/>
      <c r="S1" s="249"/>
    </row>
    <row r="2" spans="1:19" ht="28.5" customHeight="1" x14ac:dyDescent="0.15">
      <c r="A2" s="374"/>
      <c r="B2" s="374"/>
      <c r="C2" s="374"/>
      <c r="D2" s="374"/>
      <c r="E2" s="374"/>
      <c r="F2" s="374"/>
      <c r="G2" s="374"/>
      <c r="H2" s="374"/>
      <c r="I2" s="374"/>
      <c r="J2" s="374"/>
      <c r="K2" s="374"/>
      <c r="L2" s="374"/>
      <c r="M2" s="271"/>
      <c r="N2" s="250"/>
      <c r="O2" s="250"/>
      <c r="P2" s="250"/>
      <c r="Q2" s="250"/>
      <c r="R2" s="250"/>
      <c r="S2" s="250"/>
    </row>
    <row r="4" spans="1:19" ht="36" customHeight="1" x14ac:dyDescent="0.15">
      <c r="B4" s="38" t="s">
        <v>1103</v>
      </c>
    </row>
    <row r="5" spans="1:19" ht="39" customHeight="1" x14ac:dyDescent="0.15">
      <c r="B5" s="252" t="s">
        <v>23</v>
      </c>
      <c r="C5" s="42"/>
    </row>
    <row r="6" spans="1:19" x14ac:dyDescent="0.15">
      <c r="H6" s="52"/>
    </row>
    <row r="7" spans="1:19" ht="25" x14ac:dyDescent="0.15">
      <c r="B7" s="293" t="s">
        <v>1104</v>
      </c>
      <c r="C7" s="294"/>
      <c r="D7" s="294"/>
      <c r="E7" s="294"/>
      <c r="F7" s="295"/>
    </row>
    <row r="8" spans="1:19" ht="78.75" customHeight="1" x14ac:dyDescent="0.15">
      <c r="B8" s="66"/>
      <c r="C8" s="227" t="s">
        <v>1105</v>
      </c>
      <c r="D8" s="67" t="s">
        <v>1106</v>
      </c>
      <c r="E8" s="67" t="s">
        <v>1107</v>
      </c>
      <c r="F8" s="67" t="s">
        <v>1108</v>
      </c>
      <c r="G8" s="68"/>
      <c r="H8" s="227" t="s">
        <v>1109</v>
      </c>
      <c r="I8" s="227" t="s">
        <v>1110</v>
      </c>
      <c r="J8" s="68"/>
      <c r="K8" s="227" t="s">
        <v>1111</v>
      </c>
      <c r="L8" s="227" t="s">
        <v>1112</v>
      </c>
    </row>
    <row r="9" spans="1:19" x14ac:dyDescent="0.15">
      <c r="B9" s="69" t="str">
        <f>B5</f>
        <v>East Midlands Region</v>
      </c>
      <c r="C9" s="70" t="e">
        <f>SUM((SUMIFS('capacity data'!$G:$G,'capacity data'!$E:$E,"PO",'capacity data'!$A:$A,B5))-SUMIFS('capacity data'!$H:$H,'capacity data'!$E:$E,"PO",'capacity data'!$A:$A,B5))/SUMIFS('capacity data'!$G:$G,'capacity data'!$E:$E,"PO",'capacity data'!$A:$A,B5)</f>
        <v>#DIV/0!</v>
      </c>
      <c r="D9" s="71" t="e">
        <f>SUM((SUMIFS('capacity data'!$G:$G,'capacity data'!$E:$E,"PSO",'capacity data'!$A:$A,B5))-SUMIFS('capacity data'!$H:$H,'capacity data'!$E:$E,"PSO",'capacity data'!$A:$A,B5))/SUMIFS('capacity data'!$G:$G,'capacity data'!$E:$E,"PSO",'capacity data'!$A:$A,B5)</f>
        <v>#DIV/0!</v>
      </c>
      <c r="E9" s="71" t="e">
        <f>SUM((SUMIFS('capacity data'!$G:$G,'capacity data'!$E:$E,"TPO",'capacity data'!$A:$A,B5))-SUMIFS('capacity data'!$H:$H,'capacity data'!$E:$E,"TPO",'capacity data'!$A:$A,B5))/SUMIFS('capacity data'!$G:$G,'capacity data'!$E:$E,"TPO",'capacity data'!$A:$A,B5)</f>
        <v>#DIV/0!</v>
      </c>
      <c r="F9" s="70" t="e">
        <f>SUM((SUMIFS('capacity data'!G:G,'capacity data'!A:A,B5))-SUMIFS('capacity data'!H:H,'capacity data'!A:A,B5))/SUMIFS('capacity data'!G:G,'capacity data'!A:A,B5)</f>
        <v>#DIV/0!</v>
      </c>
      <c r="G9" s="68"/>
      <c r="H9" s="70" t="e">
        <f>SUMIFS('capacity data'!$L:$L,'capacity data'!$A:$A,$B$5,'capacity data'!$E:$E,"PSO")/SUM((SUMIFS('capacity data'!$G:$G,'capacity data'!$E:$E,"PSO",'capacity data'!$A:$A,$B$5))-SUMIFS('capacity data'!$H:$H,'capacity data'!$E:$E,"PSO",'capacity data'!$A:$A,$B$5))</f>
        <v>#DIV/0!</v>
      </c>
      <c r="I9" s="70" t="e">
        <f>SUMIFS('capacity data'!$L:$L,'capacity data'!$A:$A,$B$5,'capacity data'!$E:$E,"PSO")/SUMIFS('capacity data'!$G:$G,'capacity data'!$E:$E,"PSO",'capacity data'!$A:$A,$B$5)</f>
        <v>#DIV/0!</v>
      </c>
      <c r="J9" s="68"/>
      <c r="K9" s="70" t="e">
        <f>SUMIFS('capacity data'!$L:$L,'capacity data'!$A:$A,$B$5,'capacity data'!$E:$E,"TPO")/SUM((SUMIFS('capacity data'!$G:$G,'capacity data'!$E:$E,"TPO",'capacity data'!$A:$A,$B$5))-SUMIFS('capacity data'!$H:$H,'capacity data'!$E:$E,"TPO",'capacity data'!$A:$A,$B$5))</f>
        <v>#DIV/0!</v>
      </c>
      <c r="L9" s="70" t="e">
        <f>SUMIFS('capacity data'!$L:$L,'capacity data'!$A:$A,$B$5,'capacity data'!$E:$E,"TPO")/SUMIFS('capacity data'!$G:$G,'capacity data'!$E:$E,"TPO",'capacity data'!$A:$A,$B$5)</f>
        <v>#DIV/0!</v>
      </c>
    </row>
    <row r="10" spans="1:19" x14ac:dyDescent="0.15">
      <c r="B10" s="237" t="s">
        <v>1113</v>
      </c>
      <c r="C10" s="86" t="e">
        <f>SUM((SUMIF('capacity data'!E:E,"PO",'capacity data'!G:G))-SUMIF('capacity data'!E:E,"PO",'capacity data'!H:H))/SUMIF('capacity data'!E:E,"PO",'capacity data'!G:G)</f>
        <v>#DIV/0!</v>
      </c>
      <c r="D10" s="111" t="e">
        <f>SUM((SUMIF('capacity data'!E:E,"PSO",'capacity data'!G:G))-SUMIF('capacity data'!E:E,"PSO",'capacity data'!H:H))/SUMIF('capacity data'!E:E,"PSO",'capacity data'!G:G)</f>
        <v>#DIV/0!</v>
      </c>
      <c r="E10" s="111" t="e">
        <f>SUM((SUMIF('capacity data'!E:E,"TPO",'capacity data'!G:G))-SUMIF('capacity data'!E:E,"TPO",'capacity data'!H:H))/SUMIF('capacity data'!E:E,"TPO",'capacity data'!G:G)</f>
        <v>#DIV/0!</v>
      </c>
      <c r="F10" s="86" t="e">
        <f>SUM((SUM('capacity data'!G:G)-SUM('capacity data'!H:H))/SUM('capacity data'!G:G))</f>
        <v>#DIV/0!</v>
      </c>
      <c r="G10" s="68"/>
      <c r="H10" s="86" t="e">
        <f>SUMIF('capacity data'!$E:$E,"PSO",'capacity data'!$L:$L)/SUM(SUMIF('capacity data'!$E:$E,"PSO",'capacity data'!$G:$G)-SUMIF('capacity data'!$E:$E,"PSO",'capacity data'!$H:$H))</f>
        <v>#DIV/0!</v>
      </c>
      <c r="I10" s="86" t="e">
        <f>SUMIF('capacity data'!$E:$E,"PSO",'capacity data'!$L:$L)/SUMIF('capacity data'!$E:$E,"PSO",'capacity data'!$G:$G)</f>
        <v>#DIV/0!</v>
      </c>
      <c r="J10" s="68"/>
      <c r="K10" s="86" t="e">
        <f>SUMIF('capacity data'!$E:$E,"TPO",'capacity data'!$L:$L)/SUM(SUMIF('capacity data'!$E:$E,"TPO",'capacity data'!$G:$G)-SUMIF('capacity data'!$E:$E,"TPO",'capacity data'!$H:$H))</f>
        <v>#DIV/0!</v>
      </c>
      <c r="L10" s="86" t="e">
        <f>SUMIF('capacity data'!$E:$E,"TPO",'capacity data'!$L:$L)/SUMIF('capacity data'!$E:$E,"TPO",'capacity data'!$G:$G)</f>
        <v>#DIV/0!</v>
      </c>
    </row>
    <row r="11" spans="1:19" x14ac:dyDescent="0.15">
      <c r="B11" s="72" t="s">
        <v>1114</v>
      </c>
      <c r="C11" s="106" t="e">
        <f>+C9-C10</f>
        <v>#DIV/0!</v>
      </c>
      <c r="D11" s="107" t="e">
        <f>+D9-D10</f>
        <v>#DIV/0!</v>
      </c>
      <c r="E11" s="107" t="e">
        <f>+E9-E10</f>
        <v>#DIV/0!</v>
      </c>
      <c r="F11" s="106" t="e">
        <f>+F9-F10</f>
        <v>#DIV/0!</v>
      </c>
      <c r="G11" s="68"/>
      <c r="H11" s="106" t="e">
        <f>+H9-H10</f>
        <v>#DIV/0!</v>
      </c>
      <c r="I11" s="103" t="e">
        <f>+I9-I10</f>
        <v>#DIV/0!</v>
      </c>
      <c r="J11" s="68"/>
      <c r="K11" s="106" t="e">
        <f>+K9-K10</f>
        <v>#DIV/0!</v>
      </c>
      <c r="L11" s="103" t="e">
        <f>+L9-L10</f>
        <v>#DIV/0!</v>
      </c>
    </row>
    <row r="13" spans="1:19" ht="23" x14ac:dyDescent="0.15">
      <c r="B13" s="361" t="s">
        <v>1115</v>
      </c>
      <c r="C13" s="362"/>
      <c r="D13" s="362"/>
      <c r="E13" s="362"/>
      <c r="F13" s="362"/>
      <c r="G13" s="362"/>
      <c r="H13" s="362"/>
      <c r="I13" s="362"/>
      <c r="J13" s="362"/>
      <c r="K13" s="362"/>
      <c r="L13" s="362"/>
      <c r="M13" s="362"/>
    </row>
    <row r="14" spans="1:19" ht="63.75" customHeight="1" x14ac:dyDescent="0.15">
      <c r="B14" s="73"/>
      <c r="C14" s="74" t="s">
        <v>1116</v>
      </c>
      <c r="D14" s="74" t="s">
        <v>1117</v>
      </c>
      <c r="E14" s="74" t="s">
        <v>1118</v>
      </c>
      <c r="F14" s="74" t="s">
        <v>1119</v>
      </c>
      <c r="G14" s="74" t="s">
        <v>1120</v>
      </c>
      <c r="H14" s="74" t="s">
        <v>1121</v>
      </c>
      <c r="I14" s="74" t="s">
        <v>1122</v>
      </c>
      <c r="J14" s="75" t="s">
        <v>1123</v>
      </c>
      <c r="K14" s="74" t="s">
        <v>1124</v>
      </c>
      <c r="L14" s="74" t="s">
        <v>1125</v>
      </c>
      <c r="M14" s="74" t="s">
        <v>1126</v>
      </c>
    </row>
    <row r="15" spans="1:19" ht="20.25" customHeight="1" x14ac:dyDescent="0.15">
      <c r="B15" s="76" t="str">
        <f>B5</f>
        <v>East Midlands Region</v>
      </c>
      <c r="C15" s="221">
        <f>COUNTIFS('capacity data'!A:A,B5,'capacity data'!E:E,"PO")</f>
        <v>0</v>
      </c>
      <c r="D15" s="221">
        <f>COUNTIFS('capacity data'!A:A,B5,'capacity data'!E:E,"PO",'capacity data'!F:F,"&gt;110%")</f>
        <v>0</v>
      </c>
      <c r="E15" s="77" t="e">
        <f>D15/C15</f>
        <v>#DIV/0!</v>
      </c>
      <c r="F15" s="221">
        <f>COUNTIFS('capacity data'!A:A,'divisional &amp; regional overview'!B5,'capacity data'!E:E,"PSO")</f>
        <v>0</v>
      </c>
      <c r="G15" s="221">
        <f>COUNTIFS('capacity data'!A:A,B5,'capacity data'!E:E,"PSO",'capacity data'!F:F,"&gt;110%")</f>
        <v>0</v>
      </c>
      <c r="H15" s="78" t="e">
        <f>G15/F15</f>
        <v>#DIV/0!</v>
      </c>
      <c r="I15" s="221">
        <f>COUNTIFS('capacity data'!A:A,B5,'capacity data'!E:E,"PSO",'capacity data'!F:F,"&lt;90%")</f>
        <v>0</v>
      </c>
      <c r="J15" s="78" t="e">
        <f>I15/F15</f>
        <v>#DIV/0!</v>
      </c>
      <c r="K15" s="221">
        <f>COUNTIFS('capacity data'!A:A,'divisional &amp; regional overview'!B5,'capacity data'!E:E,"TPO")</f>
        <v>0</v>
      </c>
      <c r="L15" s="221">
        <f>COUNTIFS('capacity data'!A:A,B5,'capacity data'!E:E,"TPO",'capacity data'!F:F,"&gt;110%")</f>
        <v>0</v>
      </c>
      <c r="M15" s="71" t="e">
        <f>L15/K15</f>
        <v>#DIV/0!</v>
      </c>
    </row>
    <row r="16" spans="1:19" x14ac:dyDescent="0.15">
      <c r="B16" s="237" t="s">
        <v>1127</v>
      </c>
      <c r="C16" s="84">
        <f>COUNTIF('capacity data'!E:E,"PO")</f>
        <v>0</v>
      </c>
      <c r="D16" s="84">
        <f>COUNTIFS('capacity data'!E:E,"PO",'capacity data'!F:F,"&gt;110%")</f>
        <v>0</v>
      </c>
      <c r="E16" s="111" t="e">
        <f>D16/C16</f>
        <v>#DIV/0!</v>
      </c>
      <c r="F16" s="84">
        <f>COUNTIF('capacity data'!E:E,"PSO")</f>
        <v>0</v>
      </c>
      <c r="G16" s="84">
        <f>COUNTIFS('capacity data'!E:E,"PSO",'capacity data'!F:F,"&gt;110%")</f>
        <v>0</v>
      </c>
      <c r="H16" s="111" t="e">
        <f>G16/F16</f>
        <v>#DIV/0!</v>
      </c>
      <c r="I16" s="84">
        <f>COUNTIFS('capacity data'!E:E,"PSO",'capacity data'!F:F,"&lt;90%")</f>
        <v>0</v>
      </c>
      <c r="J16" s="111" t="e">
        <f>I16/F16</f>
        <v>#DIV/0!</v>
      </c>
      <c r="K16" s="84">
        <f>COUNTIF('capacity data'!E:E,"TPO")</f>
        <v>0</v>
      </c>
      <c r="L16" s="84">
        <f>COUNTIFS('capacity data'!E:E,"TPO",'capacity data'!F:F,"&gt;110%")</f>
        <v>0</v>
      </c>
      <c r="M16" s="111" t="e">
        <f>L16/K16</f>
        <v>#DIV/0!</v>
      </c>
    </row>
    <row r="17" spans="2:13" x14ac:dyDescent="0.15">
      <c r="B17" s="66" t="s">
        <v>1114</v>
      </c>
      <c r="C17" s="104" t="s">
        <v>1128</v>
      </c>
      <c r="D17" s="104" t="s">
        <v>1128</v>
      </c>
      <c r="E17" s="105" t="e">
        <f>+E15-E16</f>
        <v>#DIV/0!</v>
      </c>
      <c r="F17" s="104" t="s">
        <v>1128</v>
      </c>
      <c r="G17" s="104" t="s">
        <v>1128</v>
      </c>
      <c r="H17" s="105" t="e">
        <f>+H15-H16</f>
        <v>#DIV/0!</v>
      </c>
      <c r="I17" s="104" t="s">
        <v>1128</v>
      </c>
      <c r="J17" s="105" t="e">
        <f>+J15-J16</f>
        <v>#DIV/0!</v>
      </c>
      <c r="K17" s="104" t="s">
        <v>1128</v>
      </c>
      <c r="L17" s="104" t="s">
        <v>1128</v>
      </c>
      <c r="M17" s="105" t="e">
        <f>+M15-M16</f>
        <v>#DIV/0!</v>
      </c>
    </row>
    <row r="19" spans="2:13" ht="23" x14ac:dyDescent="0.25">
      <c r="B19" s="357" t="s">
        <v>1129</v>
      </c>
      <c r="C19" s="358"/>
      <c r="D19" s="358"/>
      <c r="E19" s="358"/>
      <c r="F19" s="358"/>
      <c r="G19" s="359"/>
      <c r="H19" s="360"/>
    </row>
    <row r="20" spans="2:13" ht="42" x14ac:dyDescent="0.15">
      <c r="B20" s="80"/>
      <c r="C20" s="67" t="s">
        <v>1130</v>
      </c>
      <c r="D20" s="67" t="s">
        <v>1131</v>
      </c>
      <c r="E20" s="67" t="s">
        <v>1132</v>
      </c>
      <c r="F20" s="67" t="s">
        <v>1133</v>
      </c>
      <c r="G20" s="227" t="s">
        <v>1134</v>
      </c>
      <c r="H20" s="227" t="s">
        <v>1135</v>
      </c>
    </row>
    <row r="21" spans="2:13" x14ac:dyDescent="0.15">
      <c r="B21" s="66" t="str">
        <f>B5</f>
        <v>East Midlands Region</v>
      </c>
      <c r="C21" s="79">
        <f>SUMIFS('capacity data'!K:K,'capacity data'!A:A,'divisional &amp; regional overview'!B5,'capacity data'!E:E,"SPO")</f>
        <v>0</v>
      </c>
      <c r="D21" s="79">
        <f>SUMIFS('capacity data'!K:K,'capacity data'!A:A,'divisional &amp; regional overview'!B21,'capacity data'!E:E,"DMY")</f>
        <v>0</v>
      </c>
      <c r="E21" s="79">
        <f>SUM(C21:D21)</f>
        <v>0</v>
      </c>
      <c r="F21" s="81">
        <f>SUMIF('capacity data'!A:A,B21,'capacity data'!K:K)</f>
        <v>0</v>
      </c>
      <c r="G21" s="70" t="e">
        <f>E21/F21</f>
        <v>#DIV/0!</v>
      </c>
      <c r="H21" s="82">
        <f>SUMIF('caseload data'!A:A,'divisional &amp; regional overview'!B109,'caseload data'!U:U)</f>
        <v>0</v>
      </c>
    </row>
    <row r="22" spans="2:13" x14ac:dyDescent="0.15">
      <c r="B22" s="238" t="s">
        <v>1127</v>
      </c>
      <c r="C22" s="84">
        <f>SUMIF('capacity data'!E:E,"SPO",'capacity data'!K:K)</f>
        <v>0</v>
      </c>
      <c r="D22" s="84">
        <f>SUMIF('capacity data'!E:E,"DMY",'capacity data'!K:K)</f>
        <v>0</v>
      </c>
      <c r="E22" s="84">
        <f>SUM(C22:D22)</f>
        <v>0</v>
      </c>
      <c r="F22" s="85">
        <f>SUM('capacity data'!K:K)</f>
        <v>0</v>
      </c>
      <c r="G22" s="86" t="e">
        <f>E22/F22</f>
        <v>#DIV/0!</v>
      </c>
      <c r="H22" s="84">
        <f>SUM('caseload data'!U:U)</f>
        <v>0</v>
      </c>
    </row>
    <row r="23" spans="2:13" x14ac:dyDescent="0.15">
      <c r="B23" s="87" t="s">
        <v>1114</v>
      </c>
      <c r="C23" s="104" t="s">
        <v>1128</v>
      </c>
      <c r="D23" s="104" t="s">
        <v>1128</v>
      </c>
      <c r="E23" s="104" t="s">
        <v>1128</v>
      </c>
      <c r="F23" s="108" t="s">
        <v>1128</v>
      </c>
      <c r="G23" s="108" t="e">
        <f>+G21-G22</f>
        <v>#DIV/0!</v>
      </c>
      <c r="H23" s="104" t="s">
        <v>1128</v>
      </c>
    </row>
    <row r="26" spans="2:13" ht="23" x14ac:dyDescent="0.25">
      <c r="B26" s="370" t="s">
        <v>1136</v>
      </c>
      <c r="C26" s="370"/>
      <c r="D26" s="370"/>
      <c r="E26" s="370"/>
      <c r="F26" s="370"/>
      <c r="G26" s="370"/>
      <c r="H26" s="370"/>
      <c r="I26" s="370"/>
      <c r="J26" s="370"/>
      <c r="K26" s="370"/>
    </row>
    <row r="27" spans="2:13" ht="83.25" customHeight="1" x14ac:dyDescent="0.15">
      <c r="B27" s="88"/>
      <c r="C27" s="227" t="s">
        <v>1137</v>
      </c>
      <c r="D27" s="227" t="s">
        <v>1138</v>
      </c>
      <c r="E27" s="227" t="s">
        <v>1139</v>
      </c>
      <c r="F27" s="227" t="s">
        <v>1140</v>
      </c>
      <c r="G27" s="227" t="s">
        <v>1141</v>
      </c>
      <c r="H27" s="227" t="s">
        <v>1142</v>
      </c>
      <c r="I27" s="227" t="s">
        <v>1143</v>
      </c>
      <c r="J27" s="227" t="s">
        <v>1144</v>
      </c>
      <c r="K27" s="227" t="s">
        <v>1145</v>
      </c>
    </row>
    <row r="28" spans="2:13" x14ac:dyDescent="0.15">
      <c r="B28" s="66" t="str">
        <f>B5</f>
        <v>East Midlands Region</v>
      </c>
      <c r="C28" s="89">
        <f>SUMIFS('capacity data'!I:I,'capacity data'!A:A,B28,'capacity data'!E:E,"PO")</f>
        <v>0</v>
      </c>
      <c r="D28" s="90">
        <f>SUMIFS('capacity data'!J:J,'capacity data'!A:A,B28,'capacity data'!E:E,"PO")</f>
        <v>0</v>
      </c>
      <c r="E28" s="91" t="e">
        <f>D28/C28</f>
        <v>#DIV/0!</v>
      </c>
      <c r="F28" s="90">
        <f>SUMIFS('capacity data'!I:I,'capacity data'!A:A,B28,'capacity data'!E:E,"PSO")</f>
        <v>0</v>
      </c>
      <c r="G28" s="90">
        <f>SUMIFS('capacity data'!J:J,'capacity data'!A:A,B28,'capacity data'!E:E,"PSO")</f>
        <v>0</v>
      </c>
      <c r="H28" s="91" t="e">
        <f>G28/F28</f>
        <v>#DIV/0!</v>
      </c>
      <c r="I28" s="90">
        <f>SUMIFS('capacity data'!I:I,'capacity data'!A:A,B28,'capacity data'!E:E,"TPO")</f>
        <v>0</v>
      </c>
      <c r="J28" s="92">
        <f>SUMIFS('capacity data'!J:J,'capacity data'!A:A,B28,'capacity data'!E:E,"TPO")</f>
        <v>0</v>
      </c>
      <c r="K28" s="91" t="e">
        <f>J28/I28</f>
        <v>#DIV/0!</v>
      </c>
    </row>
    <row r="29" spans="2:13" x14ac:dyDescent="0.15">
      <c r="B29" s="237" t="s">
        <v>1146</v>
      </c>
      <c r="C29" s="112">
        <f>SUMIF('capacity data'!E:E,"PO",'capacity data'!I:I)</f>
        <v>0</v>
      </c>
      <c r="D29" s="112">
        <f>SUMIF('capacity data'!E:E,"PO",'capacity data'!J:J)</f>
        <v>0</v>
      </c>
      <c r="E29" s="113" t="e">
        <f>D29/C29</f>
        <v>#DIV/0!</v>
      </c>
      <c r="F29" s="112">
        <f>SUMIF('capacity data'!E:E,"PSO",'capacity data'!I:I)</f>
        <v>0</v>
      </c>
      <c r="G29" s="112">
        <f>SUMIF('capacity data'!E:E,"PSO",'capacity data'!J:J)</f>
        <v>0</v>
      </c>
      <c r="H29" s="113" t="e">
        <f>G29/F29</f>
        <v>#DIV/0!</v>
      </c>
      <c r="I29" s="112">
        <f>SUMIF('capacity data'!E:E,"TPO",'capacity data'!I:I)</f>
        <v>0</v>
      </c>
      <c r="J29" s="112">
        <f>SUMIF('capacity data'!E:E,"TPO",'capacity data'!J:J)</f>
        <v>0</v>
      </c>
      <c r="K29" s="113" t="e">
        <f>J29/I29</f>
        <v>#DIV/0!</v>
      </c>
    </row>
    <row r="30" spans="2:13" x14ac:dyDescent="0.15">
      <c r="B30" s="109" t="s">
        <v>1114</v>
      </c>
      <c r="C30" s="104" t="s">
        <v>1128</v>
      </c>
      <c r="D30" s="104" t="s">
        <v>1128</v>
      </c>
      <c r="E30" s="103" t="e">
        <f>+E28-E29</f>
        <v>#DIV/0!</v>
      </c>
      <c r="F30" s="104" t="s">
        <v>1128</v>
      </c>
      <c r="G30" s="104" t="s">
        <v>1128</v>
      </c>
      <c r="H30" s="103" t="e">
        <f>+H28-H29</f>
        <v>#DIV/0!</v>
      </c>
      <c r="I30" s="104" t="s">
        <v>1128</v>
      </c>
      <c r="J30" s="104" t="s">
        <v>1128</v>
      </c>
      <c r="K30" s="103" t="e">
        <f>+K28-K29</f>
        <v>#DIV/0!</v>
      </c>
    </row>
    <row r="32" spans="2:13" ht="37.5" customHeight="1" x14ac:dyDescent="0.2">
      <c r="B32" s="371" t="s">
        <v>1147</v>
      </c>
      <c r="C32" s="372"/>
      <c r="D32" s="372"/>
      <c r="F32" s="373" t="s">
        <v>1148</v>
      </c>
      <c r="G32" s="373"/>
    </row>
    <row r="33" spans="2:7" ht="88.5" customHeight="1" x14ac:dyDescent="0.15">
      <c r="B33" s="80" t="s">
        <v>1149</v>
      </c>
      <c r="C33" s="227" t="s">
        <v>1150</v>
      </c>
      <c r="D33" s="227" t="s">
        <v>1151</v>
      </c>
      <c r="E33" s="68"/>
      <c r="F33" s="223" t="s">
        <v>1152</v>
      </c>
      <c r="G33" s="222">
        <f>COUNTIF('reductions data'!A:A,'divisional &amp; regional overview'!B5)</f>
        <v>0</v>
      </c>
    </row>
    <row r="34" spans="2:7" ht="28" x14ac:dyDescent="0.15">
      <c r="B34" s="116" t="s">
        <v>1050</v>
      </c>
      <c r="C34" s="93">
        <f>COUNTIFS('reductions data'!$A:$A,'divisional &amp; regional overview'!$B$5,'reductions data'!$G:$G,'divisional &amp; regional overview'!B34)</f>
        <v>0</v>
      </c>
      <c r="D34" s="94">
        <f>SUMIFS('reductions data'!$H:$H,'reductions data'!$A:$A,$B$5,'reductions data'!$G:$G,'divisional &amp; regional overview'!B34)</f>
        <v>0</v>
      </c>
      <c r="E34" s="68"/>
      <c r="F34" s="223" t="s">
        <v>1153</v>
      </c>
      <c r="G34" s="222">
        <f>SUMIF('reductions data'!A:A,B5,'reductions data'!H:H)</f>
        <v>0</v>
      </c>
    </row>
    <row r="35" spans="2:7" ht="28" x14ac:dyDescent="0.15">
      <c r="B35" s="117" t="s">
        <v>1052</v>
      </c>
      <c r="C35" s="93">
        <f>COUNTIFS('reductions data'!$A:$A,'divisional &amp; regional overview'!$B$5,'reductions data'!$G:$G,'divisional &amp; regional overview'!B35)</f>
        <v>0</v>
      </c>
      <c r="D35" s="94">
        <f>SUMIFS('reductions data'!$H:$H,'reductions data'!$A:$A,$B$5,'reductions data'!$G:$G,'divisional &amp; regional overview'!B35)</f>
        <v>0</v>
      </c>
      <c r="E35" s="68"/>
      <c r="F35" s="221" t="s">
        <v>1154</v>
      </c>
      <c r="G35" s="222">
        <f>SUMIF('capacity data'!A:A,B5,'capacity data'!I:I)</f>
        <v>0</v>
      </c>
    </row>
    <row r="36" spans="2:7" ht="28" x14ac:dyDescent="0.15">
      <c r="B36" s="117" t="s">
        <v>1051</v>
      </c>
      <c r="C36" s="93">
        <f>COUNTIFS('reductions data'!$A:$A,'divisional &amp; regional overview'!$B$5,'reductions data'!$G:$G,'divisional &amp; regional overview'!B36)</f>
        <v>0</v>
      </c>
      <c r="D36" s="94">
        <f>SUMIFS('reductions data'!$H:$H,'reductions data'!$A:$A,$B$5,'reductions data'!$G:$G,'divisional &amp; regional overview'!B36)</f>
        <v>0</v>
      </c>
      <c r="E36" s="95"/>
      <c r="F36" s="221" t="s">
        <v>1155</v>
      </c>
      <c r="G36" s="96" t="e">
        <f>G34/G35</f>
        <v>#DIV/0!</v>
      </c>
    </row>
    <row r="37" spans="2:7" x14ac:dyDescent="0.15">
      <c r="B37" s="117" t="s">
        <v>1053</v>
      </c>
      <c r="C37" s="93">
        <f>COUNTIFS('reductions data'!$A:$A,'divisional &amp; regional overview'!$B$5,'reductions data'!$G:$G,'divisional &amp; regional overview'!B37)</f>
        <v>0</v>
      </c>
      <c r="D37" s="94">
        <f>SUMIFS('reductions data'!$H:$H,'reductions data'!$A:$A,$B$5,'reductions data'!$G:$G,'divisional &amp; regional overview'!B37)</f>
        <v>0</v>
      </c>
      <c r="E37" s="95"/>
      <c r="F37" s="366" t="s">
        <v>1156</v>
      </c>
      <c r="G37" s="369" t="e">
        <f>+G36-'div &amp; regional reduction hours'!N18</f>
        <v>#DIV/0!</v>
      </c>
    </row>
    <row r="38" spans="2:7" ht="24" customHeight="1" x14ac:dyDescent="0.15">
      <c r="B38" s="117" t="s">
        <v>1054</v>
      </c>
      <c r="C38" s="93">
        <f>COUNTIFS('reductions data'!$A:$A,'divisional &amp; regional overview'!$B$5,'reductions data'!$G:$G,'divisional &amp; regional overview'!B38)</f>
        <v>0</v>
      </c>
      <c r="D38" s="94">
        <f>SUMIFS('reductions data'!$H:$H,'reductions data'!$A:$A,$B$5,'reductions data'!$G:$G,'divisional &amp; regional overview'!B38)</f>
        <v>0</v>
      </c>
      <c r="E38" s="95"/>
      <c r="F38" s="367"/>
      <c r="G38" s="368"/>
    </row>
    <row r="39" spans="2:7" x14ac:dyDescent="0.15">
      <c r="B39" s="117" t="s">
        <v>1055</v>
      </c>
      <c r="C39" s="93">
        <f>COUNTIFS('reductions data'!$A:$A,'divisional &amp; regional overview'!$B$5,'reductions data'!$G:$G,'divisional &amp; regional overview'!B39)</f>
        <v>0</v>
      </c>
      <c r="D39" s="94">
        <f>SUMIFS('reductions data'!$H:$H,'reductions data'!$A:$A,$B$5,'reductions data'!$G:$G,'divisional &amp; regional overview'!B39)</f>
        <v>0</v>
      </c>
      <c r="E39" s="95"/>
      <c r="F39" s="368"/>
      <c r="G39" s="368"/>
    </row>
    <row r="40" spans="2:7" x14ac:dyDescent="0.15">
      <c r="B40" s="117" t="s">
        <v>1056</v>
      </c>
      <c r="C40" s="93">
        <f>COUNTIFS('reductions data'!$A:$A,'divisional &amp; regional overview'!$B$5,'reductions data'!$G:$G,'divisional &amp; regional overview'!B40)</f>
        <v>0</v>
      </c>
      <c r="D40" s="94">
        <f>SUMIFS('reductions data'!$H:$H,'reductions data'!$A:$A,$B$5,'reductions data'!$G:$G,'divisional &amp; regional overview'!B40)</f>
        <v>0</v>
      </c>
      <c r="E40" s="95"/>
      <c r="F40" s="368"/>
      <c r="G40" s="368"/>
    </row>
    <row r="41" spans="2:7" x14ac:dyDescent="0.15">
      <c r="B41" s="117" t="s">
        <v>1057</v>
      </c>
      <c r="C41" s="93">
        <f>COUNTIFS('reductions data'!$A:$A,'divisional &amp; regional overview'!$B$5,'reductions data'!$G:$G,'divisional &amp; regional overview'!B41)</f>
        <v>0</v>
      </c>
      <c r="D41" s="94">
        <f>SUMIFS('reductions data'!$H:$H,'reductions data'!$A:$A,$B$5,'reductions data'!$G:$G,'divisional &amp; regional overview'!B41)</f>
        <v>0</v>
      </c>
      <c r="E41" s="95"/>
      <c r="F41" s="95"/>
      <c r="G41" s="68"/>
    </row>
    <row r="42" spans="2:7" x14ac:dyDescent="0.15">
      <c r="B42" s="117" t="s">
        <v>1444</v>
      </c>
      <c r="C42" s="93">
        <f>COUNTIFS('reductions data'!$A:$A,'divisional &amp; regional overview'!$B$5,'reductions data'!$G:$G,'divisional &amp; regional overview'!B42)</f>
        <v>0</v>
      </c>
      <c r="D42" s="94">
        <f>SUMIFS('reductions data'!$H:$H,'reductions data'!$A:$A,$B$5,'reductions data'!$G:$G,'divisional &amp; regional overview'!B42)</f>
        <v>0</v>
      </c>
      <c r="E42" s="95"/>
      <c r="F42" s="95"/>
      <c r="G42" s="68"/>
    </row>
    <row r="43" spans="2:7" x14ac:dyDescent="0.15">
      <c r="B43" s="117" t="s">
        <v>1058</v>
      </c>
      <c r="C43" s="93">
        <f>COUNTIFS('reductions data'!$A:$A,'divisional &amp; regional overview'!$B$5,'reductions data'!$G:$G,'divisional &amp; regional overview'!B43)</f>
        <v>0</v>
      </c>
      <c r="D43" s="94">
        <f>SUMIFS('reductions data'!$H:$H,'reductions data'!$A:$A,$B$5,'reductions data'!$G:$G,'divisional &amp; regional overview'!B43)</f>
        <v>0</v>
      </c>
      <c r="E43" s="95"/>
      <c r="F43" s="95"/>
      <c r="G43" s="68"/>
    </row>
    <row r="44" spans="2:7" x14ac:dyDescent="0.15">
      <c r="B44" s="117" t="s">
        <v>1059</v>
      </c>
      <c r="C44" s="93">
        <f>COUNTIFS('reductions data'!$A:$A,'divisional &amp; regional overview'!$B$5,'reductions data'!$G:$G,'divisional &amp; regional overview'!B44)</f>
        <v>0</v>
      </c>
      <c r="D44" s="94">
        <f>SUMIFS('reductions data'!$H:$H,'reductions data'!$A:$A,$B$5,'reductions data'!$G:$G,'divisional &amp; regional overview'!B44)</f>
        <v>0</v>
      </c>
      <c r="E44" s="95"/>
      <c r="F44" s="95"/>
      <c r="G44" s="68"/>
    </row>
    <row r="45" spans="2:7" x14ac:dyDescent="0.15">
      <c r="B45" s="117" t="s">
        <v>1060</v>
      </c>
      <c r="C45" s="93">
        <f>COUNTIFS('reductions data'!$A:$A,'divisional &amp; regional overview'!$B$5,'reductions data'!$G:$G,'divisional &amp; regional overview'!B45)</f>
        <v>0</v>
      </c>
      <c r="D45" s="94">
        <f>SUMIFS('reductions data'!$H:$H,'reductions data'!$A:$A,$B$5,'reductions data'!$G:$G,'divisional &amp; regional overview'!B45)</f>
        <v>0</v>
      </c>
      <c r="E45" s="95"/>
      <c r="F45" s="95"/>
      <c r="G45" s="68"/>
    </row>
    <row r="46" spans="2:7" x14ac:dyDescent="0.15">
      <c r="B46" s="117" t="s">
        <v>1061</v>
      </c>
      <c r="C46" s="93">
        <f>COUNTIFS('reductions data'!$A:$A,'divisional &amp; regional overview'!$B$5,'reductions data'!$G:$G,'divisional &amp; regional overview'!B46)</f>
        <v>0</v>
      </c>
      <c r="D46" s="94">
        <f>SUMIFS('reductions data'!$H:$H,'reductions data'!$A:$A,$B$5,'reductions data'!$G:$G,'divisional &amp; regional overview'!B46)</f>
        <v>0</v>
      </c>
      <c r="E46" s="95"/>
      <c r="F46" s="95"/>
      <c r="G46" s="68"/>
    </row>
    <row r="47" spans="2:7" x14ac:dyDescent="0.15">
      <c r="B47" s="117" t="s">
        <v>1063</v>
      </c>
      <c r="C47" s="93">
        <f>COUNTIFS('reductions data'!$A:$A,'divisional &amp; regional overview'!$B$5,'reductions data'!$G:$G,'divisional &amp; regional overview'!B47)</f>
        <v>0</v>
      </c>
      <c r="D47" s="94">
        <f>SUMIFS('reductions data'!$H:$H,'reductions data'!$A:$A,$B$5,'reductions data'!$G:$G,'divisional &amp; regional overview'!B47)</f>
        <v>0</v>
      </c>
      <c r="E47" s="95"/>
      <c r="F47" s="95"/>
      <c r="G47" s="68"/>
    </row>
    <row r="48" spans="2:7" x14ac:dyDescent="0.15">
      <c r="B48" s="117" t="s">
        <v>1066</v>
      </c>
      <c r="C48" s="93">
        <f>COUNTIFS('reductions data'!$A:$A,'divisional &amp; regional overview'!$B$5,'reductions data'!$G:$G,'divisional &amp; regional overview'!B48)</f>
        <v>0</v>
      </c>
      <c r="D48" s="94">
        <f>SUMIFS('reductions data'!$H:$H,'reductions data'!$A:$A,$B$5,'reductions data'!$G:$G,'divisional &amp; regional overview'!B48)</f>
        <v>0</v>
      </c>
      <c r="E48" s="95"/>
      <c r="F48" s="95"/>
      <c r="G48" s="68"/>
    </row>
    <row r="49" spans="2:7" x14ac:dyDescent="0.15">
      <c r="B49" s="117" t="s">
        <v>1062</v>
      </c>
      <c r="C49" s="93">
        <f>COUNTIFS('reductions data'!$A:$A,'divisional &amp; regional overview'!$B$5,'reductions data'!$G:$G,'divisional &amp; regional overview'!B49)</f>
        <v>0</v>
      </c>
      <c r="D49" s="94">
        <f>SUMIFS('reductions data'!$H:$H,'reductions data'!$A:$A,$B$5,'reductions data'!$G:$G,'divisional &amp; regional overview'!B49)</f>
        <v>0</v>
      </c>
      <c r="E49" s="95"/>
      <c r="F49" s="95"/>
      <c r="G49" s="68"/>
    </row>
    <row r="50" spans="2:7" x14ac:dyDescent="0.15">
      <c r="B50" s="117" t="s">
        <v>1157</v>
      </c>
      <c r="C50" s="93">
        <f>COUNTIFS('reductions data'!$A:$A,'divisional &amp; regional overview'!$B$5,'reductions data'!$G:$G,'divisional &amp; regional overview'!B50)</f>
        <v>0</v>
      </c>
      <c r="D50" s="94">
        <f>SUMIFS('reductions data'!$H:$H,'reductions data'!$A:$A,$B$5,'reductions data'!$G:$G,'divisional &amp; regional overview'!B50)</f>
        <v>0</v>
      </c>
      <c r="E50" s="95"/>
      <c r="F50" s="95"/>
      <c r="G50" s="68"/>
    </row>
    <row r="51" spans="2:7" x14ac:dyDescent="0.15">
      <c r="B51" s="117" t="s">
        <v>1067</v>
      </c>
      <c r="C51" s="93">
        <f>COUNTIFS('reductions data'!$A:$A,'divisional &amp; regional overview'!$B$5,'reductions data'!$G:$G,'divisional &amp; regional overview'!B51)</f>
        <v>0</v>
      </c>
      <c r="D51" s="94">
        <f>SUMIFS('reductions data'!$H:$H,'reductions data'!$A:$A,$B$5,'reductions data'!$G:$G,'divisional &amp; regional overview'!B51)</f>
        <v>0</v>
      </c>
      <c r="E51" s="95"/>
      <c r="F51" s="95"/>
      <c r="G51" s="68"/>
    </row>
    <row r="52" spans="2:7" x14ac:dyDescent="0.15">
      <c r="B52" s="117" t="s">
        <v>1068</v>
      </c>
      <c r="C52" s="93">
        <f>COUNTIFS('reductions data'!$A:$A,'divisional &amp; regional overview'!$B$5,'reductions data'!$G:$G,'divisional &amp; regional overview'!B52)</f>
        <v>0</v>
      </c>
      <c r="D52" s="94">
        <f>SUMIFS('reductions data'!$H:$H,'reductions data'!$A:$A,$B$5,'reductions data'!$G:$G,'divisional &amp; regional overview'!B52)</f>
        <v>0</v>
      </c>
      <c r="E52" s="95"/>
      <c r="F52" s="95"/>
      <c r="G52" s="68"/>
    </row>
    <row r="53" spans="2:7" x14ac:dyDescent="0.15">
      <c r="B53" s="117" t="s">
        <v>1069</v>
      </c>
      <c r="C53" s="93">
        <f>COUNTIFS('reductions data'!$A:$A,'divisional &amp; regional overview'!$B$5,'reductions data'!$G:$G,'divisional &amp; regional overview'!B53)</f>
        <v>0</v>
      </c>
      <c r="D53" s="94">
        <f>SUMIFS('reductions data'!$H:$H,'reductions data'!$A:$A,$B$5,'reductions data'!$G:$G,'divisional &amp; regional overview'!B53)</f>
        <v>0</v>
      </c>
      <c r="E53" s="95"/>
      <c r="F53" s="95"/>
      <c r="G53" s="68"/>
    </row>
    <row r="54" spans="2:7" x14ac:dyDescent="0.15">
      <c r="B54" s="117" t="s">
        <v>1070</v>
      </c>
      <c r="C54" s="93">
        <f>COUNTIFS('reductions data'!$A:$A,'divisional &amp; regional overview'!$B$5,'reductions data'!$G:$G,'divisional &amp; regional overview'!B54)</f>
        <v>0</v>
      </c>
      <c r="D54" s="94">
        <f>SUMIFS('reductions data'!$H:$H,'reductions data'!$A:$A,$B$5,'reductions data'!$G:$G,'divisional &amp; regional overview'!B54)</f>
        <v>0</v>
      </c>
      <c r="E54" s="95"/>
      <c r="F54" s="95"/>
      <c r="G54" s="68"/>
    </row>
    <row r="55" spans="2:7" x14ac:dyDescent="0.15">
      <c r="B55" s="117" t="s">
        <v>1071</v>
      </c>
      <c r="C55" s="93">
        <f>COUNTIFS('reductions data'!$A:$A,'divisional &amp; regional overview'!$B$5,'reductions data'!$G:$G,'divisional &amp; regional overview'!B55)</f>
        <v>0</v>
      </c>
      <c r="D55" s="94">
        <f>SUMIFS('reductions data'!$H:$H,'reductions data'!$A:$A,$B$5,'reductions data'!$G:$G,'divisional &amp; regional overview'!B55)</f>
        <v>0</v>
      </c>
      <c r="E55" s="95"/>
      <c r="F55" s="95"/>
      <c r="G55" s="68"/>
    </row>
    <row r="56" spans="2:7" x14ac:dyDescent="0.15">
      <c r="B56" s="117" t="s">
        <v>1072</v>
      </c>
      <c r="C56" s="93">
        <f>COUNTIFS('reductions data'!$A:$A,'divisional &amp; regional overview'!$B$5,'reductions data'!$G:$G,'divisional &amp; regional overview'!B56)</f>
        <v>0</v>
      </c>
      <c r="D56" s="94">
        <f>SUMIFS('reductions data'!$H:$H,'reductions data'!$A:$A,$B$5,'reductions data'!$G:$G,'divisional &amp; regional overview'!B56)</f>
        <v>0</v>
      </c>
      <c r="E56" s="95"/>
      <c r="F56" s="95"/>
      <c r="G56" s="68"/>
    </row>
    <row r="57" spans="2:7" x14ac:dyDescent="0.15">
      <c r="B57" s="117" t="s">
        <v>1073</v>
      </c>
      <c r="C57" s="93">
        <f>COUNTIFS('reductions data'!$A:$A,'divisional &amp; regional overview'!$B$5,'reductions data'!$G:$G,'divisional &amp; regional overview'!B57)</f>
        <v>0</v>
      </c>
      <c r="D57" s="94">
        <f>SUMIFS('reductions data'!$H:$H,'reductions data'!$A:$A,$B$5,'reductions data'!$G:$G,'divisional &amp; regional overview'!B57)</f>
        <v>0</v>
      </c>
      <c r="E57" s="95"/>
      <c r="F57" s="95"/>
      <c r="G57" s="68"/>
    </row>
    <row r="58" spans="2:7" x14ac:dyDescent="0.15">
      <c r="B58" s="117" t="s">
        <v>1075</v>
      </c>
      <c r="C58" s="93">
        <f>COUNTIFS('reductions data'!$A:$A,'divisional &amp; regional overview'!$B$5,'reductions data'!$G:$G,'divisional &amp; regional overview'!B58)</f>
        <v>0</v>
      </c>
      <c r="D58" s="94">
        <f>SUMIFS('reductions data'!$H:$H,'reductions data'!$A:$A,$B$5,'reductions data'!$G:$G,'divisional &amp; regional overview'!B58)</f>
        <v>0</v>
      </c>
      <c r="E58" s="95"/>
      <c r="F58" s="95"/>
      <c r="G58" s="68"/>
    </row>
    <row r="59" spans="2:7" x14ac:dyDescent="0.15">
      <c r="B59" s="117" t="s">
        <v>1077</v>
      </c>
      <c r="C59" s="93">
        <f>COUNTIFS('reductions data'!$A:$A,'divisional &amp; regional overview'!$B$5,'reductions data'!$G:$G,'divisional &amp; regional overview'!B59)</f>
        <v>0</v>
      </c>
      <c r="D59" s="94">
        <f>SUMIFS('reductions data'!$H:$H,'reductions data'!$A:$A,$B$5,'reductions data'!$G:$G,'divisional &amp; regional overview'!B59)</f>
        <v>0</v>
      </c>
      <c r="E59" s="95"/>
      <c r="F59" s="95"/>
      <c r="G59" s="68"/>
    </row>
    <row r="60" spans="2:7" x14ac:dyDescent="0.15">
      <c r="B60" s="117" t="s">
        <v>1079</v>
      </c>
      <c r="C60" s="93">
        <f>COUNTIFS('reductions data'!$A:$A,'divisional &amp; regional overview'!$B$5,'reductions data'!$G:$G,'divisional &amp; regional overview'!B60)</f>
        <v>0</v>
      </c>
      <c r="D60" s="94">
        <f>SUMIFS('reductions data'!$H:$H,'reductions data'!$A:$A,$B$5,'reductions data'!$G:$G,'divisional &amp; regional overview'!B60)</f>
        <v>0</v>
      </c>
      <c r="E60" s="95"/>
      <c r="F60" s="95"/>
      <c r="G60" s="68"/>
    </row>
    <row r="61" spans="2:7" x14ac:dyDescent="0.15">
      <c r="B61" s="117" t="s">
        <v>1437</v>
      </c>
      <c r="C61" s="93">
        <f>COUNTIFS('reductions data'!$A:$A,'divisional &amp; regional overview'!$B$5,'reductions data'!$G:$G,'divisional &amp; regional overview'!B61)</f>
        <v>0</v>
      </c>
      <c r="D61" s="94">
        <f>SUMIFS('reductions data'!$H:$H,'reductions data'!$A:$A,$B$5,'reductions data'!$G:$G,'divisional &amp; regional overview'!B61)</f>
        <v>0</v>
      </c>
      <c r="E61" s="95"/>
      <c r="F61" s="95"/>
      <c r="G61" s="68"/>
    </row>
    <row r="62" spans="2:7" x14ac:dyDescent="0.15">
      <c r="B62" s="117" t="s">
        <v>1438</v>
      </c>
      <c r="C62" s="93">
        <f>COUNTIFS('reductions data'!$A:$A,'divisional &amp; regional overview'!$B$5,'reductions data'!$G:$G,'divisional &amp; regional overview'!B62)</f>
        <v>0</v>
      </c>
      <c r="D62" s="94">
        <f>SUMIFS('reductions data'!$H:$H,'reductions data'!$A:$A,$B$5,'reductions data'!$G:$G,'divisional &amp; regional overview'!B62)</f>
        <v>0</v>
      </c>
      <c r="E62" s="95"/>
      <c r="F62" s="95"/>
      <c r="G62" s="68"/>
    </row>
    <row r="63" spans="2:7" x14ac:dyDescent="0.15">
      <c r="B63" s="342" t="s">
        <v>1434</v>
      </c>
      <c r="C63" s="93">
        <f>COUNTIFS('reductions data'!$A:$A,'divisional &amp; regional overview'!$B$5,'reductions data'!$G:$G,'divisional &amp; regional overview'!B63)</f>
        <v>0</v>
      </c>
      <c r="D63" s="94">
        <f>SUMIFS('reductions data'!$H:$H,'reductions data'!$A:$A,$B$5,'reductions data'!$G:$G,'divisional &amp; regional overview'!B63)</f>
        <v>0</v>
      </c>
      <c r="E63" s="95"/>
      <c r="F63" s="95"/>
      <c r="G63" s="68"/>
    </row>
    <row r="64" spans="2:7" x14ac:dyDescent="0.15">
      <c r="B64" s="342" t="s">
        <v>1435</v>
      </c>
      <c r="C64" s="93">
        <f>COUNTIFS('reductions data'!$A:$A,'divisional &amp; regional overview'!$B$5,'reductions data'!$G:$G,'divisional &amp; regional overview'!B64)</f>
        <v>0</v>
      </c>
      <c r="D64" s="94">
        <f>SUMIFS('reductions data'!$H:$H,'reductions data'!$A:$A,$B$5,'reductions data'!$G:$G,'divisional &amp; regional overview'!B64)</f>
        <v>0</v>
      </c>
      <c r="E64" s="95"/>
      <c r="F64" s="95"/>
      <c r="G64" s="68"/>
    </row>
    <row r="65" spans="2:7" x14ac:dyDescent="0.15">
      <c r="B65" s="342" t="s">
        <v>1445</v>
      </c>
      <c r="C65" s="93">
        <f>COUNTIFS('reductions data'!$A:$A,'divisional &amp; regional overview'!$B$5,'reductions data'!$G:$G,'divisional &amp; regional overview'!B65)</f>
        <v>0</v>
      </c>
      <c r="D65" s="94">
        <f>SUMIFS('reductions data'!$H:$H,'reductions data'!$A:$A,$B$5,'reductions data'!$G:$G,'divisional &amp; regional overview'!B65)</f>
        <v>0</v>
      </c>
      <c r="E65" s="95"/>
      <c r="F65" s="95"/>
      <c r="G65" s="68"/>
    </row>
    <row r="66" spans="2:7" ht="15" thickBot="1" x14ac:dyDescent="0.2">
      <c r="B66" s="341" t="s">
        <v>1076</v>
      </c>
      <c r="C66" s="93">
        <f>COUNTIFS('reductions data'!$A:$A,'divisional &amp; regional overview'!$B$5,'reductions data'!$G:$G,'divisional &amp; regional overview'!B66)</f>
        <v>0</v>
      </c>
      <c r="D66" s="94">
        <f>SUMIFS('reductions data'!$H:$H,'reductions data'!$A:$A,$B$5,'reductions data'!$G:$G,'divisional &amp; regional overview'!B66)</f>
        <v>0</v>
      </c>
      <c r="E66" s="95"/>
      <c r="F66" s="95"/>
      <c r="G66" s="68"/>
    </row>
    <row r="67" spans="2:7" ht="15" thickBot="1" x14ac:dyDescent="0.2">
      <c r="B67" s="341" t="s">
        <v>1081</v>
      </c>
      <c r="C67" s="93">
        <f>COUNTIFS('reductions data'!$A:$A,'divisional &amp; regional overview'!$B$5,'reductions data'!$G:$G,'divisional &amp; regional overview'!B67)</f>
        <v>0</v>
      </c>
      <c r="D67" s="94">
        <f>SUMIFS('reductions data'!$H:$H,'reductions data'!$A:$A,$B$5,'reductions data'!$G:$G,'divisional &amp; regional overview'!B67)</f>
        <v>0</v>
      </c>
      <c r="E67" s="95"/>
      <c r="F67" s="95"/>
      <c r="G67" s="68"/>
    </row>
    <row r="68" spans="2:7" ht="15" thickBot="1" x14ac:dyDescent="0.2">
      <c r="B68" s="341" t="s">
        <v>1447</v>
      </c>
      <c r="C68" s="93">
        <f>COUNTIFS('reductions data'!$A:$A,'divisional &amp; regional overview'!$B$5,'reductions data'!$G:$G,'divisional &amp; regional overview'!B68)</f>
        <v>0</v>
      </c>
      <c r="D68" s="94">
        <f>SUMIFS('reductions data'!$H:$H,'reductions data'!$A:$A,$B$5,'reductions data'!$G:$G,'divisional &amp; regional overview'!B68)</f>
        <v>0</v>
      </c>
      <c r="E68" s="95"/>
      <c r="F68" s="95"/>
      <c r="G68" s="68"/>
    </row>
    <row r="69" spans="2:7" x14ac:dyDescent="0.15">
      <c r="B69" s="342" t="s">
        <v>1441</v>
      </c>
      <c r="C69" s="93">
        <f>COUNTIFS('reductions data'!$A:$A,'divisional &amp; regional overview'!$B$5,'reductions data'!$G:$G,'divisional &amp; regional overview'!B69)</f>
        <v>0</v>
      </c>
      <c r="D69" s="94">
        <f>SUMIFS('reductions data'!$H:$H,'reductions data'!$A:$A,$B$5,'reductions data'!$G:$G,'divisional &amp; regional overview'!B69)</f>
        <v>0</v>
      </c>
      <c r="E69" s="95"/>
      <c r="F69" s="95"/>
      <c r="G69" s="68"/>
    </row>
    <row r="70" spans="2:7" x14ac:dyDescent="0.15">
      <c r="B70" s="342" t="s">
        <v>1442</v>
      </c>
      <c r="C70" s="93">
        <f>COUNTIFS('reductions data'!$A:$A,'divisional &amp; regional overview'!$B$5,'reductions data'!$G:$G,'divisional &amp; regional overview'!B70)</f>
        <v>0</v>
      </c>
      <c r="D70" s="94">
        <f>SUMIFS('reductions data'!$H:$H,'reductions data'!$A:$A,$B$5,'reductions data'!$G:$G,'divisional &amp; regional overview'!B70)</f>
        <v>0</v>
      </c>
      <c r="E70" s="95"/>
      <c r="F70" s="95"/>
      <c r="G70" s="68"/>
    </row>
    <row r="71" spans="2:7" x14ac:dyDescent="0.15">
      <c r="B71" s="342" t="s">
        <v>1446</v>
      </c>
      <c r="C71" s="93">
        <f>COUNTIFS('reductions data'!$A:$A,'divisional &amp; regional overview'!$B$5,'reductions data'!$G:$G,'divisional &amp; regional overview'!B71)</f>
        <v>0</v>
      </c>
      <c r="D71" s="94">
        <f>SUMIFS('reductions data'!$H:$H,'reductions data'!$A:$A,$B$5,'reductions data'!$G:$G,'divisional &amp; regional overview'!B71)</f>
        <v>0</v>
      </c>
      <c r="E71" s="95"/>
      <c r="F71" s="95"/>
      <c r="G71" s="68"/>
    </row>
    <row r="72" spans="2:7" x14ac:dyDescent="0.15">
      <c r="B72" s="117" t="s">
        <v>1439</v>
      </c>
      <c r="C72" s="93">
        <f>COUNTIFS('reductions data'!$A:$A,'divisional &amp; regional overview'!$B$5,'reductions data'!$G:$G,'divisional &amp; regional overview'!B72)</f>
        <v>0</v>
      </c>
      <c r="D72" s="94">
        <f>SUMIFS('reductions data'!$H:$H,'reductions data'!$A:$A,$B$5,'reductions data'!$G:$G,'divisional &amp; regional overview'!B72)</f>
        <v>0</v>
      </c>
      <c r="E72" s="95"/>
      <c r="F72" s="95"/>
      <c r="G72" s="68"/>
    </row>
    <row r="73" spans="2:7" x14ac:dyDescent="0.15">
      <c r="B73" s="117" t="s">
        <v>1440</v>
      </c>
      <c r="C73" s="93">
        <f>COUNTIFS('reductions data'!$A:$A,'divisional &amp; regional overview'!$B$5,'reductions data'!$G:$G,'divisional &amp; regional overview'!B73)</f>
        <v>0</v>
      </c>
      <c r="D73" s="94">
        <f>SUMIFS('reductions data'!$H:$H,'reductions data'!$A:$A,$B$5,'reductions data'!$G:$G,'divisional &amp; regional overview'!B73)</f>
        <v>0</v>
      </c>
      <c r="E73" s="95"/>
      <c r="F73" s="95"/>
      <c r="G73" s="68"/>
    </row>
    <row r="74" spans="2:7" x14ac:dyDescent="0.15">
      <c r="B74" s="117" t="s">
        <v>1082</v>
      </c>
      <c r="C74" s="93">
        <f>COUNTIFS('reductions data'!$A:$A,'divisional &amp; regional overview'!$B$5,'reductions data'!$G:$G,'divisional &amp; regional overview'!B74)</f>
        <v>0</v>
      </c>
      <c r="D74" s="94">
        <f>SUMIFS('reductions data'!$H:$H,'reductions data'!$A:$A,$B$5,'reductions data'!$G:$G,'divisional &amp; regional overview'!B74)</f>
        <v>0</v>
      </c>
      <c r="E74" s="95"/>
      <c r="F74" s="95"/>
      <c r="G74" s="68"/>
    </row>
    <row r="75" spans="2:7" x14ac:dyDescent="0.15">
      <c r="B75" s="117" t="s">
        <v>1083</v>
      </c>
      <c r="C75" s="93">
        <f>COUNTIFS('reductions data'!$A:$A,'divisional &amp; regional overview'!$B$5,'reductions data'!$G:$G,'divisional &amp; regional overview'!B75)</f>
        <v>0</v>
      </c>
      <c r="D75" s="94">
        <f>SUMIFS('reductions data'!$H:$H,'reductions data'!$A:$A,$B$5,'reductions data'!$G:$G,'divisional &amp; regional overview'!B75)</f>
        <v>0</v>
      </c>
      <c r="E75" s="95"/>
      <c r="F75" s="95"/>
      <c r="G75" s="68"/>
    </row>
    <row r="76" spans="2:7" x14ac:dyDescent="0.15">
      <c r="B76" s="117" t="s">
        <v>1084</v>
      </c>
      <c r="C76" s="93">
        <f>COUNTIFS('reductions data'!$A:$A,'divisional &amp; regional overview'!$B$5,'reductions data'!$G:$G,'divisional &amp; regional overview'!B76)</f>
        <v>0</v>
      </c>
      <c r="D76" s="94">
        <f>SUMIFS('reductions data'!$H:$H,'reductions data'!$A:$A,$B$5,'reductions data'!$G:$G,'divisional &amp; regional overview'!B76)</f>
        <v>0</v>
      </c>
      <c r="E76" s="95"/>
      <c r="F76" s="95"/>
      <c r="G76" s="68"/>
    </row>
    <row r="77" spans="2:7" x14ac:dyDescent="0.15">
      <c r="B77" s="117" t="s">
        <v>1085</v>
      </c>
      <c r="C77" s="93">
        <f>COUNTIFS('reductions data'!$A:$A,'divisional &amp; regional overview'!$B$5,'reductions data'!$G:$G,'divisional &amp; regional overview'!B77)</f>
        <v>0</v>
      </c>
      <c r="D77" s="94">
        <f>SUMIFS('reductions data'!$H:$H,'reductions data'!$A:$A,$B$5,'reductions data'!$G:$G,'divisional &amp; regional overview'!B77)</f>
        <v>0</v>
      </c>
      <c r="E77" s="95"/>
      <c r="F77" s="95"/>
      <c r="G77" s="68"/>
    </row>
    <row r="78" spans="2:7" x14ac:dyDescent="0.15">
      <c r="B78" s="117" t="s">
        <v>1086</v>
      </c>
      <c r="C78" s="93">
        <f>COUNTIFS('reductions data'!$A:$A,'divisional &amp; regional overview'!$B$5,'reductions data'!$G:$G,'divisional &amp; regional overview'!B78)</f>
        <v>0</v>
      </c>
      <c r="D78" s="94">
        <f>SUMIFS('reductions data'!$H:$H,'reductions data'!$A:$A,$B$5,'reductions data'!$G:$G,'divisional &amp; regional overview'!B78)</f>
        <v>0</v>
      </c>
      <c r="E78" s="95"/>
      <c r="F78" s="95"/>
      <c r="G78" s="68"/>
    </row>
    <row r="79" spans="2:7" x14ac:dyDescent="0.15">
      <c r="B79" s="117" t="s">
        <v>1087</v>
      </c>
      <c r="C79" s="93">
        <f>COUNTIFS('reductions data'!$A:$A,'divisional &amp; regional overview'!$B$5,'reductions data'!$G:$G,'divisional &amp; regional overview'!B79)</f>
        <v>0</v>
      </c>
      <c r="D79" s="94">
        <f>SUMIFS('reductions data'!$H:$H,'reductions data'!$A:$A,$B$5,'reductions data'!$G:$G,'divisional &amp; regional overview'!B79)</f>
        <v>0</v>
      </c>
      <c r="E79" s="95"/>
      <c r="F79" s="95"/>
      <c r="G79" s="68"/>
    </row>
    <row r="80" spans="2:7" x14ac:dyDescent="0.15">
      <c r="B80" s="117" t="s">
        <v>1074</v>
      </c>
      <c r="C80" s="93">
        <f>COUNTIFS('reductions data'!$A:$A,'divisional &amp; regional overview'!$B$5,'reductions data'!$G:$G,'divisional &amp; regional overview'!B80)</f>
        <v>0</v>
      </c>
      <c r="D80" s="94">
        <f>SUMIFS('reductions data'!$H:$H,'reductions data'!$A:$A,$B$5,'reductions data'!$G:$G,'divisional &amp; regional overview'!B80)</f>
        <v>0</v>
      </c>
      <c r="E80" s="95"/>
      <c r="F80" s="95"/>
      <c r="G80" s="68"/>
    </row>
    <row r="81" spans="2:19" x14ac:dyDescent="0.15">
      <c r="B81" s="117" t="s">
        <v>1091</v>
      </c>
      <c r="C81" s="93">
        <f>COUNTIFS('reductions data'!$A:$A,'divisional &amp; regional overview'!$B$5,'reductions data'!$G:$G,'divisional &amp; regional overview'!B81)</f>
        <v>0</v>
      </c>
      <c r="D81" s="94">
        <f>SUMIFS('reductions data'!$H:$H,'reductions data'!$A:$A,$B$5,'reductions data'!$G:$G,'divisional &amp; regional overview'!B81)</f>
        <v>0</v>
      </c>
      <c r="E81" s="95"/>
      <c r="F81" s="95"/>
      <c r="G81" s="68"/>
    </row>
    <row r="82" spans="2:19" x14ac:dyDescent="0.15">
      <c r="B82" s="117" t="s">
        <v>1092</v>
      </c>
      <c r="C82" s="93">
        <f>COUNTIFS('reductions data'!$A:$A,'divisional &amp; regional overview'!$B$5,'reductions data'!$G:$G,'divisional &amp; regional overview'!B82)</f>
        <v>0</v>
      </c>
      <c r="D82" s="94">
        <f>SUMIFS('reductions data'!$H:$H,'reductions data'!$A:$A,$B$5,'reductions data'!$G:$G,'divisional &amp; regional overview'!B82)</f>
        <v>0</v>
      </c>
      <c r="E82" s="95"/>
      <c r="F82" s="95"/>
      <c r="G82" s="68"/>
    </row>
    <row r="83" spans="2:19" x14ac:dyDescent="0.15">
      <c r="B83" s="117" t="s">
        <v>1093</v>
      </c>
      <c r="C83" s="93">
        <f>COUNTIFS('reductions data'!$A:$A,'divisional &amp; regional overview'!$B$5,'reductions data'!$G:$G,'divisional &amp; regional overview'!B83)</f>
        <v>0</v>
      </c>
      <c r="D83" s="94">
        <f>SUMIFS('reductions data'!$H:$H,'reductions data'!$A:$A,$B$5,'reductions data'!$G:$G,'divisional &amp; regional overview'!B83)</f>
        <v>0</v>
      </c>
      <c r="E83" s="95"/>
      <c r="F83" s="95"/>
      <c r="G83" s="68"/>
    </row>
    <row r="84" spans="2:19" x14ac:dyDescent="0.15">
      <c r="B84" s="117" t="s">
        <v>1094</v>
      </c>
      <c r="C84" s="93">
        <f>COUNTIFS('reductions data'!$A:$A,'divisional &amp; regional overview'!$B$5,'reductions data'!$G:$G,'divisional &amp; regional overview'!B84)</f>
        <v>0</v>
      </c>
      <c r="D84" s="94">
        <f>SUMIFS('reductions data'!$H:$H,'reductions data'!$A:$A,$B$5,'reductions data'!$G:$G,'divisional &amp; regional overview'!B84)</f>
        <v>0</v>
      </c>
      <c r="E84" s="95"/>
      <c r="F84" s="95"/>
      <c r="G84" s="68"/>
    </row>
    <row r="85" spans="2:19" x14ac:dyDescent="0.15">
      <c r="B85" s="117" t="s">
        <v>1095</v>
      </c>
      <c r="C85" s="93">
        <f>COUNTIFS('reductions data'!$A:$A,'divisional &amp; regional overview'!$B$5,'reductions data'!$G:$G,'divisional &amp; regional overview'!B85)</f>
        <v>0</v>
      </c>
      <c r="D85" s="94">
        <f>SUMIFS('reductions data'!$H:$H,'reductions data'!$A:$A,$B$5,'reductions data'!$G:$G,'divisional &amp; regional overview'!B85)</f>
        <v>0</v>
      </c>
      <c r="E85" s="95"/>
      <c r="F85" s="95"/>
      <c r="G85" s="68"/>
    </row>
    <row r="86" spans="2:19" x14ac:dyDescent="0.15">
      <c r="B86" s="117" t="s">
        <v>1096</v>
      </c>
      <c r="C86" s="93">
        <f>COUNTIFS('reductions data'!$A:$A,'divisional &amp; regional overview'!$B$5,'reductions data'!$G:$G,'divisional &amp; regional overview'!B86)</f>
        <v>0</v>
      </c>
      <c r="D86" s="94">
        <f>SUMIFS('reductions data'!$H:$H,'reductions data'!$A:$A,$B$5,'reductions data'!$G:$G,'divisional &amp; regional overview'!B86)</f>
        <v>0</v>
      </c>
      <c r="E86" s="95"/>
      <c r="F86" s="95"/>
      <c r="G86" s="68"/>
    </row>
    <row r="87" spans="2:19" x14ac:dyDescent="0.15">
      <c r="B87" s="117" t="s">
        <v>1097</v>
      </c>
      <c r="C87" s="93">
        <f>COUNTIFS('reductions data'!$A:$A,'divisional &amp; regional overview'!$B$5,'reductions data'!$G:$G,'divisional &amp; regional overview'!B87)</f>
        <v>0</v>
      </c>
      <c r="D87" s="94">
        <f>SUMIFS('reductions data'!$H:$H,'reductions data'!$A:$A,$B$5,'reductions data'!$G:$G,'divisional &amp; regional overview'!B87)</f>
        <v>0</v>
      </c>
      <c r="E87" s="95"/>
      <c r="F87" s="95"/>
      <c r="G87" s="68"/>
    </row>
    <row r="88" spans="2:19" ht="16" x14ac:dyDescent="0.2">
      <c r="B88" s="117" t="s">
        <v>1098</v>
      </c>
      <c r="C88" s="93">
        <f>COUNTIFS('reductions data'!$A:$A,'divisional &amp; regional overview'!$B$5,'reductions data'!$G:$G,'divisional &amp; regional overview'!B88)</f>
        <v>0</v>
      </c>
      <c r="D88" s="94">
        <f>SUMIFS('reductions data'!$H:$H,'reductions data'!$A:$A,$B$5,'reductions data'!$G:$G,'divisional &amp; regional overview'!B88)</f>
        <v>0</v>
      </c>
      <c r="E88" s="1"/>
      <c r="F88" s="1"/>
    </row>
    <row r="89" spans="2:19" ht="16" x14ac:dyDescent="0.2">
      <c r="B89" s="343"/>
      <c r="C89" s="344"/>
      <c r="D89" s="345"/>
      <c r="E89" s="1"/>
      <c r="F89" s="1"/>
    </row>
    <row r="90" spans="2:19" ht="16" x14ac:dyDescent="0.2">
      <c r="B90" s="343"/>
      <c r="C90" s="344"/>
      <c r="D90" s="345"/>
      <c r="E90" s="1"/>
      <c r="F90" s="1"/>
    </row>
    <row r="91" spans="2:19" ht="27" customHeight="1" x14ac:dyDescent="0.15">
      <c r="B91" s="22"/>
      <c r="C91" s="375" t="s">
        <v>1158</v>
      </c>
      <c r="D91" s="376"/>
      <c r="E91" s="376"/>
      <c r="F91" s="376"/>
      <c r="G91" s="376"/>
      <c r="H91" s="376"/>
      <c r="I91" s="376"/>
      <c r="J91" s="376"/>
      <c r="K91" s="376"/>
      <c r="L91" s="376"/>
      <c r="M91" s="376"/>
      <c r="N91" s="376"/>
      <c r="O91" s="376"/>
      <c r="P91" s="376"/>
      <c r="Q91" s="376"/>
      <c r="R91" s="376"/>
      <c r="S91" s="376"/>
    </row>
    <row r="92" spans="2:19" x14ac:dyDescent="0.15">
      <c r="B92" s="97" t="str">
        <f>B5</f>
        <v>East Midlands Region</v>
      </c>
      <c r="C92" s="40" t="s">
        <v>1022</v>
      </c>
      <c r="D92" s="40" t="s">
        <v>1023</v>
      </c>
      <c r="E92" s="40" t="s">
        <v>1024</v>
      </c>
      <c r="F92" s="40" t="s">
        <v>1025</v>
      </c>
      <c r="G92" s="40" t="s">
        <v>1026</v>
      </c>
      <c r="H92" s="40" t="s">
        <v>1027</v>
      </c>
      <c r="I92" s="40" t="s">
        <v>1028</v>
      </c>
      <c r="J92" s="40" t="s">
        <v>1029</v>
      </c>
      <c r="K92" s="40" t="s">
        <v>1030</v>
      </c>
      <c r="L92" s="40" t="s">
        <v>1031</v>
      </c>
      <c r="M92" s="40" t="s">
        <v>1032</v>
      </c>
      <c r="N92" s="40" t="s">
        <v>1033</v>
      </c>
      <c r="O92" s="40" t="s">
        <v>1034</v>
      </c>
      <c r="P92" s="40" t="s">
        <v>1035</v>
      </c>
      <c r="Q92" s="40" t="s">
        <v>1036</v>
      </c>
      <c r="R92" s="40" t="s">
        <v>1037</v>
      </c>
      <c r="S92" s="40" t="s">
        <v>1039</v>
      </c>
    </row>
    <row r="93" spans="2:19" x14ac:dyDescent="0.15">
      <c r="B93" s="79" t="s">
        <v>1159</v>
      </c>
      <c r="C93" s="98">
        <f>SUMIFS('caseload data'!E:E,'caseload data'!$B:$B,"custody",'caseload data'!$A:$A,$B$92)</f>
        <v>0</v>
      </c>
      <c r="D93" s="98">
        <f>SUMIFS('caseload data'!F:F,'caseload data'!$B:$B,"custody",'caseload data'!$A:$A,$B$92)</f>
        <v>0</v>
      </c>
      <c r="E93" s="98">
        <f>SUMIFS('caseload data'!G:G,'caseload data'!$B:$B,"custody",'caseload data'!$A:$A,$B$92)</f>
        <v>0</v>
      </c>
      <c r="F93" s="98">
        <f>SUMIFS('caseload data'!H:H,'caseload data'!$B:$B,"custody",'caseload data'!$A:$A,$B$92)</f>
        <v>0</v>
      </c>
      <c r="G93" s="98">
        <f>SUMIFS('caseload data'!I:I,'caseload data'!$B:$B,"custody",'caseload data'!$A:$A,$B$92)</f>
        <v>0</v>
      </c>
      <c r="H93" s="98">
        <f>SUMIFS('caseload data'!J:J,'caseload data'!$B:$B,"custody",'caseload data'!$A:$A,$B$92)</f>
        <v>0</v>
      </c>
      <c r="I93" s="98">
        <f>SUMIFS('caseload data'!K:K,'caseload data'!$B:$B,"custody",'caseload data'!$A:$A,$B$92)</f>
        <v>0</v>
      </c>
      <c r="J93" s="98">
        <f>SUMIFS('caseload data'!L:L,'caseload data'!$B:$B,"custody",'caseload data'!$A:$A,$B$92)</f>
        <v>0</v>
      </c>
      <c r="K93" s="98">
        <f>SUMIFS('caseload data'!M:M,'caseload data'!$B:$B,"custody",'caseload data'!$A:$A,$B$92)</f>
        <v>0</v>
      </c>
      <c r="L93" s="98">
        <f>SUMIFS('caseload data'!N:N,'caseload data'!$B:$B,"custody",'caseload data'!$A:$A,$B$92)</f>
        <v>0</v>
      </c>
      <c r="M93" s="98">
        <f>SUMIFS('caseload data'!O:O,'caseload data'!$B:$B,"custody",'caseload data'!$A:$A,$B$92)</f>
        <v>0</v>
      </c>
      <c r="N93" s="98">
        <f>SUMIFS('caseload data'!P:P,'caseload data'!$B:$B,"custody",'caseload data'!$A:$A,$B$92)</f>
        <v>0</v>
      </c>
      <c r="O93" s="98">
        <f>SUMIFS('caseload data'!Q:Q,'caseload data'!$B:$B,"custody",'caseload data'!$A:$A,$B$92)</f>
        <v>0</v>
      </c>
      <c r="P93" s="98">
        <f>SUMIFS('caseload data'!R:R,'caseload data'!$B:$B,"custody",'caseload data'!$A:$A,$B$92)</f>
        <v>0</v>
      </c>
      <c r="Q93" s="98">
        <f>SUMIFS('caseload data'!S:S,'caseload data'!$B:$B,"custody",'caseload data'!$A:$A,$B$92)</f>
        <v>0</v>
      </c>
      <c r="R93" s="98">
        <f>SUMIFS('caseload data'!T:T,'caseload data'!$B:$B,"custody",'caseload data'!$A:$A,$B$92)</f>
        <v>0</v>
      </c>
      <c r="S93" s="98">
        <f>SUMIFS('caseload data'!V:V,'caseload data'!A:A,B92,'caseload data'!B:B,"custody")</f>
        <v>0</v>
      </c>
    </row>
    <row r="94" spans="2:19" x14ac:dyDescent="0.15">
      <c r="B94" s="79" t="s">
        <v>1160</v>
      </c>
      <c r="C94" s="79">
        <f>SUMIFS('caseload data'!E:E,'caseload data'!$B:$B,"licence",'caseload data'!$A:$A,$B$92)</f>
        <v>0</v>
      </c>
      <c r="D94" s="79">
        <f>SUMIFS('caseload data'!F:F,'caseload data'!$B:$B,"licence",'caseload data'!$A:$A,$B$92)</f>
        <v>0</v>
      </c>
      <c r="E94" s="79">
        <f>SUMIFS('caseload data'!G:G,'caseload data'!$B:$B,"licence",'caseload data'!$A:$A,$B$92)</f>
        <v>0</v>
      </c>
      <c r="F94" s="79">
        <f>SUMIFS('caseload data'!H:H,'caseload data'!$B:$B,"licence",'caseload data'!$A:$A,$B$92)</f>
        <v>0</v>
      </c>
      <c r="G94" s="79">
        <f>SUMIFS('caseload data'!I:I,'caseload data'!$B:$B,"licence",'caseload data'!$A:$A,$B$92)</f>
        <v>0</v>
      </c>
      <c r="H94" s="79">
        <f>SUMIFS('caseload data'!J:J,'caseload data'!$B:$B,"licence",'caseload data'!$A:$A,$B$92)</f>
        <v>0</v>
      </c>
      <c r="I94" s="79">
        <f>SUMIFS('caseload data'!K:K,'caseload data'!$B:$B,"licence",'caseload data'!$A:$A,$B$92)</f>
        <v>0</v>
      </c>
      <c r="J94" s="79">
        <f>SUMIFS('caseload data'!L:L,'caseload data'!$B:$B,"licence",'caseload data'!$A:$A,$B$92)</f>
        <v>0</v>
      </c>
      <c r="K94" s="79">
        <f>SUMIFS('caseload data'!M:M,'caseload data'!$B:$B,"licence",'caseload data'!$A:$A,$B$92)</f>
        <v>0</v>
      </c>
      <c r="L94" s="79">
        <f>SUMIFS('caseload data'!N:N,'caseload data'!$B:$B,"licence",'caseload data'!$A:$A,$B$92)</f>
        <v>0</v>
      </c>
      <c r="M94" s="79">
        <f>SUMIFS('caseload data'!O:O,'caseload data'!$B:$B,"licence",'caseload data'!$A:$A,$B$92)</f>
        <v>0</v>
      </c>
      <c r="N94" s="79">
        <f>SUMIFS('caseload data'!P:P,'caseload data'!$B:$B,"licence",'caseload data'!$A:$A,$B$92)</f>
        <v>0</v>
      </c>
      <c r="O94" s="79">
        <f>SUMIFS('caseload data'!Q:Q,'caseload data'!$B:$B,"licence",'caseload data'!$A:$A,$B$92)</f>
        <v>0</v>
      </c>
      <c r="P94" s="79">
        <f>SUMIFS('caseload data'!R:R,'caseload data'!$B:$B,"licence",'caseload data'!$A:$A,$B$92)</f>
        <v>0</v>
      </c>
      <c r="Q94" s="79">
        <f>SUMIFS('caseload data'!S:S,'caseload data'!$B:$B,"licence",'caseload data'!$A:$A,$B$92)</f>
        <v>0</v>
      </c>
      <c r="R94" s="79">
        <f>SUMIFS('caseload data'!T:T,'caseload data'!$B:$B,"licence",'caseload data'!$A:$A,$B$92)</f>
        <v>0</v>
      </c>
      <c r="S94" s="79">
        <f>SUMIFS('caseload data'!V:V,'caseload data'!A:A,B92,'caseload data'!B:B,"licence")</f>
        <v>0</v>
      </c>
    </row>
    <row r="95" spans="2:19" x14ac:dyDescent="0.15">
      <c r="B95" s="79" t="s">
        <v>1161</v>
      </c>
      <c r="C95" s="79">
        <f>SUMIFS('caseload data'!E:E,'caseload data'!$B:$B,"community",'caseload data'!$A:$A,$B$92)</f>
        <v>0</v>
      </c>
      <c r="D95" s="79">
        <f>SUMIFS('caseload data'!F:F,'caseload data'!$B:$B,"community",'caseload data'!$A:$A,$B$92)</f>
        <v>0</v>
      </c>
      <c r="E95" s="79">
        <f>SUMIFS('caseload data'!G:G,'caseload data'!$B:$B,"community",'caseload data'!$A:$A,$B$92)</f>
        <v>0</v>
      </c>
      <c r="F95" s="79">
        <f>SUMIFS('caseload data'!H:H,'caseload data'!$B:$B,"community",'caseload data'!$A:$A,$B$92)</f>
        <v>0</v>
      </c>
      <c r="G95" s="79">
        <f>SUMIFS('caseload data'!I:I,'caseload data'!$B:$B,"community",'caseload data'!$A:$A,$B$92)</f>
        <v>0</v>
      </c>
      <c r="H95" s="79">
        <f>SUMIFS('caseload data'!J:J,'caseload data'!$B:$B,"community",'caseload data'!$A:$A,$B$92)</f>
        <v>0</v>
      </c>
      <c r="I95" s="79">
        <f>SUMIFS('caseload data'!K:K,'caseload data'!$B:$B,"community",'caseload data'!$A:$A,$B$92)</f>
        <v>0</v>
      </c>
      <c r="J95" s="79">
        <f>SUMIFS('caseload data'!L:L,'caseload data'!$B:$B,"community",'caseload data'!$A:$A,$B$92)</f>
        <v>0</v>
      </c>
      <c r="K95" s="79">
        <f>SUMIFS('caseload data'!M:M,'caseload data'!$B:$B,"community",'caseload data'!$A:$A,$B$92)</f>
        <v>0</v>
      </c>
      <c r="L95" s="79">
        <f>SUMIFS('caseload data'!N:N,'caseload data'!$B:$B,"community",'caseload data'!$A:$A,$B$92)</f>
        <v>0</v>
      </c>
      <c r="M95" s="79">
        <f>SUMIFS('caseload data'!O:O,'caseload data'!$B:$B,"community",'caseload data'!$A:$A,$B$92)</f>
        <v>0</v>
      </c>
      <c r="N95" s="79">
        <f>SUMIFS('caseload data'!P:P,'caseload data'!$B:$B,"community",'caseload data'!$A:$A,$B$92)</f>
        <v>0</v>
      </c>
      <c r="O95" s="79">
        <f>SUMIFS('caseload data'!Q:Q,'caseload data'!$B:$B,"community",'caseload data'!$A:$A,$B$92)</f>
        <v>0</v>
      </c>
      <c r="P95" s="79">
        <f>SUMIFS('caseload data'!R:R,'caseload data'!$B:$B,"community",'caseload data'!$A:$A,$B$92)</f>
        <v>0</v>
      </c>
      <c r="Q95" s="79">
        <f>SUMIFS('caseload data'!S:S,'caseload data'!$B:$B,"community",'caseload data'!$A:$A,$B$92)</f>
        <v>0</v>
      </c>
      <c r="R95" s="79">
        <f>SUMIFS('caseload data'!T:T,'caseload data'!$B:$B,"community",'caseload data'!$A:$A,$B$92)</f>
        <v>0</v>
      </c>
      <c r="S95" s="79">
        <f>SUMIFS('caseload data'!V:V,'caseload data'!A:A,B92,'caseload data'!B:B,"community")</f>
        <v>0</v>
      </c>
    </row>
    <row r="96" spans="2:19" x14ac:dyDescent="0.15">
      <c r="B96" s="114" t="s">
        <v>1162</v>
      </c>
      <c r="C96" s="114">
        <f>SUMIF('caseload data'!$A:$A,$B$92,'caseload data'!E:E)</f>
        <v>0</v>
      </c>
      <c r="D96" s="114">
        <f>SUMIF('caseload data'!$A:$A,$B$92,'caseload data'!F:F)</f>
        <v>0</v>
      </c>
      <c r="E96" s="114">
        <f>SUMIF('caseload data'!$A:$A,$B$92,'caseload data'!G:G)</f>
        <v>0</v>
      </c>
      <c r="F96" s="114">
        <f>SUMIF('caseload data'!$A:$A,$B$92,'caseload data'!H:H)</f>
        <v>0</v>
      </c>
      <c r="G96" s="114">
        <f>SUMIF('caseload data'!$A:$A,$B$92,'caseload data'!I:I)</f>
        <v>0</v>
      </c>
      <c r="H96" s="114">
        <f>SUMIF('caseload data'!$A:$A,$B$92,'caseload data'!J:J)</f>
        <v>0</v>
      </c>
      <c r="I96" s="114">
        <f>SUMIF('caseload data'!$A:$A,$B$92,'caseload data'!K:K)</f>
        <v>0</v>
      </c>
      <c r="J96" s="114">
        <f>SUMIF('caseload data'!$A:$A,$B$92,'caseload data'!L:L)</f>
        <v>0</v>
      </c>
      <c r="K96" s="114">
        <f>SUMIF('caseload data'!$A:$A,$B$92,'caseload data'!M:M)</f>
        <v>0</v>
      </c>
      <c r="L96" s="114">
        <f>SUMIF('caseload data'!$A:$A,$B$92,'caseload data'!N:N)</f>
        <v>0</v>
      </c>
      <c r="M96" s="114">
        <f>SUMIF('caseload data'!$A:$A,$B$92,'caseload data'!O:O)</f>
        <v>0</v>
      </c>
      <c r="N96" s="114">
        <f>SUMIF('caseload data'!$A:$A,$B$92,'caseload data'!P:P)</f>
        <v>0</v>
      </c>
      <c r="O96" s="114">
        <f>SUMIF('caseload data'!$A:$A,$B$92,'caseload data'!Q:Q)</f>
        <v>0</v>
      </c>
      <c r="P96" s="114">
        <f>SUMIF('caseload data'!$A:$A,$B$92,'caseload data'!R:R)</f>
        <v>0</v>
      </c>
      <c r="Q96" s="114">
        <f>SUMIF('caseload data'!$A:$A,$B$92,'caseload data'!S:S)</f>
        <v>0</v>
      </c>
      <c r="R96" s="114">
        <f>SUMIF('caseload data'!$A:$A,$B$92,'caseload data'!T:T)</f>
        <v>0</v>
      </c>
      <c r="S96" s="114">
        <f>SUMIF('caseload data'!A:A,B92,'caseload data'!V:V)</f>
        <v>0</v>
      </c>
    </row>
    <row r="97" spans="2:37" x14ac:dyDescent="0.15">
      <c r="B97" s="22"/>
      <c r="C97" s="22"/>
      <c r="D97" s="22"/>
      <c r="E97" s="22"/>
      <c r="F97" s="22"/>
      <c r="G97" s="22"/>
      <c r="H97" s="22"/>
      <c r="I97" s="22"/>
      <c r="J97" s="22"/>
    </row>
    <row r="98" spans="2:37" ht="21.75" customHeight="1" x14ac:dyDescent="0.15">
      <c r="B98" s="22"/>
      <c r="C98" s="375" t="s">
        <v>1163</v>
      </c>
      <c r="D98" s="376"/>
      <c r="E98" s="376"/>
      <c r="F98" s="376"/>
      <c r="G98" s="376"/>
      <c r="H98" s="376"/>
      <c r="I98" s="376"/>
      <c r="J98" s="376"/>
      <c r="K98" s="376"/>
      <c r="L98" s="376"/>
      <c r="M98" s="376"/>
      <c r="N98" s="376"/>
      <c r="O98" s="376"/>
      <c r="P98" s="376"/>
      <c r="Q98" s="376"/>
      <c r="R98" s="376"/>
    </row>
    <row r="99" spans="2:37" x14ac:dyDescent="0.15">
      <c r="B99" s="97" t="str">
        <f>B5</f>
        <v>East Midlands Region</v>
      </c>
      <c r="C99" s="40" t="s">
        <v>1022</v>
      </c>
      <c r="D99" s="40" t="s">
        <v>1023</v>
      </c>
      <c r="E99" s="40" t="s">
        <v>1024</v>
      </c>
      <c r="F99" s="40" t="s">
        <v>1025</v>
      </c>
      <c r="G99" s="40" t="s">
        <v>1026</v>
      </c>
      <c r="H99" s="40" t="s">
        <v>1027</v>
      </c>
      <c r="I99" s="40" t="s">
        <v>1028</v>
      </c>
      <c r="J99" s="40" t="s">
        <v>1029</v>
      </c>
      <c r="K99" s="40" t="s">
        <v>1030</v>
      </c>
      <c r="L99" s="40" t="s">
        <v>1031</v>
      </c>
      <c r="M99" s="40" t="s">
        <v>1032</v>
      </c>
      <c r="N99" s="40" t="s">
        <v>1033</v>
      </c>
      <c r="O99" s="40" t="s">
        <v>1034</v>
      </c>
      <c r="P99" s="40" t="s">
        <v>1035</v>
      </c>
      <c r="Q99" s="40" t="s">
        <v>1036</v>
      </c>
      <c r="R99" s="40" t="s">
        <v>1037</v>
      </c>
    </row>
    <row r="100" spans="2:37" x14ac:dyDescent="0.15">
      <c r="B100" s="79" t="s">
        <v>1159</v>
      </c>
      <c r="C100" s="70" t="e">
        <f t="shared" ref="C100:R100" si="0">C93/$S$93</f>
        <v>#DIV/0!</v>
      </c>
      <c r="D100" s="70" t="e">
        <f t="shared" si="0"/>
        <v>#DIV/0!</v>
      </c>
      <c r="E100" s="70" t="e">
        <f t="shared" si="0"/>
        <v>#DIV/0!</v>
      </c>
      <c r="F100" s="70" t="e">
        <f t="shared" si="0"/>
        <v>#DIV/0!</v>
      </c>
      <c r="G100" s="70" t="e">
        <f t="shared" si="0"/>
        <v>#DIV/0!</v>
      </c>
      <c r="H100" s="70" t="e">
        <f t="shared" si="0"/>
        <v>#DIV/0!</v>
      </c>
      <c r="I100" s="70" t="e">
        <f t="shared" si="0"/>
        <v>#DIV/0!</v>
      </c>
      <c r="J100" s="70" t="e">
        <f t="shared" si="0"/>
        <v>#DIV/0!</v>
      </c>
      <c r="K100" s="70" t="e">
        <f t="shared" si="0"/>
        <v>#DIV/0!</v>
      </c>
      <c r="L100" s="70" t="e">
        <f t="shared" si="0"/>
        <v>#DIV/0!</v>
      </c>
      <c r="M100" s="70" t="e">
        <f t="shared" si="0"/>
        <v>#DIV/0!</v>
      </c>
      <c r="N100" s="70" t="e">
        <f t="shared" si="0"/>
        <v>#DIV/0!</v>
      </c>
      <c r="O100" s="70" t="e">
        <f t="shared" si="0"/>
        <v>#DIV/0!</v>
      </c>
      <c r="P100" s="70" t="e">
        <f t="shared" si="0"/>
        <v>#DIV/0!</v>
      </c>
      <c r="Q100" s="70" t="e">
        <f t="shared" si="0"/>
        <v>#DIV/0!</v>
      </c>
      <c r="R100" s="70" t="e">
        <f t="shared" si="0"/>
        <v>#DIV/0!</v>
      </c>
    </row>
    <row r="101" spans="2:37" x14ac:dyDescent="0.15">
      <c r="B101" s="79" t="s">
        <v>1160</v>
      </c>
      <c r="C101" s="70" t="e">
        <f t="shared" ref="C101:R101" si="1">C94/$S$94</f>
        <v>#DIV/0!</v>
      </c>
      <c r="D101" s="70" t="e">
        <f t="shared" si="1"/>
        <v>#DIV/0!</v>
      </c>
      <c r="E101" s="70" t="e">
        <f t="shared" si="1"/>
        <v>#DIV/0!</v>
      </c>
      <c r="F101" s="70" t="e">
        <f t="shared" si="1"/>
        <v>#DIV/0!</v>
      </c>
      <c r="G101" s="70" t="e">
        <f t="shared" si="1"/>
        <v>#DIV/0!</v>
      </c>
      <c r="H101" s="70" t="e">
        <f t="shared" si="1"/>
        <v>#DIV/0!</v>
      </c>
      <c r="I101" s="70" t="e">
        <f t="shared" si="1"/>
        <v>#DIV/0!</v>
      </c>
      <c r="J101" s="70" t="e">
        <f t="shared" si="1"/>
        <v>#DIV/0!</v>
      </c>
      <c r="K101" s="70" t="e">
        <f t="shared" si="1"/>
        <v>#DIV/0!</v>
      </c>
      <c r="L101" s="70" t="e">
        <f t="shared" si="1"/>
        <v>#DIV/0!</v>
      </c>
      <c r="M101" s="70" t="e">
        <f t="shared" si="1"/>
        <v>#DIV/0!</v>
      </c>
      <c r="N101" s="70" t="e">
        <f t="shared" si="1"/>
        <v>#DIV/0!</v>
      </c>
      <c r="O101" s="70" t="e">
        <f t="shared" si="1"/>
        <v>#DIV/0!</v>
      </c>
      <c r="P101" s="70" t="e">
        <f t="shared" si="1"/>
        <v>#DIV/0!</v>
      </c>
      <c r="Q101" s="70" t="e">
        <f t="shared" si="1"/>
        <v>#DIV/0!</v>
      </c>
      <c r="R101" s="70" t="e">
        <f t="shared" si="1"/>
        <v>#DIV/0!</v>
      </c>
    </row>
    <row r="102" spans="2:37" x14ac:dyDescent="0.15">
      <c r="B102" s="79" t="s">
        <v>1161</v>
      </c>
      <c r="C102" s="70" t="e">
        <f t="shared" ref="C102:R102" si="2">C95/$S$95</f>
        <v>#DIV/0!</v>
      </c>
      <c r="D102" s="70" t="e">
        <f t="shared" si="2"/>
        <v>#DIV/0!</v>
      </c>
      <c r="E102" s="70" t="e">
        <f t="shared" si="2"/>
        <v>#DIV/0!</v>
      </c>
      <c r="F102" s="70" t="e">
        <f t="shared" si="2"/>
        <v>#DIV/0!</v>
      </c>
      <c r="G102" s="70" t="e">
        <f t="shared" si="2"/>
        <v>#DIV/0!</v>
      </c>
      <c r="H102" s="70" t="e">
        <f t="shared" si="2"/>
        <v>#DIV/0!</v>
      </c>
      <c r="I102" s="70" t="e">
        <f t="shared" si="2"/>
        <v>#DIV/0!</v>
      </c>
      <c r="J102" s="70" t="e">
        <f t="shared" si="2"/>
        <v>#DIV/0!</v>
      </c>
      <c r="K102" s="70" t="e">
        <f t="shared" si="2"/>
        <v>#DIV/0!</v>
      </c>
      <c r="L102" s="70" t="e">
        <f t="shared" si="2"/>
        <v>#DIV/0!</v>
      </c>
      <c r="M102" s="70" t="e">
        <f t="shared" si="2"/>
        <v>#DIV/0!</v>
      </c>
      <c r="N102" s="70" t="e">
        <f t="shared" si="2"/>
        <v>#DIV/0!</v>
      </c>
      <c r="O102" s="70" t="e">
        <f t="shared" si="2"/>
        <v>#DIV/0!</v>
      </c>
      <c r="P102" s="70" t="e">
        <f t="shared" si="2"/>
        <v>#DIV/0!</v>
      </c>
      <c r="Q102" s="70" t="e">
        <f t="shared" si="2"/>
        <v>#DIV/0!</v>
      </c>
      <c r="R102" s="70" t="e">
        <f t="shared" si="2"/>
        <v>#DIV/0!</v>
      </c>
    </row>
    <row r="103" spans="2:37" x14ac:dyDescent="0.15">
      <c r="B103" s="114" t="s">
        <v>1162</v>
      </c>
      <c r="C103" s="103" t="e">
        <f>C96/$S$96</f>
        <v>#DIV/0!</v>
      </c>
      <c r="D103" s="103" t="e">
        <f t="shared" ref="D103:R103" si="3">D96/$S$96</f>
        <v>#DIV/0!</v>
      </c>
      <c r="E103" s="103" t="e">
        <f t="shared" si="3"/>
        <v>#DIV/0!</v>
      </c>
      <c r="F103" s="103" t="e">
        <f t="shared" si="3"/>
        <v>#DIV/0!</v>
      </c>
      <c r="G103" s="103" t="e">
        <f t="shared" si="3"/>
        <v>#DIV/0!</v>
      </c>
      <c r="H103" s="103" t="e">
        <f t="shared" si="3"/>
        <v>#DIV/0!</v>
      </c>
      <c r="I103" s="103" t="e">
        <f t="shared" si="3"/>
        <v>#DIV/0!</v>
      </c>
      <c r="J103" s="103" t="e">
        <f t="shared" si="3"/>
        <v>#DIV/0!</v>
      </c>
      <c r="K103" s="103" t="e">
        <f t="shared" si="3"/>
        <v>#DIV/0!</v>
      </c>
      <c r="L103" s="103" t="e">
        <f t="shared" si="3"/>
        <v>#DIV/0!</v>
      </c>
      <c r="M103" s="103" t="e">
        <f t="shared" si="3"/>
        <v>#DIV/0!</v>
      </c>
      <c r="N103" s="103" t="e">
        <f t="shared" si="3"/>
        <v>#DIV/0!</v>
      </c>
      <c r="O103" s="103" t="e">
        <f t="shared" si="3"/>
        <v>#DIV/0!</v>
      </c>
      <c r="P103" s="103" t="e">
        <f t="shared" si="3"/>
        <v>#DIV/0!</v>
      </c>
      <c r="Q103" s="103" t="e">
        <f t="shared" si="3"/>
        <v>#DIV/0!</v>
      </c>
      <c r="R103" s="103" t="e">
        <f t="shared" si="3"/>
        <v>#DIV/0!</v>
      </c>
    </row>
    <row r="104" spans="2:37" ht="26.25" customHeight="1" x14ac:dyDescent="0.15">
      <c r="U104" s="377" t="s">
        <v>1164</v>
      </c>
      <c r="V104" s="378"/>
      <c r="W104" s="378"/>
      <c r="X104" s="378"/>
      <c r="Y104" s="378"/>
      <c r="Z104" s="378"/>
      <c r="AA104" s="378"/>
      <c r="AB104" s="378"/>
      <c r="AC104" s="378"/>
      <c r="AD104" s="378"/>
      <c r="AE104" s="378"/>
      <c r="AF104" s="378"/>
      <c r="AG104" s="378"/>
      <c r="AH104" s="378"/>
      <c r="AI104" s="378"/>
      <c r="AJ104" s="378"/>
      <c r="AK104" s="378"/>
    </row>
    <row r="105" spans="2:37" x14ac:dyDescent="0.15">
      <c r="U105" s="41" t="s">
        <v>1165</v>
      </c>
      <c r="V105" s="40" t="s">
        <v>1022</v>
      </c>
      <c r="W105" s="40" t="s">
        <v>1023</v>
      </c>
      <c r="X105" s="40" t="s">
        <v>1024</v>
      </c>
      <c r="Y105" s="40" t="s">
        <v>1025</v>
      </c>
      <c r="Z105" s="40" t="s">
        <v>1026</v>
      </c>
      <c r="AA105" s="40" t="s">
        <v>1027</v>
      </c>
      <c r="AB105" s="40" t="s">
        <v>1028</v>
      </c>
      <c r="AC105" s="40" t="s">
        <v>1029</v>
      </c>
      <c r="AD105" s="40" t="s">
        <v>1030</v>
      </c>
      <c r="AE105" s="40" t="s">
        <v>1031</v>
      </c>
      <c r="AF105" s="40" t="s">
        <v>1032</v>
      </c>
      <c r="AG105" s="40" t="s">
        <v>1033</v>
      </c>
      <c r="AH105" s="40" t="s">
        <v>1034</v>
      </c>
      <c r="AI105" s="40" t="s">
        <v>1035</v>
      </c>
      <c r="AJ105" s="40" t="s">
        <v>1036</v>
      </c>
      <c r="AK105" s="40" t="s">
        <v>1037</v>
      </c>
    </row>
    <row r="106" spans="2:37" x14ac:dyDescent="0.15">
      <c r="B106" s="22"/>
      <c r="C106" s="59"/>
      <c r="D106" s="59"/>
      <c r="E106" s="59"/>
      <c r="F106" s="59"/>
      <c r="G106" s="59"/>
      <c r="H106" s="59"/>
      <c r="I106" s="59"/>
      <c r="J106" s="22"/>
      <c r="U106" s="33" t="s">
        <v>1166</v>
      </c>
      <c r="V106" s="17">
        <v>1</v>
      </c>
      <c r="W106" s="17">
        <v>1</v>
      </c>
      <c r="X106" s="17">
        <v>1</v>
      </c>
      <c r="Y106" s="17">
        <v>0.75</v>
      </c>
      <c r="Z106" s="17">
        <v>0.1</v>
      </c>
      <c r="AA106" s="17">
        <v>0</v>
      </c>
      <c r="AB106" s="17">
        <v>0</v>
      </c>
    </row>
    <row r="107" spans="2:37" x14ac:dyDescent="0.15">
      <c r="B107" s="22"/>
      <c r="C107" s="22"/>
      <c r="D107" s="22"/>
      <c r="E107" s="22"/>
      <c r="F107" s="22"/>
      <c r="G107" s="22"/>
      <c r="H107" s="22"/>
      <c r="I107" s="22"/>
      <c r="J107" s="22"/>
      <c r="U107" s="44" t="s">
        <v>1167</v>
      </c>
      <c r="V107" s="17">
        <v>0</v>
      </c>
      <c r="W107" s="17">
        <v>0</v>
      </c>
      <c r="X107" s="17">
        <v>0</v>
      </c>
      <c r="Y107" s="17">
        <v>0.25</v>
      </c>
      <c r="Z107" s="17">
        <v>0.9</v>
      </c>
      <c r="AA107" s="17">
        <v>1</v>
      </c>
      <c r="AB107" s="17">
        <v>1</v>
      </c>
    </row>
    <row r="108" spans="2:37" x14ac:dyDescent="0.15">
      <c r="B108" s="22"/>
      <c r="C108" s="22"/>
      <c r="D108" s="22"/>
      <c r="E108" s="22"/>
      <c r="F108" s="22"/>
      <c r="G108" s="22"/>
      <c r="H108" s="22"/>
      <c r="I108" s="22"/>
      <c r="J108" s="22"/>
    </row>
    <row r="109" spans="2:37" ht="23.25" customHeight="1" x14ac:dyDescent="0.2">
      <c r="B109" s="55" t="str">
        <f>B5</f>
        <v>East Midlands Region</v>
      </c>
      <c r="C109" s="375" t="s">
        <v>1168</v>
      </c>
      <c r="D109" s="376"/>
      <c r="E109" s="376"/>
      <c r="F109" s="376"/>
      <c r="G109" s="376"/>
      <c r="H109" s="376"/>
      <c r="I109" s="376"/>
      <c r="J109" s="376"/>
      <c r="K109" s="376"/>
      <c r="L109" s="376"/>
      <c r="M109" s="376"/>
      <c r="N109" s="376"/>
      <c r="O109" s="376"/>
      <c r="P109" s="376"/>
      <c r="Q109" s="376"/>
      <c r="R109" s="376"/>
      <c r="U109" s="55" t="str">
        <f>B5</f>
        <v>East Midlands Region</v>
      </c>
      <c r="V109" s="364" t="s">
        <v>1169</v>
      </c>
      <c r="W109" s="365"/>
      <c r="X109" s="365"/>
      <c r="Y109" s="365"/>
      <c r="Z109" s="365"/>
      <c r="AA109" s="365"/>
      <c r="AB109" s="365"/>
      <c r="AC109" s="365"/>
      <c r="AD109" s="365"/>
      <c r="AE109" s="365"/>
      <c r="AF109" s="365"/>
      <c r="AG109" s="365"/>
      <c r="AH109" s="365"/>
      <c r="AI109" s="365"/>
      <c r="AJ109" s="365"/>
      <c r="AK109" s="365"/>
    </row>
    <row r="110" spans="2:37" ht="18" x14ac:dyDescent="0.2">
      <c r="B110" s="296" t="s">
        <v>1170</v>
      </c>
      <c r="C110" s="40" t="s">
        <v>1022</v>
      </c>
      <c r="D110" s="40" t="s">
        <v>1023</v>
      </c>
      <c r="E110" s="40" t="s">
        <v>1024</v>
      </c>
      <c r="F110" s="40" t="s">
        <v>1025</v>
      </c>
      <c r="G110" s="40" t="s">
        <v>1026</v>
      </c>
      <c r="H110" s="40" t="s">
        <v>1027</v>
      </c>
      <c r="I110" s="40" t="s">
        <v>1028</v>
      </c>
      <c r="J110" s="40" t="s">
        <v>1029</v>
      </c>
      <c r="K110" s="40" t="s">
        <v>1030</v>
      </c>
      <c r="L110" s="40" t="s">
        <v>1031</v>
      </c>
      <c r="M110" s="40" t="s">
        <v>1032</v>
      </c>
      <c r="N110" s="40" t="s">
        <v>1033</v>
      </c>
      <c r="O110" s="40" t="s">
        <v>1034</v>
      </c>
      <c r="P110" s="40" t="s">
        <v>1035</v>
      </c>
      <c r="Q110" s="40" t="s">
        <v>1036</v>
      </c>
      <c r="R110" s="40" t="s">
        <v>1037</v>
      </c>
      <c r="U110" s="99" t="s">
        <v>1171</v>
      </c>
      <c r="V110" s="40" t="s">
        <v>1022</v>
      </c>
      <c r="W110" s="40" t="s">
        <v>1023</v>
      </c>
      <c r="X110" s="40" t="s">
        <v>1024</v>
      </c>
      <c r="Y110" s="40" t="s">
        <v>1025</v>
      </c>
      <c r="Z110" s="40" t="s">
        <v>1026</v>
      </c>
      <c r="AA110" s="40" t="s">
        <v>1027</v>
      </c>
      <c r="AB110" s="40" t="s">
        <v>1028</v>
      </c>
      <c r="AC110" s="40" t="s">
        <v>1029</v>
      </c>
      <c r="AD110" s="40" t="s">
        <v>1030</v>
      </c>
      <c r="AE110" s="40" t="s">
        <v>1031</v>
      </c>
      <c r="AF110" s="40" t="s">
        <v>1032</v>
      </c>
      <c r="AG110" s="40" t="s">
        <v>1033</v>
      </c>
      <c r="AH110" s="40" t="s">
        <v>1034</v>
      </c>
      <c r="AI110" s="40" t="s">
        <v>1035</v>
      </c>
      <c r="AJ110" s="40" t="s">
        <v>1036</v>
      </c>
      <c r="AK110" s="40" t="s">
        <v>1037</v>
      </c>
    </row>
    <row r="111" spans="2:37" x14ac:dyDescent="0.15">
      <c r="B111" s="100" t="s">
        <v>1166</v>
      </c>
      <c r="C111" s="98">
        <f>SUMIFS('caseload data'!E:E,'caseload data'!$D:$D,"PO",'caseload data'!$A:$A,'divisional &amp; regional overview'!$B$109,'caseload data'!$B:$B,"community")</f>
        <v>0</v>
      </c>
      <c r="D111" s="98">
        <f>SUMIFS('caseload data'!F:F,'caseload data'!$D:$D,"PO",'caseload data'!$A:$A,'divisional &amp; regional overview'!$B$109,'caseload data'!$B:$B,"community")</f>
        <v>0</v>
      </c>
      <c r="E111" s="98">
        <f>SUMIFS('caseload data'!G:G,'caseload data'!$D:$D,"PO",'caseload data'!$A:$A,'divisional &amp; regional overview'!$B$109,'caseload data'!$B:$B,"community")</f>
        <v>0</v>
      </c>
      <c r="F111" s="98">
        <f>SUMIFS('caseload data'!H:H,'caseload data'!$D:$D,"PO",'caseload data'!$A:$A,'divisional &amp; regional overview'!$B$109,'caseload data'!$B:$B,"community")</f>
        <v>0</v>
      </c>
      <c r="G111" s="98">
        <f>SUMIFS('caseload data'!I:I,'caseload data'!$D:$D,"PO",'caseload data'!$A:$A,'divisional &amp; regional overview'!$B$109,'caseload data'!$B:$B,"community")</f>
        <v>0</v>
      </c>
      <c r="H111" s="98">
        <f>SUMIFS('caseload data'!J:J,'caseload data'!$D:$D,"PO",'caseload data'!$A:$A,'divisional &amp; regional overview'!$B$109,'caseload data'!$B:$B,"community")</f>
        <v>0</v>
      </c>
      <c r="I111" s="98">
        <f>SUMIFS('caseload data'!K:K,'caseload data'!$D:$D,"PO",'caseload data'!$A:$A,'divisional &amp; regional overview'!$B$109,'caseload data'!$B:$B,"community")</f>
        <v>0</v>
      </c>
      <c r="J111" s="98">
        <f>SUMIFS('caseload data'!L:L,'caseload data'!$D:$D,"PO",'caseload data'!$A:$A,'divisional &amp; regional overview'!$B$109,'caseload data'!$B:$B,"community")</f>
        <v>0</v>
      </c>
      <c r="K111" s="98">
        <f>SUMIFS('caseload data'!M:M,'caseload data'!$D:$D,"PO",'caseload data'!$A:$A,'divisional &amp; regional overview'!$B$109,'caseload data'!$B:$B,"community")</f>
        <v>0</v>
      </c>
      <c r="L111" s="98">
        <f>SUMIFS('caseload data'!N:N,'caseload data'!$D:$D,"PO",'caseload data'!$A:$A,'divisional &amp; regional overview'!$B$109,'caseload data'!$B:$B,"community")</f>
        <v>0</v>
      </c>
      <c r="M111" s="98">
        <f>SUMIFS('caseload data'!O:O,'caseload data'!$D:$D,"PO",'caseload data'!$A:$A,'divisional &amp; regional overview'!$B$109,'caseload data'!$B:$B,"community")</f>
        <v>0</v>
      </c>
      <c r="N111" s="98">
        <f>SUMIFS('caseload data'!P:P,'caseload data'!$D:$D,"PO",'caseload data'!$A:$A,'divisional &amp; regional overview'!$B$109,'caseload data'!$B:$B,"community")</f>
        <v>0</v>
      </c>
      <c r="O111" s="98">
        <f>SUMIFS('caseload data'!Q:Q,'caseload data'!$D:$D,"PO",'caseload data'!$A:$A,'divisional &amp; regional overview'!$B$109,'caseload data'!$B:$B,"community")</f>
        <v>0</v>
      </c>
      <c r="P111" s="98">
        <f>SUMIFS('caseload data'!R:R,'caseload data'!$D:$D,"PO",'caseload data'!$A:$A,'divisional &amp; regional overview'!$B$109,'caseload data'!$B:$B,"community")</f>
        <v>0</v>
      </c>
      <c r="Q111" s="98">
        <f>SUMIFS('caseload data'!S:S,'caseload data'!$D:$D,"PO",'caseload data'!$A:$A,'divisional &amp; regional overview'!$B$109,'caseload data'!$B:$B,"community")</f>
        <v>0</v>
      </c>
      <c r="R111" s="98">
        <f>SUMIFS('caseload data'!T:T,'caseload data'!$D:$D,"PO",'caseload data'!$A:$A,'divisional &amp; regional overview'!$B$109,'caseload data'!$B:$B,"community")</f>
        <v>0</v>
      </c>
      <c r="U111" s="100" t="s">
        <v>1166</v>
      </c>
      <c r="V111" s="175" t="e">
        <f>C$111/SUM(C$111:C$114)</f>
        <v>#DIV/0!</v>
      </c>
      <c r="W111" s="175" t="e">
        <f>D$111/SUM(D$111:D$114)</f>
        <v>#DIV/0!</v>
      </c>
      <c r="X111" s="175" t="e">
        <f t="shared" ref="X111:AK111" si="4">E$111/SUM(E$111:E$114)</f>
        <v>#DIV/0!</v>
      </c>
      <c r="Y111" s="175" t="e">
        <f t="shared" si="4"/>
        <v>#DIV/0!</v>
      </c>
      <c r="Z111" s="175" t="e">
        <f t="shared" si="4"/>
        <v>#DIV/0!</v>
      </c>
      <c r="AA111" s="175" t="e">
        <f t="shared" si="4"/>
        <v>#DIV/0!</v>
      </c>
      <c r="AB111" s="175" t="e">
        <f t="shared" si="4"/>
        <v>#DIV/0!</v>
      </c>
      <c r="AC111" s="175" t="e">
        <f t="shared" si="4"/>
        <v>#DIV/0!</v>
      </c>
      <c r="AD111" s="175" t="e">
        <f t="shared" si="4"/>
        <v>#DIV/0!</v>
      </c>
      <c r="AE111" s="175" t="e">
        <f t="shared" si="4"/>
        <v>#DIV/0!</v>
      </c>
      <c r="AF111" s="175" t="e">
        <f t="shared" si="4"/>
        <v>#DIV/0!</v>
      </c>
      <c r="AG111" s="175" t="e">
        <f t="shared" si="4"/>
        <v>#DIV/0!</v>
      </c>
      <c r="AH111" s="175" t="e">
        <f t="shared" si="4"/>
        <v>#DIV/0!</v>
      </c>
      <c r="AI111" s="175" t="e">
        <f t="shared" si="4"/>
        <v>#DIV/0!</v>
      </c>
      <c r="AJ111" s="175" t="e">
        <f t="shared" si="4"/>
        <v>#DIV/0!</v>
      </c>
      <c r="AK111" s="175" t="e">
        <f t="shared" si="4"/>
        <v>#DIV/0!</v>
      </c>
    </row>
    <row r="112" spans="2:37" x14ac:dyDescent="0.15">
      <c r="B112" s="101" t="s">
        <v>1172</v>
      </c>
      <c r="C112" s="98">
        <f>SUMIFS('caseload data'!E:E,'caseload data'!$D:$D,"PSO",'caseload data'!$A:$A,'divisional &amp; regional overview'!$B$109,'caseload data'!$B:$B,"community")</f>
        <v>0</v>
      </c>
      <c r="D112" s="98">
        <f>SUMIFS('caseload data'!F:F,'caseload data'!$D:$D,"PSO",'caseload data'!$A:$A,'divisional &amp; regional overview'!$B$109,'caseload data'!$B:$B,"community")</f>
        <v>0</v>
      </c>
      <c r="E112" s="98">
        <f>SUMIFS('caseload data'!G:G,'caseload data'!$D:$D,"PSO",'caseload data'!$A:$A,'divisional &amp; regional overview'!$B$109,'caseload data'!$B:$B,"community")</f>
        <v>0</v>
      </c>
      <c r="F112" s="98">
        <f>SUMIFS('caseload data'!H:H,'caseload data'!$D:$D,"PSO",'caseload data'!$A:$A,'divisional &amp; regional overview'!$B$109,'caseload data'!$B:$B,"community")</f>
        <v>0</v>
      </c>
      <c r="G112" s="98">
        <f>SUMIFS('caseload data'!I:I,'caseload data'!$D:$D,"PSO",'caseload data'!$A:$A,'divisional &amp; regional overview'!$B$109,'caseload data'!$B:$B,"community")</f>
        <v>0</v>
      </c>
      <c r="H112" s="98">
        <f>SUMIFS('caseload data'!J:J,'caseload data'!$D:$D,"PSO",'caseload data'!$A:$A,'divisional &amp; regional overview'!$B$109,'caseload data'!$B:$B,"community")</f>
        <v>0</v>
      </c>
      <c r="I112" s="98">
        <f>SUMIFS('caseload data'!K:K,'caseload data'!$D:$D,"PSO",'caseload data'!$A:$A,'divisional &amp; regional overview'!$B$109,'caseload data'!$B:$B,"community")</f>
        <v>0</v>
      </c>
      <c r="J112" s="98">
        <f>SUMIFS('caseload data'!L:L,'caseload data'!$D:$D,"PSO",'caseload data'!$A:$A,'divisional &amp; regional overview'!$B$109,'caseload data'!$B:$B,"community")</f>
        <v>0</v>
      </c>
      <c r="K112" s="98">
        <f>SUMIFS('caseload data'!M:M,'caseload data'!$D:$D,"PSO",'caseload data'!$A:$A,'divisional &amp; regional overview'!$B$109,'caseload data'!$B:$B,"community")</f>
        <v>0</v>
      </c>
      <c r="L112" s="98">
        <f>SUMIFS('caseload data'!N:N,'caseload data'!$D:$D,"PSO",'caseload data'!$A:$A,'divisional &amp; regional overview'!$B$109,'caseload data'!$B:$B,"community")</f>
        <v>0</v>
      </c>
      <c r="M112" s="98">
        <f>SUMIFS('caseload data'!O:O,'caseload data'!$D:$D,"PSO",'caseload data'!$A:$A,'divisional &amp; regional overview'!$B$109,'caseload data'!$B:$B,"community")</f>
        <v>0</v>
      </c>
      <c r="N112" s="98">
        <f>SUMIFS('caseload data'!P:P,'caseload data'!$D:$D,"PSO",'caseload data'!$A:$A,'divisional &amp; regional overview'!$B$109,'caseload data'!$B:$B,"community")</f>
        <v>0</v>
      </c>
      <c r="O112" s="98">
        <f>SUMIFS('caseload data'!Q:Q,'caseload data'!$D:$D,"PSO",'caseload data'!$A:$A,'divisional &amp; regional overview'!$B$109,'caseload data'!$B:$B,"community")</f>
        <v>0</v>
      </c>
      <c r="P112" s="98">
        <f>SUMIFS('caseload data'!R:R,'caseload data'!$D:$D,"PSO",'caseload data'!$A:$A,'divisional &amp; regional overview'!$B$109,'caseload data'!$B:$B,"community")</f>
        <v>0</v>
      </c>
      <c r="Q112" s="98">
        <f>SUMIFS('caseload data'!S:S,'caseload data'!$D:$D,"PSO",'caseload data'!$A:$A,'divisional &amp; regional overview'!$B$109,'caseload data'!$B:$B,"community")</f>
        <v>0</v>
      </c>
      <c r="R112" s="98">
        <f>SUMIFS('caseload data'!T:T,'caseload data'!$D:$D,"PSO",'caseload data'!$A:$A,'divisional &amp; regional overview'!$B$109,'caseload data'!$B:$B,"community")</f>
        <v>0</v>
      </c>
      <c r="U112" s="101" t="s">
        <v>1172</v>
      </c>
      <c r="V112" s="175" t="e">
        <f>C$112/SUM(C$111:C$114)</f>
        <v>#DIV/0!</v>
      </c>
      <c r="W112" s="175" t="e">
        <f>D$112/SUM(D$111:D$114)</f>
        <v>#DIV/0!</v>
      </c>
      <c r="X112" s="175" t="e">
        <f t="shared" ref="X112:AK112" si="5">E$112/SUM(E$111:E$114)</f>
        <v>#DIV/0!</v>
      </c>
      <c r="Y112" s="175" t="e">
        <f t="shared" si="5"/>
        <v>#DIV/0!</v>
      </c>
      <c r="Z112" s="175" t="e">
        <f t="shared" si="5"/>
        <v>#DIV/0!</v>
      </c>
      <c r="AA112" s="175" t="e">
        <f t="shared" si="5"/>
        <v>#DIV/0!</v>
      </c>
      <c r="AB112" s="175" t="e">
        <f t="shared" si="5"/>
        <v>#DIV/0!</v>
      </c>
      <c r="AC112" s="175" t="e">
        <f t="shared" si="5"/>
        <v>#DIV/0!</v>
      </c>
      <c r="AD112" s="175" t="e">
        <f t="shared" si="5"/>
        <v>#DIV/0!</v>
      </c>
      <c r="AE112" s="175" t="e">
        <f t="shared" si="5"/>
        <v>#DIV/0!</v>
      </c>
      <c r="AF112" s="175" t="e">
        <f t="shared" si="5"/>
        <v>#DIV/0!</v>
      </c>
      <c r="AG112" s="175" t="e">
        <f t="shared" si="5"/>
        <v>#DIV/0!</v>
      </c>
      <c r="AH112" s="175" t="e">
        <f t="shared" si="5"/>
        <v>#DIV/0!</v>
      </c>
      <c r="AI112" s="175" t="e">
        <f t="shared" si="5"/>
        <v>#DIV/0!</v>
      </c>
      <c r="AJ112" s="175" t="e">
        <f t="shared" si="5"/>
        <v>#DIV/0!</v>
      </c>
      <c r="AK112" s="175" t="e">
        <f t="shared" si="5"/>
        <v>#DIV/0!</v>
      </c>
    </row>
    <row r="113" spans="2:37" x14ac:dyDescent="0.15">
      <c r="B113" s="101" t="s">
        <v>1173</v>
      </c>
      <c r="C113" s="98">
        <f>SUMIFS('caseload data'!E:E,'caseload data'!$D:$D,"TPO",'caseload data'!$A:$A,'divisional &amp; regional overview'!$B$109,'caseload data'!$B:$B,"community")</f>
        <v>0</v>
      </c>
      <c r="D113" s="98">
        <f>SUMIFS('caseload data'!F:F,'caseload data'!$D:$D,"TPO",'caseload data'!$A:$A,'divisional &amp; regional overview'!$B$109,'caseload data'!$B:$B,"community")</f>
        <v>0</v>
      </c>
      <c r="E113" s="98">
        <f>SUMIFS('caseload data'!G:G,'caseload data'!$D:$D,"TPO",'caseload data'!$A:$A,'divisional &amp; regional overview'!$B$109,'caseload data'!$B:$B,"community")</f>
        <v>0</v>
      </c>
      <c r="F113" s="98">
        <f>SUMIFS('caseload data'!H:H,'caseload data'!$D:$D,"TPO",'caseload data'!$A:$A,'divisional &amp; regional overview'!$B$109,'caseload data'!$B:$B,"community")</f>
        <v>0</v>
      </c>
      <c r="G113" s="98">
        <f>SUMIFS('caseload data'!I:I,'caseload data'!$D:$D,"TPO",'caseload data'!$A:$A,'divisional &amp; regional overview'!$B$109,'caseload data'!$B:$B,"community")</f>
        <v>0</v>
      </c>
      <c r="H113" s="98">
        <f>SUMIFS('caseload data'!J:J,'caseload data'!$D:$D,"TPO",'caseload data'!$A:$A,'divisional &amp; regional overview'!$B$109,'caseload data'!$B:$B,"community")</f>
        <v>0</v>
      </c>
      <c r="I113" s="98">
        <f>SUMIFS('caseload data'!K:K,'caseload data'!$D:$D,"TPO",'caseload data'!$A:$A,'divisional &amp; regional overview'!$B$109,'caseload data'!$B:$B,"community")</f>
        <v>0</v>
      </c>
      <c r="J113" s="98">
        <f>SUMIFS('caseload data'!L:L,'caseload data'!$D:$D,"TPO",'caseload data'!$A:$A,'divisional &amp; regional overview'!$B$109,'caseload data'!$B:$B,"community")</f>
        <v>0</v>
      </c>
      <c r="K113" s="98">
        <f>SUMIFS('caseload data'!M:M,'caseload data'!$D:$D,"TPO",'caseload data'!$A:$A,'divisional &amp; regional overview'!$B$109,'caseload data'!$B:$B,"community")</f>
        <v>0</v>
      </c>
      <c r="L113" s="98">
        <f>SUMIFS('caseload data'!N:N,'caseload data'!$D:$D,"TPO",'caseload data'!$A:$A,'divisional &amp; regional overview'!$B$109,'caseload data'!$B:$B,"community")</f>
        <v>0</v>
      </c>
      <c r="M113" s="98">
        <f>SUMIFS('caseload data'!O:O,'caseload data'!$D:$D,"TPO",'caseload data'!$A:$A,'divisional &amp; regional overview'!$B$109,'caseload data'!$B:$B,"community")</f>
        <v>0</v>
      </c>
      <c r="N113" s="98">
        <f>SUMIFS('caseload data'!P:P,'caseload data'!$D:$D,"TPO",'caseload data'!$A:$A,'divisional &amp; regional overview'!$B$109,'caseload data'!$B:$B,"community")</f>
        <v>0</v>
      </c>
      <c r="O113" s="98">
        <f>SUMIFS('caseload data'!Q:Q,'caseload data'!$D:$D,"TPO",'caseload data'!$A:$A,'divisional &amp; regional overview'!$B$109,'caseload data'!$B:$B,"community")</f>
        <v>0</v>
      </c>
      <c r="P113" s="98">
        <f>SUMIFS('caseload data'!R:R,'caseload data'!$D:$D,"TPO",'caseload data'!$A:$A,'divisional &amp; regional overview'!$B$109,'caseload data'!$B:$B,"community")</f>
        <v>0</v>
      </c>
      <c r="Q113" s="98">
        <f>SUMIFS('caseload data'!S:S,'caseload data'!$D:$D,"TPO",'caseload data'!$A:$A,'divisional &amp; regional overview'!$B$109,'caseload data'!$B:$B,"community")</f>
        <v>0</v>
      </c>
      <c r="R113" s="98">
        <f>SUMIFS('caseload data'!T:T,'caseload data'!$D:$D,"TPO",'caseload data'!$A:$A,'divisional &amp; regional overview'!$B$109,'caseload data'!$B:$B,"community")</f>
        <v>0</v>
      </c>
      <c r="U113" s="101" t="s">
        <v>1173</v>
      </c>
      <c r="V113" s="175" t="e">
        <f>C$113/SUM(C$111:C$114)</f>
        <v>#DIV/0!</v>
      </c>
      <c r="W113" s="175" t="e">
        <f>D$113/SUM(D$111:D$114)</f>
        <v>#DIV/0!</v>
      </c>
      <c r="X113" s="175" t="e">
        <f t="shared" ref="X113:AK113" si="6">E$113/SUM(E$111:E$114)</f>
        <v>#DIV/0!</v>
      </c>
      <c r="Y113" s="175" t="e">
        <f t="shared" si="6"/>
        <v>#DIV/0!</v>
      </c>
      <c r="Z113" s="175" t="e">
        <f t="shared" si="6"/>
        <v>#DIV/0!</v>
      </c>
      <c r="AA113" s="175" t="e">
        <f t="shared" si="6"/>
        <v>#DIV/0!</v>
      </c>
      <c r="AB113" s="175" t="e">
        <f t="shared" si="6"/>
        <v>#DIV/0!</v>
      </c>
      <c r="AC113" s="175" t="e">
        <f t="shared" si="6"/>
        <v>#DIV/0!</v>
      </c>
      <c r="AD113" s="175" t="e">
        <f t="shared" si="6"/>
        <v>#DIV/0!</v>
      </c>
      <c r="AE113" s="175" t="e">
        <f t="shared" si="6"/>
        <v>#DIV/0!</v>
      </c>
      <c r="AF113" s="175" t="e">
        <f t="shared" si="6"/>
        <v>#DIV/0!</v>
      </c>
      <c r="AG113" s="175" t="e">
        <f t="shared" si="6"/>
        <v>#DIV/0!</v>
      </c>
      <c r="AH113" s="175" t="e">
        <f t="shared" si="6"/>
        <v>#DIV/0!</v>
      </c>
      <c r="AI113" s="175" t="e">
        <f t="shared" si="6"/>
        <v>#DIV/0!</v>
      </c>
      <c r="AJ113" s="175" t="e">
        <f t="shared" si="6"/>
        <v>#DIV/0!</v>
      </c>
      <c r="AK113" s="175" t="e">
        <f t="shared" si="6"/>
        <v>#DIV/0!</v>
      </c>
    </row>
    <row r="114" spans="2:37" x14ac:dyDescent="0.15">
      <c r="B114" s="102" t="s">
        <v>1174</v>
      </c>
      <c r="C114" s="98">
        <f>SUMIFS('caseload data'!E:E,'caseload data'!$D:$D,"SPO",'caseload data'!$A:$A,'divisional &amp; regional overview'!$B$109,'caseload data'!$B:$B,"community")</f>
        <v>0</v>
      </c>
      <c r="D114" s="98">
        <f>SUMIFS('caseload data'!F:F,'caseload data'!$D:$D,"SPO",'caseload data'!$A:$A,'divisional &amp; regional overview'!$B$109,'caseload data'!$B:$B,"community")</f>
        <v>0</v>
      </c>
      <c r="E114" s="98">
        <f>SUMIFS('caseload data'!G:G,'caseload data'!$D:$D,"SPO",'caseload data'!$A:$A,'divisional &amp; regional overview'!$B$109,'caseload data'!$B:$B,"community")</f>
        <v>0</v>
      </c>
      <c r="F114" s="98">
        <f>SUMIFS('caseload data'!H:H,'caseload data'!$D:$D,"SPO",'caseload data'!$A:$A,'divisional &amp; regional overview'!$B$109,'caseload data'!$B:$B,"community")</f>
        <v>0</v>
      </c>
      <c r="G114" s="98">
        <f>SUMIFS('caseload data'!I:I,'caseload data'!$D:$D,"SPO",'caseload data'!$A:$A,'divisional &amp; regional overview'!$B$109,'caseload data'!$B:$B,"community")</f>
        <v>0</v>
      </c>
      <c r="H114" s="98">
        <f>SUMIFS('caseload data'!J:J,'caseload data'!$D:$D,"SPO",'caseload data'!$A:$A,'divisional &amp; regional overview'!$B$109,'caseload data'!$B:$B,"community")</f>
        <v>0</v>
      </c>
      <c r="I114" s="98">
        <f>SUMIFS('caseload data'!K:K,'caseload data'!$D:$D,"SPO",'caseload data'!$A:$A,'divisional &amp; regional overview'!$B$109,'caseload data'!$B:$B,"community")</f>
        <v>0</v>
      </c>
      <c r="J114" s="98">
        <f>SUMIFS('caseload data'!L:L,'caseload data'!$D:$D,"SPO",'caseload data'!$A:$A,'divisional &amp; regional overview'!$B$109,'caseload data'!$B:$B,"community")</f>
        <v>0</v>
      </c>
      <c r="K114" s="98">
        <f>SUMIFS('caseload data'!M:M,'caseload data'!$D:$D,"SPO",'caseload data'!$A:$A,'divisional &amp; regional overview'!$B$109,'caseload data'!$B:$B,"community")</f>
        <v>0</v>
      </c>
      <c r="L114" s="98">
        <f>SUMIFS('caseload data'!N:N,'caseload data'!$D:$D,"SPO",'caseload data'!$A:$A,'divisional &amp; regional overview'!$B$109,'caseload data'!$B:$B,"community")</f>
        <v>0</v>
      </c>
      <c r="M114" s="98">
        <f>SUMIFS('caseload data'!O:O,'caseload data'!$D:$D,"SPO",'caseload data'!$A:$A,'divisional &amp; regional overview'!$B$109,'caseload data'!$B:$B,"community")</f>
        <v>0</v>
      </c>
      <c r="N114" s="98">
        <f>SUMIFS('caseload data'!P:P,'caseload data'!$D:$D,"SPO",'caseload data'!$A:$A,'divisional &amp; regional overview'!$B$109,'caseload data'!$B:$B,"community")</f>
        <v>0</v>
      </c>
      <c r="O114" s="98">
        <f>SUMIFS('caseload data'!Q:Q,'caseload data'!$D:$D,"SPO",'caseload data'!$A:$A,'divisional &amp; regional overview'!$B$109,'caseload data'!$B:$B,"community")</f>
        <v>0</v>
      </c>
      <c r="P114" s="98">
        <f>SUMIFS('caseload data'!R:R,'caseload data'!$D:$D,"SPO",'caseload data'!$A:$A,'divisional &amp; regional overview'!$B$109,'caseload data'!$B:$B,"community")</f>
        <v>0</v>
      </c>
      <c r="Q114" s="98">
        <f>SUMIFS('caseload data'!S:S,'caseload data'!$D:$D,"SPO",'caseload data'!$A:$A,'divisional &amp; regional overview'!$B$109,'caseload data'!$B:$B,"community")</f>
        <v>0</v>
      </c>
      <c r="R114" s="98">
        <f>SUMIFS('caseload data'!T:T,'caseload data'!$D:$D,"SPO",'caseload data'!$A:$A,'divisional &amp; regional overview'!$B$109,'caseload data'!$B:$B,"community")</f>
        <v>0</v>
      </c>
      <c r="U114" s="102" t="s">
        <v>1174</v>
      </c>
      <c r="V114" s="175" t="e">
        <f>C$114/SUM(C$111:C$114)</f>
        <v>#DIV/0!</v>
      </c>
      <c r="W114" s="175" t="e">
        <f>D$114/SUM(D$111:D$114)</f>
        <v>#DIV/0!</v>
      </c>
      <c r="X114" s="175" t="e">
        <f t="shared" ref="X114:AK114" si="7">E$114/SUM(E$111:E$114)</f>
        <v>#DIV/0!</v>
      </c>
      <c r="Y114" s="175" t="e">
        <f t="shared" si="7"/>
        <v>#DIV/0!</v>
      </c>
      <c r="Z114" s="175" t="e">
        <f t="shared" si="7"/>
        <v>#DIV/0!</v>
      </c>
      <c r="AA114" s="175" t="e">
        <f t="shared" si="7"/>
        <v>#DIV/0!</v>
      </c>
      <c r="AB114" s="175" t="e">
        <f t="shared" si="7"/>
        <v>#DIV/0!</v>
      </c>
      <c r="AC114" s="175" t="e">
        <f t="shared" si="7"/>
        <v>#DIV/0!</v>
      </c>
      <c r="AD114" s="175" t="e">
        <f t="shared" si="7"/>
        <v>#DIV/0!</v>
      </c>
      <c r="AE114" s="175" t="e">
        <f t="shared" si="7"/>
        <v>#DIV/0!</v>
      </c>
      <c r="AF114" s="175" t="e">
        <f t="shared" si="7"/>
        <v>#DIV/0!</v>
      </c>
      <c r="AG114" s="175" t="e">
        <f t="shared" si="7"/>
        <v>#DIV/0!</v>
      </c>
      <c r="AH114" s="175" t="e">
        <f t="shared" si="7"/>
        <v>#DIV/0!</v>
      </c>
      <c r="AI114" s="175" t="e">
        <f t="shared" si="7"/>
        <v>#DIV/0!</v>
      </c>
      <c r="AJ114" s="175" t="e">
        <f t="shared" si="7"/>
        <v>#DIV/0!</v>
      </c>
      <c r="AK114" s="175" t="e">
        <f t="shared" si="7"/>
        <v>#DIV/0!</v>
      </c>
    </row>
    <row r="115" spans="2:37" x14ac:dyDescent="0.15">
      <c r="B115" s="22"/>
    </row>
    <row r="116" spans="2:37" ht="25.5" customHeight="1" x14ac:dyDescent="0.2">
      <c r="B116" s="55" t="str">
        <f>B5</f>
        <v>East Midlands Region</v>
      </c>
      <c r="C116" s="379" t="s">
        <v>1175</v>
      </c>
      <c r="D116" s="380"/>
      <c r="E116" s="380"/>
      <c r="F116" s="380"/>
      <c r="G116" s="380"/>
      <c r="H116" s="380"/>
      <c r="I116" s="380"/>
      <c r="J116" s="380"/>
      <c r="K116" s="380"/>
      <c r="L116" s="380"/>
      <c r="M116" s="380"/>
      <c r="N116" s="380"/>
      <c r="O116" s="380"/>
      <c r="P116" s="380"/>
      <c r="Q116" s="380"/>
      <c r="R116" s="380"/>
      <c r="S116" s="42"/>
      <c r="U116" s="55" t="str">
        <f>B5</f>
        <v>East Midlands Region</v>
      </c>
      <c r="V116" s="364" t="s">
        <v>1169</v>
      </c>
      <c r="W116" s="365"/>
      <c r="X116" s="365"/>
      <c r="Y116" s="365"/>
      <c r="Z116" s="365"/>
      <c r="AA116" s="365"/>
      <c r="AB116" s="365"/>
      <c r="AC116" s="365"/>
      <c r="AD116" s="365"/>
      <c r="AE116" s="365"/>
      <c r="AF116" s="365"/>
      <c r="AG116" s="365"/>
      <c r="AH116" s="365"/>
      <c r="AI116" s="365"/>
      <c r="AJ116" s="365"/>
      <c r="AK116" s="365"/>
    </row>
    <row r="117" spans="2:37" ht="18" x14ac:dyDescent="0.2">
      <c r="B117" s="296" t="s">
        <v>1170</v>
      </c>
      <c r="C117" s="40" t="s">
        <v>1022</v>
      </c>
      <c r="D117" s="40" t="s">
        <v>1023</v>
      </c>
      <c r="E117" s="40" t="s">
        <v>1024</v>
      </c>
      <c r="F117" s="40" t="s">
        <v>1025</v>
      </c>
      <c r="G117" s="40" t="s">
        <v>1026</v>
      </c>
      <c r="H117" s="40" t="s">
        <v>1027</v>
      </c>
      <c r="I117" s="40" t="s">
        <v>1028</v>
      </c>
      <c r="J117" s="40" t="s">
        <v>1029</v>
      </c>
      <c r="K117" s="40" t="s">
        <v>1030</v>
      </c>
      <c r="L117" s="40" t="s">
        <v>1031</v>
      </c>
      <c r="M117" s="40" t="s">
        <v>1032</v>
      </c>
      <c r="N117" s="40" t="s">
        <v>1033</v>
      </c>
      <c r="O117" s="40" t="s">
        <v>1034</v>
      </c>
      <c r="P117" s="40" t="s">
        <v>1035</v>
      </c>
      <c r="Q117" s="40" t="s">
        <v>1036</v>
      </c>
      <c r="R117" s="40" t="s">
        <v>1037</v>
      </c>
      <c r="S117" s="42"/>
      <c r="U117" s="99" t="s">
        <v>1171</v>
      </c>
      <c r="V117" s="40" t="s">
        <v>1022</v>
      </c>
      <c r="W117" s="40" t="s">
        <v>1023</v>
      </c>
      <c r="X117" s="40" t="s">
        <v>1024</v>
      </c>
      <c r="Y117" s="40" t="s">
        <v>1025</v>
      </c>
      <c r="Z117" s="40" t="s">
        <v>1026</v>
      </c>
      <c r="AA117" s="40" t="s">
        <v>1027</v>
      </c>
      <c r="AB117" s="40" t="s">
        <v>1028</v>
      </c>
      <c r="AC117" s="40" t="s">
        <v>1029</v>
      </c>
      <c r="AD117" s="40" t="s">
        <v>1030</v>
      </c>
      <c r="AE117" s="40" t="s">
        <v>1031</v>
      </c>
      <c r="AF117" s="40" t="s">
        <v>1032</v>
      </c>
      <c r="AG117" s="40" t="s">
        <v>1033</v>
      </c>
      <c r="AH117" s="40" t="s">
        <v>1034</v>
      </c>
      <c r="AI117" s="40" t="s">
        <v>1035</v>
      </c>
      <c r="AJ117" s="40" t="s">
        <v>1036</v>
      </c>
      <c r="AK117" s="40" t="s">
        <v>1037</v>
      </c>
    </row>
    <row r="118" spans="2:37" x14ac:dyDescent="0.15">
      <c r="B118" s="100" t="s">
        <v>1166</v>
      </c>
      <c r="C118" s="98">
        <f>SUMIFS('caseload data'!E:E,'caseload data'!$D:$D,"PO",'caseload data'!$A:$A,'divisional &amp; regional overview'!$B$109,'caseload data'!$B:$B,"licence")</f>
        <v>0</v>
      </c>
      <c r="D118" s="98">
        <f>SUMIFS('caseload data'!F:F,'caseload data'!$D:$D,"PO",'caseload data'!$A:$A,'divisional &amp; regional overview'!$B$109,'caseload data'!$B:$B,"licence")</f>
        <v>0</v>
      </c>
      <c r="E118" s="98">
        <f>SUMIFS('caseload data'!G:G,'caseload data'!$D:$D,"PO",'caseload data'!$A:$A,'divisional &amp; regional overview'!$B$109,'caseload data'!$B:$B,"licence")</f>
        <v>0</v>
      </c>
      <c r="F118" s="98">
        <f>SUMIFS('caseload data'!H:H,'caseload data'!$D:$D,"PO",'caseload data'!$A:$A,'divisional &amp; regional overview'!$B$109,'caseload data'!$B:$B,"licence")</f>
        <v>0</v>
      </c>
      <c r="G118" s="98">
        <f>SUMIFS('caseload data'!I:I,'caseload data'!$D:$D,"PO",'caseload data'!$A:$A,'divisional &amp; regional overview'!$B$109,'caseload data'!$B:$B,"licence")</f>
        <v>0</v>
      </c>
      <c r="H118" s="98">
        <f>SUMIFS('caseload data'!J:J,'caseload data'!$D:$D,"PO",'caseload data'!$A:$A,'divisional &amp; regional overview'!$B$109,'caseload data'!$B:$B,"licence")</f>
        <v>0</v>
      </c>
      <c r="I118" s="98">
        <f>SUMIFS('caseload data'!K:K,'caseload data'!$D:$D,"PO",'caseload data'!$A:$A,'divisional &amp; regional overview'!$B$109,'caseload data'!$B:$B,"licence")</f>
        <v>0</v>
      </c>
      <c r="J118" s="98">
        <f>SUMIFS('caseload data'!L:L,'caseload data'!$D:$D,"PO",'caseload data'!$A:$A,'divisional &amp; regional overview'!$B$109,'caseload data'!$B:$B,"licence")</f>
        <v>0</v>
      </c>
      <c r="K118" s="98">
        <f>SUMIFS('caseload data'!M:M,'caseload data'!$D:$D,"PO",'caseload data'!$A:$A,'divisional &amp; regional overview'!$B$109,'caseload data'!$B:$B,"licence")</f>
        <v>0</v>
      </c>
      <c r="L118" s="98">
        <f>SUMIFS('caseload data'!N:N,'caseload data'!$D:$D,"PO",'caseload data'!$A:$A,'divisional &amp; regional overview'!$B$109,'caseload data'!$B:$B,"licence")</f>
        <v>0</v>
      </c>
      <c r="M118" s="98">
        <f>SUMIFS('caseload data'!O:O,'caseload data'!$D:$D,"PO",'caseload data'!$A:$A,'divisional &amp; regional overview'!$B$109,'caseload data'!$B:$B,"licence")</f>
        <v>0</v>
      </c>
      <c r="N118" s="98">
        <f>SUMIFS('caseload data'!P:P,'caseload data'!$D:$D,"PO",'caseload data'!$A:$A,'divisional &amp; regional overview'!$B$109,'caseload data'!$B:$B,"licence")</f>
        <v>0</v>
      </c>
      <c r="O118" s="98">
        <f>SUMIFS('caseload data'!Q:Q,'caseload data'!$D:$D,"PO",'caseload data'!$A:$A,'divisional &amp; regional overview'!$B$109,'caseload data'!$B:$B,"licence")</f>
        <v>0</v>
      </c>
      <c r="P118" s="98">
        <f>SUMIFS('caseload data'!R:R,'caseload data'!$D:$D,"PO",'caseload data'!$A:$A,'divisional &amp; regional overview'!$B$109,'caseload data'!$B:$B,"licence")</f>
        <v>0</v>
      </c>
      <c r="Q118" s="98">
        <f>SUMIFS('caseload data'!S:S,'caseload data'!$D:$D,"PO",'caseload data'!$A:$A,'divisional &amp; regional overview'!$B$109,'caseload data'!$B:$B,"licence")</f>
        <v>0</v>
      </c>
      <c r="R118" s="98">
        <f>SUMIFS('caseload data'!T:T,'caseload data'!$D:$D,"PO",'caseload data'!$A:$A,'divisional &amp; regional overview'!$B$109,'caseload data'!$B:$B,"licence")</f>
        <v>0</v>
      </c>
      <c r="U118" s="100" t="s">
        <v>1166</v>
      </c>
      <c r="V118" s="175" t="e">
        <f>C$118/SUM(C$118:C$121)</f>
        <v>#DIV/0!</v>
      </c>
      <c r="W118" s="175" t="e">
        <f>D$118/SUM(D$118:D$121)</f>
        <v>#DIV/0!</v>
      </c>
      <c r="X118" s="175" t="e">
        <f t="shared" ref="X118:AK118" si="8">E$118/SUM(E$118:E$121)</f>
        <v>#DIV/0!</v>
      </c>
      <c r="Y118" s="175" t="e">
        <f t="shared" si="8"/>
        <v>#DIV/0!</v>
      </c>
      <c r="Z118" s="175" t="e">
        <f t="shared" si="8"/>
        <v>#DIV/0!</v>
      </c>
      <c r="AA118" s="175" t="e">
        <f t="shared" si="8"/>
        <v>#DIV/0!</v>
      </c>
      <c r="AB118" s="175" t="e">
        <f t="shared" si="8"/>
        <v>#DIV/0!</v>
      </c>
      <c r="AC118" s="175" t="e">
        <f t="shared" si="8"/>
        <v>#DIV/0!</v>
      </c>
      <c r="AD118" s="175" t="e">
        <f t="shared" si="8"/>
        <v>#DIV/0!</v>
      </c>
      <c r="AE118" s="175" t="e">
        <f t="shared" si="8"/>
        <v>#DIV/0!</v>
      </c>
      <c r="AF118" s="175" t="e">
        <f t="shared" si="8"/>
        <v>#DIV/0!</v>
      </c>
      <c r="AG118" s="175" t="e">
        <f t="shared" si="8"/>
        <v>#DIV/0!</v>
      </c>
      <c r="AH118" s="175" t="e">
        <f t="shared" si="8"/>
        <v>#DIV/0!</v>
      </c>
      <c r="AI118" s="175" t="e">
        <f t="shared" si="8"/>
        <v>#DIV/0!</v>
      </c>
      <c r="AJ118" s="175" t="e">
        <f t="shared" si="8"/>
        <v>#DIV/0!</v>
      </c>
      <c r="AK118" s="175" t="e">
        <f t="shared" si="8"/>
        <v>#DIV/0!</v>
      </c>
    </row>
    <row r="119" spans="2:37" x14ac:dyDescent="0.15">
      <c r="B119" s="101" t="s">
        <v>1172</v>
      </c>
      <c r="C119" s="98">
        <f>SUMIFS('caseload data'!E:E,'caseload data'!$D:$D,"PSO",'caseload data'!$A:$A,'divisional &amp; regional overview'!$B$109,'caseload data'!$B:$B,"licence")</f>
        <v>0</v>
      </c>
      <c r="D119" s="98">
        <f>SUMIFS('caseload data'!F:F,'caseload data'!$D:$D,"PSO",'caseload data'!$A:$A,'divisional &amp; regional overview'!$B$109,'caseload data'!$B:$B,"licence")</f>
        <v>0</v>
      </c>
      <c r="E119" s="98">
        <f>SUMIFS('caseload data'!G:G,'caseload data'!$D:$D,"PSO",'caseload data'!$A:$A,'divisional &amp; regional overview'!$B$109,'caseload data'!$B:$B,"licence")</f>
        <v>0</v>
      </c>
      <c r="F119" s="98">
        <f>SUMIFS('caseload data'!H:H,'caseload data'!$D:$D,"PSO",'caseload data'!$A:$A,'divisional &amp; regional overview'!$B$109,'caseload data'!$B:$B,"licence")</f>
        <v>0</v>
      </c>
      <c r="G119" s="98">
        <f>SUMIFS('caseload data'!I:I,'caseload data'!$D:$D,"PSO",'caseload data'!$A:$A,'divisional &amp; regional overview'!$B$109,'caseload data'!$B:$B,"licence")</f>
        <v>0</v>
      </c>
      <c r="H119" s="98">
        <f>SUMIFS('caseload data'!J:J,'caseload data'!$D:$D,"PSO",'caseload data'!$A:$A,'divisional &amp; regional overview'!$B$109,'caseload data'!$B:$B,"licence")</f>
        <v>0</v>
      </c>
      <c r="I119" s="98">
        <f>SUMIFS('caseload data'!K:K,'caseload data'!$D:$D,"PSO",'caseload data'!$A:$A,'divisional &amp; regional overview'!$B$109,'caseload data'!$B:$B,"licence")</f>
        <v>0</v>
      </c>
      <c r="J119" s="98">
        <f>SUMIFS('caseload data'!L:L,'caseload data'!$D:$D,"PSO",'caseload data'!$A:$A,'divisional &amp; regional overview'!$B$109,'caseload data'!$B:$B,"licence")</f>
        <v>0</v>
      </c>
      <c r="K119" s="98">
        <f>SUMIFS('caseload data'!M:M,'caseload data'!$D:$D,"PSO",'caseload data'!$A:$A,'divisional &amp; regional overview'!$B$109,'caseload data'!$B:$B,"licence")</f>
        <v>0</v>
      </c>
      <c r="L119" s="98">
        <f>SUMIFS('caseload data'!N:N,'caseload data'!$D:$D,"PSO",'caseload data'!$A:$A,'divisional &amp; regional overview'!$B$109,'caseload data'!$B:$B,"licence")</f>
        <v>0</v>
      </c>
      <c r="M119" s="98">
        <f>SUMIFS('caseload data'!O:O,'caseload data'!$D:$D,"PSO",'caseload data'!$A:$A,'divisional &amp; regional overview'!$B$109,'caseload data'!$B:$B,"licence")</f>
        <v>0</v>
      </c>
      <c r="N119" s="98">
        <f>SUMIFS('caseload data'!P:P,'caseload data'!$D:$D,"PSO",'caseload data'!$A:$A,'divisional &amp; regional overview'!$B$109,'caseload data'!$B:$B,"licence")</f>
        <v>0</v>
      </c>
      <c r="O119" s="98">
        <f>SUMIFS('caseload data'!Q:Q,'caseload data'!$D:$D,"PSO",'caseload data'!$A:$A,'divisional &amp; regional overview'!$B$109,'caseload data'!$B:$B,"licence")</f>
        <v>0</v>
      </c>
      <c r="P119" s="98">
        <f>SUMIFS('caseload data'!R:R,'caseload data'!$D:$D,"PSO",'caseload data'!$A:$A,'divisional &amp; regional overview'!$B$109,'caseload data'!$B:$B,"licence")</f>
        <v>0</v>
      </c>
      <c r="Q119" s="98">
        <f>SUMIFS('caseload data'!S:S,'caseload data'!$D:$D,"PSO",'caseload data'!$A:$A,'divisional &amp; regional overview'!$B$109,'caseload data'!$B:$B,"licence")</f>
        <v>0</v>
      </c>
      <c r="R119" s="98">
        <f>SUMIFS('caseload data'!T:T,'caseload data'!$D:$D,"PSO",'caseload data'!$A:$A,'divisional &amp; regional overview'!$B$109,'caseload data'!$B:$B,"licence")</f>
        <v>0</v>
      </c>
      <c r="U119" s="101" t="s">
        <v>1172</v>
      </c>
      <c r="V119" s="175" t="e">
        <f>C$119/SUM(C$118:C$121)</f>
        <v>#DIV/0!</v>
      </c>
      <c r="W119" s="175" t="e">
        <f>D$119/SUM(D$118:D$121)</f>
        <v>#DIV/0!</v>
      </c>
      <c r="X119" s="175" t="e">
        <f t="shared" ref="X119:AK119" si="9">E$119/SUM(E$118:E$121)</f>
        <v>#DIV/0!</v>
      </c>
      <c r="Y119" s="175" t="e">
        <f t="shared" si="9"/>
        <v>#DIV/0!</v>
      </c>
      <c r="Z119" s="175" t="e">
        <f t="shared" si="9"/>
        <v>#DIV/0!</v>
      </c>
      <c r="AA119" s="175" t="e">
        <f t="shared" si="9"/>
        <v>#DIV/0!</v>
      </c>
      <c r="AB119" s="175" t="e">
        <f t="shared" si="9"/>
        <v>#DIV/0!</v>
      </c>
      <c r="AC119" s="175" t="e">
        <f t="shared" si="9"/>
        <v>#DIV/0!</v>
      </c>
      <c r="AD119" s="175" t="e">
        <f t="shared" si="9"/>
        <v>#DIV/0!</v>
      </c>
      <c r="AE119" s="175" t="e">
        <f t="shared" si="9"/>
        <v>#DIV/0!</v>
      </c>
      <c r="AF119" s="175" t="e">
        <f t="shared" si="9"/>
        <v>#DIV/0!</v>
      </c>
      <c r="AG119" s="175" t="e">
        <f t="shared" si="9"/>
        <v>#DIV/0!</v>
      </c>
      <c r="AH119" s="175" t="e">
        <f t="shared" si="9"/>
        <v>#DIV/0!</v>
      </c>
      <c r="AI119" s="175" t="e">
        <f t="shared" si="9"/>
        <v>#DIV/0!</v>
      </c>
      <c r="AJ119" s="175" t="e">
        <f t="shared" si="9"/>
        <v>#DIV/0!</v>
      </c>
      <c r="AK119" s="175" t="e">
        <f t="shared" si="9"/>
        <v>#DIV/0!</v>
      </c>
    </row>
    <row r="120" spans="2:37" x14ac:dyDescent="0.15">
      <c r="B120" s="101" t="s">
        <v>1173</v>
      </c>
      <c r="C120" s="98">
        <f>SUMIFS('caseload data'!E:E,'caseload data'!$D:$D,"TPO",'caseload data'!$A:$A,'divisional &amp; regional overview'!$B$109,'caseload data'!$B:$B,"licence")</f>
        <v>0</v>
      </c>
      <c r="D120" s="98">
        <f>SUMIFS('caseload data'!F:F,'caseload data'!$D:$D,"TPO",'caseload data'!$A:$A,'divisional &amp; regional overview'!$B$109,'caseload data'!$B:$B,"licence")</f>
        <v>0</v>
      </c>
      <c r="E120" s="98">
        <f>SUMIFS('caseload data'!G:G,'caseload data'!$D:$D,"TPO",'caseload data'!$A:$A,'divisional &amp; regional overview'!$B$109,'caseload data'!$B:$B,"licence")</f>
        <v>0</v>
      </c>
      <c r="F120" s="98">
        <f>SUMIFS('caseload data'!H:H,'caseload data'!$D:$D,"TPO",'caseload data'!$A:$A,'divisional &amp; regional overview'!$B$109,'caseload data'!$B:$B,"licence")</f>
        <v>0</v>
      </c>
      <c r="G120" s="98">
        <f>SUMIFS('caseload data'!I:I,'caseload data'!$D:$D,"TPO",'caseload data'!$A:$A,'divisional &amp; regional overview'!$B$109,'caseload data'!$B:$B,"licence")</f>
        <v>0</v>
      </c>
      <c r="H120" s="98">
        <f>SUMIFS('caseload data'!J:J,'caseload data'!$D:$D,"TPO",'caseload data'!$A:$A,'divisional &amp; regional overview'!$B$109,'caseload data'!$B:$B,"licence")</f>
        <v>0</v>
      </c>
      <c r="I120" s="98">
        <f>SUMIFS('caseload data'!K:K,'caseload data'!$D:$D,"TPO",'caseload data'!$A:$A,'divisional &amp; regional overview'!$B$109,'caseload data'!$B:$B,"licence")</f>
        <v>0</v>
      </c>
      <c r="J120" s="98">
        <f>SUMIFS('caseload data'!L:L,'caseload data'!$D:$D,"TPO",'caseload data'!$A:$A,'divisional &amp; regional overview'!$B$109,'caseload data'!$B:$B,"licence")</f>
        <v>0</v>
      </c>
      <c r="K120" s="98">
        <f>SUMIFS('caseload data'!M:M,'caseload data'!$D:$D,"TPO",'caseload data'!$A:$A,'divisional &amp; regional overview'!$B$109,'caseload data'!$B:$B,"licence")</f>
        <v>0</v>
      </c>
      <c r="L120" s="98">
        <f>SUMIFS('caseload data'!N:N,'caseload data'!$D:$D,"TPO",'caseload data'!$A:$A,'divisional &amp; regional overview'!$B$109,'caseload data'!$B:$B,"licence")</f>
        <v>0</v>
      </c>
      <c r="M120" s="98">
        <f>SUMIFS('caseload data'!O:O,'caseload data'!$D:$D,"TPO",'caseload data'!$A:$A,'divisional &amp; regional overview'!$B$109,'caseload data'!$B:$B,"licence")</f>
        <v>0</v>
      </c>
      <c r="N120" s="98">
        <f>SUMIFS('caseload data'!P:P,'caseload data'!$D:$D,"TPO",'caseload data'!$A:$A,'divisional &amp; regional overview'!$B$109,'caseload data'!$B:$B,"licence")</f>
        <v>0</v>
      </c>
      <c r="O120" s="98">
        <f>SUMIFS('caseload data'!Q:Q,'caseload data'!$D:$D,"TPO",'caseload data'!$A:$A,'divisional &amp; regional overview'!$B$109,'caseload data'!$B:$B,"licence")</f>
        <v>0</v>
      </c>
      <c r="P120" s="98">
        <f>SUMIFS('caseload data'!R:R,'caseload data'!$D:$D,"TPO",'caseload data'!$A:$A,'divisional &amp; regional overview'!$B$109,'caseload data'!$B:$B,"licence")</f>
        <v>0</v>
      </c>
      <c r="Q120" s="98">
        <f>SUMIFS('caseload data'!S:S,'caseload data'!$D:$D,"TPO",'caseload data'!$A:$A,'divisional &amp; regional overview'!$B$109,'caseload data'!$B:$B,"licence")</f>
        <v>0</v>
      </c>
      <c r="R120" s="98">
        <f>SUMIFS('caseload data'!T:T,'caseload data'!$D:$D,"TPO",'caseload data'!$A:$A,'divisional &amp; regional overview'!$B$109,'caseload data'!$B:$B,"licence")</f>
        <v>0</v>
      </c>
      <c r="U120" s="101" t="s">
        <v>1173</v>
      </c>
      <c r="V120" s="175" t="e">
        <f>C$120/SUM(C$118:C$121)</f>
        <v>#DIV/0!</v>
      </c>
      <c r="W120" s="175" t="e">
        <f>D$120/SUM(D$118:D$121)</f>
        <v>#DIV/0!</v>
      </c>
      <c r="X120" s="175" t="e">
        <f t="shared" ref="X120:AK120" si="10">E$120/SUM(E$118:E$121)</f>
        <v>#DIV/0!</v>
      </c>
      <c r="Y120" s="175" t="e">
        <f t="shared" si="10"/>
        <v>#DIV/0!</v>
      </c>
      <c r="Z120" s="175" t="e">
        <f t="shared" si="10"/>
        <v>#DIV/0!</v>
      </c>
      <c r="AA120" s="175" t="e">
        <f t="shared" si="10"/>
        <v>#DIV/0!</v>
      </c>
      <c r="AB120" s="175" t="e">
        <f t="shared" si="10"/>
        <v>#DIV/0!</v>
      </c>
      <c r="AC120" s="175" t="e">
        <f t="shared" si="10"/>
        <v>#DIV/0!</v>
      </c>
      <c r="AD120" s="175" t="e">
        <f t="shared" si="10"/>
        <v>#DIV/0!</v>
      </c>
      <c r="AE120" s="175" t="e">
        <f t="shared" si="10"/>
        <v>#DIV/0!</v>
      </c>
      <c r="AF120" s="175" t="e">
        <f t="shared" si="10"/>
        <v>#DIV/0!</v>
      </c>
      <c r="AG120" s="175" t="e">
        <f t="shared" si="10"/>
        <v>#DIV/0!</v>
      </c>
      <c r="AH120" s="175" t="e">
        <f t="shared" si="10"/>
        <v>#DIV/0!</v>
      </c>
      <c r="AI120" s="175" t="e">
        <f t="shared" si="10"/>
        <v>#DIV/0!</v>
      </c>
      <c r="AJ120" s="175" t="e">
        <f t="shared" si="10"/>
        <v>#DIV/0!</v>
      </c>
      <c r="AK120" s="175" t="e">
        <f t="shared" si="10"/>
        <v>#DIV/0!</v>
      </c>
    </row>
    <row r="121" spans="2:37" x14ac:dyDescent="0.15">
      <c r="B121" s="102" t="s">
        <v>1174</v>
      </c>
      <c r="C121" s="98">
        <f>SUMIFS('caseload data'!E:E,'caseload data'!$D:$D,"SPO",'caseload data'!$A:$A,'divisional &amp; regional overview'!$B$109,'caseload data'!$B:$B,"licence")</f>
        <v>0</v>
      </c>
      <c r="D121" s="98">
        <f>SUMIFS('caseload data'!F:F,'caseload data'!$D:$D,"SPO",'caseload data'!$A:$A,'divisional &amp; regional overview'!$B$109,'caseload data'!$B:$B,"licence")</f>
        <v>0</v>
      </c>
      <c r="E121" s="98">
        <f>SUMIFS('caseload data'!G:G,'caseload data'!$D:$D,"SPO",'caseload data'!$A:$A,'divisional &amp; regional overview'!$B$109,'caseload data'!$B:$B,"licence")</f>
        <v>0</v>
      </c>
      <c r="F121" s="98">
        <f>SUMIFS('caseload data'!H:H,'caseload data'!$D:$D,"SPO",'caseload data'!$A:$A,'divisional &amp; regional overview'!$B$109,'caseload data'!$B:$B,"licence")</f>
        <v>0</v>
      </c>
      <c r="G121" s="98">
        <f>SUMIFS('caseload data'!I:I,'caseload data'!$D:$D,"SPO",'caseload data'!$A:$A,'divisional &amp; regional overview'!$B$109,'caseload data'!$B:$B,"licence")</f>
        <v>0</v>
      </c>
      <c r="H121" s="98">
        <f>SUMIFS('caseload data'!J:J,'caseload data'!$D:$D,"SPO",'caseload data'!$A:$A,'divisional &amp; regional overview'!$B$109,'caseload data'!$B:$B,"licence")</f>
        <v>0</v>
      </c>
      <c r="I121" s="98">
        <f>SUMIFS('caseload data'!K:K,'caseload data'!$D:$D,"SPO",'caseload data'!$A:$A,'divisional &amp; regional overview'!$B$109,'caseload data'!$B:$B,"licence")</f>
        <v>0</v>
      </c>
      <c r="J121" s="98">
        <f>SUMIFS('caseload data'!L:L,'caseload data'!$D:$D,"SPO",'caseload data'!$A:$A,'divisional &amp; regional overview'!$B$109,'caseload data'!$B:$B,"licence")</f>
        <v>0</v>
      </c>
      <c r="K121" s="98">
        <f>SUMIFS('caseload data'!M:M,'caseload data'!$D:$D,"SPO",'caseload data'!$A:$A,'divisional &amp; regional overview'!$B$109,'caseload data'!$B:$B,"licence")</f>
        <v>0</v>
      </c>
      <c r="L121" s="98">
        <f>SUMIFS('caseload data'!N:N,'caseload data'!$D:$D,"SPO",'caseload data'!$A:$A,'divisional &amp; regional overview'!$B$109,'caseload data'!$B:$B,"licence")</f>
        <v>0</v>
      </c>
      <c r="M121" s="98">
        <f>SUMIFS('caseload data'!O:O,'caseload data'!$D:$D,"SPO",'caseload data'!$A:$A,'divisional &amp; regional overview'!$B$109,'caseload data'!$B:$B,"licence")</f>
        <v>0</v>
      </c>
      <c r="N121" s="98">
        <f>SUMIFS('caseload data'!P:P,'caseload data'!$D:$D,"SPO",'caseload data'!$A:$A,'divisional &amp; regional overview'!$B$109,'caseload data'!$B:$B,"licence")</f>
        <v>0</v>
      </c>
      <c r="O121" s="98">
        <f>SUMIFS('caseload data'!Q:Q,'caseload data'!$D:$D,"SPO",'caseload data'!$A:$A,'divisional &amp; regional overview'!$B$109,'caseload data'!$B:$B,"licence")</f>
        <v>0</v>
      </c>
      <c r="P121" s="98">
        <f>SUMIFS('caseload data'!R:R,'caseload data'!$D:$D,"SPO",'caseload data'!$A:$A,'divisional &amp; regional overview'!$B$109,'caseload data'!$B:$B,"licence")</f>
        <v>0</v>
      </c>
      <c r="Q121" s="98">
        <f>SUMIFS('caseload data'!S:S,'caseload data'!$D:$D,"SPO",'caseload data'!$A:$A,'divisional &amp; regional overview'!$B$109,'caseload data'!$B:$B,"licence")</f>
        <v>0</v>
      </c>
      <c r="R121" s="98">
        <f>SUMIFS('caseload data'!T:T,'caseload data'!$D:$D,"SPO",'caseload data'!$A:$A,'divisional &amp; regional overview'!$B$109,'caseload data'!$B:$B,"licence")</f>
        <v>0</v>
      </c>
      <c r="U121" s="102" t="s">
        <v>1174</v>
      </c>
      <c r="V121" s="175" t="e">
        <f>C$121/SUM(C$118:C$121)</f>
        <v>#DIV/0!</v>
      </c>
      <c r="W121" s="175" t="e">
        <f>D$121/SUM(D$118:D$121)</f>
        <v>#DIV/0!</v>
      </c>
      <c r="X121" s="175" t="e">
        <f t="shared" ref="X121:AK121" si="11">E$121/SUM(E$118:E$121)</f>
        <v>#DIV/0!</v>
      </c>
      <c r="Y121" s="175" t="e">
        <f t="shared" si="11"/>
        <v>#DIV/0!</v>
      </c>
      <c r="Z121" s="175" t="e">
        <f t="shared" si="11"/>
        <v>#DIV/0!</v>
      </c>
      <c r="AA121" s="175" t="e">
        <f t="shared" si="11"/>
        <v>#DIV/0!</v>
      </c>
      <c r="AB121" s="175" t="e">
        <f t="shared" si="11"/>
        <v>#DIV/0!</v>
      </c>
      <c r="AC121" s="175" t="e">
        <f t="shared" si="11"/>
        <v>#DIV/0!</v>
      </c>
      <c r="AD121" s="175" t="e">
        <f t="shared" si="11"/>
        <v>#DIV/0!</v>
      </c>
      <c r="AE121" s="175" t="e">
        <f t="shared" si="11"/>
        <v>#DIV/0!</v>
      </c>
      <c r="AF121" s="175" t="e">
        <f t="shared" si="11"/>
        <v>#DIV/0!</v>
      </c>
      <c r="AG121" s="175" t="e">
        <f t="shared" si="11"/>
        <v>#DIV/0!</v>
      </c>
      <c r="AH121" s="175" t="e">
        <f t="shared" si="11"/>
        <v>#DIV/0!</v>
      </c>
      <c r="AI121" s="175" t="e">
        <f t="shared" si="11"/>
        <v>#DIV/0!</v>
      </c>
      <c r="AJ121" s="175" t="e">
        <f t="shared" si="11"/>
        <v>#DIV/0!</v>
      </c>
      <c r="AK121" s="175" t="e">
        <f t="shared" si="11"/>
        <v>#DIV/0!</v>
      </c>
    </row>
    <row r="122" spans="2:37" x14ac:dyDescent="0.15">
      <c r="B122" s="22"/>
    </row>
    <row r="123" spans="2:37" ht="25.5" customHeight="1" x14ac:dyDescent="0.2">
      <c r="B123" s="55" t="str">
        <f>B5</f>
        <v>East Midlands Region</v>
      </c>
      <c r="C123" s="379" t="s">
        <v>1176</v>
      </c>
      <c r="D123" s="380"/>
      <c r="E123" s="380"/>
      <c r="F123" s="380"/>
      <c r="G123" s="380"/>
      <c r="H123" s="380"/>
      <c r="I123" s="380"/>
      <c r="J123" s="380"/>
      <c r="K123" s="380"/>
      <c r="L123" s="380"/>
      <c r="M123" s="380"/>
      <c r="N123" s="380"/>
      <c r="O123" s="380"/>
      <c r="P123" s="380"/>
      <c r="Q123" s="380"/>
      <c r="R123" s="380"/>
      <c r="U123" s="55" t="str">
        <f>B5</f>
        <v>East Midlands Region</v>
      </c>
      <c r="V123" s="364" t="s">
        <v>1169</v>
      </c>
      <c r="W123" s="365"/>
      <c r="X123" s="365"/>
      <c r="Y123" s="365"/>
      <c r="Z123" s="365"/>
      <c r="AA123" s="365"/>
      <c r="AB123" s="365"/>
      <c r="AC123" s="365"/>
      <c r="AD123" s="365"/>
      <c r="AE123" s="365"/>
      <c r="AF123" s="365"/>
      <c r="AG123" s="365"/>
      <c r="AH123" s="365"/>
      <c r="AI123" s="365"/>
      <c r="AJ123" s="365"/>
      <c r="AK123" s="365"/>
    </row>
    <row r="124" spans="2:37" ht="18" x14ac:dyDescent="0.2">
      <c r="B124" s="296" t="s">
        <v>1170</v>
      </c>
      <c r="C124" s="40" t="s">
        <v>1022</v>
      </c>
      <c r="D124" s="40" t="s">
        <v>1023</v>
      </c>
      <c r="E124" s="40" t="s">
        <v>1024</v>
      </c>
      <c r="F124" s="40" t="s">
        <v>1025</v>
      </c>
      <c r="G124" s="40" t="s">
        <v>1026</v>
      </c>
      <c r="H124" s="40" t="s">
        <v>1027</v>
      </c>
      <c r="I124" s="40" t="s">
        <v>1028</v>
      </c>
      <c r="J124" s="40" t="s">
        <v>1029</v>
      </c>
      <c r="K124" s="40" t="s">
        <v>1030</v>
      </c>
      <c r="L124" s="40" t="s">
        <v>1031</v>
      </c>
      <c r="M124" s="40" t="s">
        <v>1032</v>
      </c>
      <c r="N124" s="40" t="s">
        <v>1033</v>
      </c>
      <c r="O124" s="40" t="s">
        <v>1034</v>
      </c>
      <c r="P124" s="40" t="s">
        <v>1035</v>
      </c>
      <c r="Q124" s="40" t="s">
        <v>1036</v>
      </c>
      <c r="R124" s="40" t="s">
        <v>1037</v>
      </c>
      <c r="U124" s="99" t="s">
        <v>1171</v>
      </c>
      <c r="V124" s="40" t="s">
        <v>1022</v>
      </c>
      <c r="W124" s="40" t="s">
        <v>1023</v>
      </c>
      <c r="X124" s="40" t="s">
        <v>1024</v>
      </c>
      <c r="Y124" s="40" t="s">
        <v>1025</v>
      </c>
      <c r="Z124" s="40" t="s">
        <v>1026</v>
      </c>
      <c r="AA124" s="40" t="s">
        <v>1027</v>
      </c>
      <c r="AB124" s="40" t="s">
        <v>1028</v>
      </c>
      <c r="AC124" s="40" t="s">
        <v>1029</v>
      </c>
      <c r="AD124" s="40" t="s">
        <v>1030</v>
      </c>
      <c r="AE124" s="40" t="s">
        <v>1031</v>
      </c>
      <c r="AF124" s="40" t="s">
        <v>1032</v>
      </c>
      <c r="AG124" s="40" t="s">
        <v>1033</v>
      </c>
      <c r="AH124" s="40" t="s">
        <v>1034</v>
      </c>
      <c r="AI124" s="40" t="s">
        <v>1035</v>
      </c>
      <c r="AJ124" s="40" t="s">
        <v>1036</v>
      </c>
      <c r="AK124" s="40" t="s">
        <v>1037</v>
      </c>
    </row>
    <row r="125" spans="2:37" x14ac:dyDescent="0.15">
      <c r="B125" s="100" t="s">
        <v>1166</v>
      </c>
      <c r="C125" s="98">
        <f>SUMIFS('caseload data'!E:E,'caseload data'!$D:$D,"PO",'caseload data'!$A:$A,'divisional &amp; regional overview'!$B$109,'caseload data'!$B:$B,"custody")</f>
        <v>0</v>
      </c>
      <c r="D125" s="98">
        <f>SUMIFS('caseload data'!F:F,'caseload data'!$D:$D,"PO",'caseload data'!$A:$A,'divisional &amp; regional overview'!$B$109,'caseload data'!$B:$B,"custody")</f>
        <v>0</v>
      </c>
      <c r="E125" s="98">
        <f>SUMIFS('caseload data'!G:G,'caseload data'!$D:$D,"PO",'caseload data'!$A:$A,'divisional &amp; regional overview'!$B$109,'caseload data'!$B:$B,"custody")</f>
        <v>0</v>
      </c>
      <c r="F125" s="98">
        <f>SUMIFS('caseload data'!H:H,'caseload data'!$D:$D,"PO",'caseload data'!$A:$A,'divisional &amp; regional overview'!$B$109,'caseload data'!$B:$B,"custody")</f>
        <v>0</v>
      </c>
      <c r="G125" s="98">
        <f>SUMIFS('caseload data'!I:I,'caseload data'!$D:$D,"PO",'caseload data'!$A:$A,'divisional &amp; regional overview'!$B$109,'caseload data'!$B:$B,"custody")</f>
        <v>0</v>
      </c>
      <c r="H125" s="98">
        <f>SUMIFS('caseload data'!J:J,'caseload data'!$D:$D,"PO",'caseload data'!$A:$A,'divisional &amp; regional overview'!$B$109,'caseload data'!$B:$B,"custody")</f>
        <v>0</v>
      </c>
      <c r="I125" s="98">
        <f>SUMIFS('caseload data'!K:K,'caseload data'!$D:$D,"PO",'caseload data'!$A:$A,'divisional &amp; regional overview'!$B$109,'caseload data'!$B:$B,"custody")</f>
        <v>0</v>
      </c>
      <c r="J125" s="98">
        <f>SUMIFS('caseload data'!L:L,'caseload data'!$D:$D,"PO",'caseload data'!$A:$A,'divisional &amp; regional overview'!$B$109,'caseload data'!$B:$B,"custody")</f>
        <v>0</v>
      </c>
      <c r="K125" s="98">
        <f>SUMIFS('caseload data'!M:M,'caseload data'!$D:$D,"PO",'caseload data'!$A:$A,'divisional &amp; regional overview'!$B$109,'caseload data'!$B:$B,"custody")</f>
        <v>0</v>
      </c>
      <c r="L125" s="98">
        <f>SUMIFS('caseload data'!N:N,'caseload data'!$D:$D,"PO",'caseload data'!$A:$A,'divisional &amp; regional overview'!$B$109,'caseload data'!$B:$B,"custody")</f>
        <v>0</v>
      </c>
      <c r="M125" s="98">
        <f>SUMIFS('caseload data'!O:O,'caseload data'!$D:$D,"PO",'caseload data'!$A:$A,'divisional &amp; regional overview'!$B$109,'caseload data'!$B:$B,"custody")</f>
        <v>0</v>
      </c>
      <c r="N125" s="98">
        <f>SUMIFS('caseload data'!P:P,'caseload data'!$D:$D,"PO",'caseload data'!$A:$A,'divisional &amp; regional overview'!$B$109,'caseload data'!$B:$B,"custody")</f>
        <v>0</v>
      </c>
      <c r="O125" s="98">
        <f>SUMIFS('caseload data'!Q:Q,'caseload data'!$D:$D,"PO",'caseload data'!$A:$A,'divisional &amp; regional overview'!$B$109,'caseload data'!$B:$B,"custody")</f>
        <v>0</v>
      </c>
      <c r="P125" s="98">
        <f>SUMIFS('caseload data'!R:R,'caseload data'!$D:$D,"PO",'caseload data'!$A:$A,'divisional &amp; regional overview'!$B$109,'caseload data'!$B:$B,"custody")</f>
        <v>0</v>
      </c>
      <c r="Q125" s="98">
        <f>SUMIFS('caseload data'!S:S,'caseload data'!$D:$D,"PO",'caseload data'!$A:$A,'divisional &amp; regional overview'!$B$109,'caseload data'!$B:$B,"custody")</f>
        <v>0</v>
      </c>
      <c r="R125" s="98">
        <f>SUMIFS('caseload data'!T:T,'caseload data'!$D:$D,"PO",'caseload data'!$A:$A,'divisional &amp; regional overview'!$B$109,'caseload data'!$B:$B,"custody")</f>
        <v>0</v>
      </c>
      <c r="U125" s="100" t="s">
        <v>1166</v>
      </c>
      <c r="V125" s="175" t="e">
        <f>C$125/SUM(C$125:C$128)</f>
        <v>#DIV/0!</v>
      </c>
      <c r="W125" s="175" t="e">
        <f>D$125/SUM(D$125:D$128)</f>
        <v>#DIV/0!</v>
      </c>
      <c r="X125" s="175" t="e">
        <f t="shared" ref="X125:AK125" si="12">E$125/SUM(E$125:E$128)</f>
        <v>#DIV/0!</v>
      </c>
      <c r="Y125" s="175" t="e">
        <f t="shared" si="12"/>
        <v>#DIV/0!</v>
      </c>
      <c r="Z125" s="175" t="e">
        <f t="shared" si="12"/>
        <v>#DIV/0!</v>
      </c>
      <c r="AA125" s="175" t="e">
        <f t="shared" si="12"/>
        <v>#DIV/0!</v>
      </c>
      <c r="AB125" s="175" t="e">
        <f t="shared" si="12"/>
        <v>#DIV/0!</v>
      </c>
      <c r="AC125" s="175" t="e">
        <f t="shared" si="12"/>
        <v>#DIV/0!</v>
      </c>
      <c r="AD125" s="175" t="e">
        <f t="shared" si="12"/>
        <v>#DIV/0!</v>
      </c>
      <c r="AE125" s="175" t="e">
        <f t="shared" si="12"/>
        <v>#DIV/0!</v>
      </c>
      <c r="AF125" s="175" t="e">
        <f t="shared" si="12"/>
        <v>#DIV/0!</v>
      </c>
      <c r="AG125" s="175" t="e">
        <f t="shared" si="12"/>
        <v>#DIV/0!</v>
      </c>
      <c r="AH125" s="175" t="e">
        <f t="shared" si="12"/>
        <v>#DIV/0!</v>
      </c>
      <c r="AI125" s="175" t="e">
        <f t="shared" si="12"/>
        <v>#DIV/0!</v>
      </c>
      <c r="AJ125" s="175" t="e">
        <f t="shared" si="12"/>
        <v>#DIV/0!</v>
      </c>
      <c r="AK125" s="175" t="e">
        <f t="shared" si="12"/>
        <v>#DIV/0!</v>
      </c>
    </row>
    <row r="126" spans="2:37" x14ac:dyDescent="0.15">
      <c r="B126" s="101" t="s">
        <v>1172</v>
      </c>
      <c r="C126" s="98">
        <f>SUMIFS('caseload data'!E:E,'caseload data'!$D:$D,"PSO",'caseload data'!$A:$A,'divisional &amp; regional overview'!$B$109,'caseload data'!$B:$B,"custody")</f>
        <v>0</v>
      </c>
      <c r="D126" s="98">
        <f>SUMIFS('caseload data'!F:F,'caseload data'!$D:$D,"PSO",'caseload data'!$A:$A,'divisional &amp; regional overview'!$B$109,'caseload data'!$B:$B,"custody")</f>
        <v>0</v>
      </c>
      <c r="E126" s="98">
        <f>SUMIFS('caseload data'!G:G,'caseload data'!$D:$D,"PSO",'caseload data'!$A:$A,'divisional &amp; regional overview'!$B$109,'caseload data'!$B:$B,"custody")</f>
        <v>0</v>
      </c>
      <c r="F126" s="98">
        <f>SUMIFS('caseload data'!H:H,'caseload data'!$D:$D,"PSO",'caseload data'!$A:$A,'divisional &amp; regional overview'!$B$109,'caseload data'!$B:$B,"custody")</f>
        <v>0</v>
      </c>
      <c r="G126" s="98">
        <f>SUMIFS('caseload data'!I:I,'caseload data'!$D:$D,"PSO",'caseload data'!$A:$A,'divisional &amp; regional overview'!$B$109,'caseload data'!$B:$B,"custody")</f>
        <v>0</v>
      </c>
      <c r="H126" s="98">
        <f>SUMIFS('caseload data'!J:J,'caseload data'!$D:$D,"PSO",'caseload data'!$A:$A,'divisional &amp; regional overview'!$B$109,'caseload data'!$B:$B,"custody")</f>
        <v>0</v>
      </c>
      <c r="I126" s="98">
        <f>SUMIFS('caseload data'!K:K,'caseload data'!$D:$D,"PSO",'caseload data'!$A:$A,'divisional &amp; regional overview'!$B$109,'caseload data'!$B:$B,"custody")</f>
        <v>0</v>
      </c>
      <c r="J126" s="98">
        <f>SUMIFS('caseload data'!L:L,'caseload data'!$D:$D,"PSO",'caseload data'!$A:$A,'divisional &amp; regional overview'!$B$109,'caseload data'!$B:$B,"custody")</f>
        <v>0</v>
      </c>
      <c r="K126" s="98">
        <f>SUMIFS('caseload data'!M:M,'caseload data'!$D:$D,"PSO",'caseload data'!$A:$A,'divisional &amp; regional overview'!$B$109,'caseload data'!$B:$B,"custody")</f>
        <v>0</v>
      </c>
      <c r="L126" s="98">
        <f>SUMIFS('caseload data'!N:N,'caseload data'!$D:$D,"PSO",'caseload data'!$A:$A,'divisional &amp; regional overview'!$B$109,'caseload data'!$B:$B,"custody")</f>
        <v>0</v>
      </c>
      <c r="M126" s="98">
        <f>SUMIFS('caseload data'!O:O,'caseload data'!$D:$D,"PSO",'caseload data'!$A:$A,'divisional &amp; regional overview'!$B$109,'caseload data'!$B:$B,"custody")</f>
        <v>0</v>
      </c>
      <c r="N126" s="98">
        <f>SUMIFS('caseload data'!P:P,'caseload data'!$D:$D,"PSO",'caseload data'!$A:$A,'divisional &amp; regional overview'!$B$109,'caseload data'!$B:$B,"custody")</f>
        <v>0</v>
      </c>
      <c r="O126" s="98">
        <f>SUMIFS('caseload data'!Q:Q,'caseload data'!$D:$D,"PSO",'caseload data'!$A:$A,'divisional &amp; regional overview'!$B$109,'caseload data'!$B:$B,"custody")</f>
        <v>0</v>
      </c>
      <c r="P126" s="98">
        <f>SUMIFS('caseload data'!R:R,'caseload data'!$D:$D,"PSO",'caseload data'!$A:$A,'divisional &amp; regional overview'!$B$109,'caseload data'!$B:$B,"custody")</f>
        <v>0</v>
      </c>
      <c r="Q126" s="98">
        <f>SUMIFS('caseload data'!S:S,'caseload data'!$D:$D,"PSO",'caseload data'!$A:$A,'divisional &amp; regional overview'!$B$109,'caseload data'!$B:$B,"custody")</f>
        <v>0</v>
      </c>
      <c r="R126" s="98">
        <f>SUMIFS('caseload data'!T:T,'caseload data'!$D:$D,"PSO",'caseload data'!$A:$A,'divisional &amp; regional overview'!$B$109,'caseload data'!$B:$B,"custody")</f>
        <v>0</v>
      </c>
      <c r="U126" s="101" t="s">
        <v>1172</v>
      </c>
      <c r="V126" s="175" t="e">
        <f>C$126/SUM(C$125:C$128)</f>
        <v>#DIV/0!</v>
      </c>
      <c r="W126" s="175" t="e">
        <f>D$126/SUM(D$125:D$128)</f>
        <v>#DIV/0!</v>
      </c>
      <c r="X126" s="175" t="e">
        <f t="shared" ref="X126:AK126" si="13">E$126/SUM(E$125:E$128)</f>
        <v>#DIV/0!</v>
      </c>
      <c r="Y126" s="175" t="e">
        <f t="shared" si="13"/>
        <v>#DIV/0!</v>
      </c>
      <c r="Z126" s="175" t="e">
        <f t="shared" si="13"/>
        <v>#DIV/0!</v>
      </c>
      <c r="AA126" s="175" t="e">
        <f t="shared" si="13"/>
        <v>#DIV/0!</v>
      </c>
      <c r="AB126" s="175" t="e">
        <f t="shared" si="13"/>
        <v>#DIV/0!</v>
      </c>
      <c r="AC126" s="175" t="e">
        <f t="shared" si="13"/>
        <v>#DIV/0!</v>
      </c>
      <c r="AD126" s="175" t="e">
        <f t="shared" si="13"/>
        <v>#DIV/0!</v>
      </c>
      <c r="AE126" s="175" t="e">
        <f t="shared" si="13"/>
        <v>#DIV/0!</v>
      </c>
      <c r="AF126" s="175" t="e">
        <f t="shared" si="13"/>
        <v>#DIV/0!</v>
      </c>
      <c r="AG126" s="175" t="e">
        <f t="shared" si="13"/>
        <v>#DIV/0!</v>
      </c>
      <c r="AH126" s="175" t="e">
        <f t="shared" si="13"/>
        <v>#DIV/0!</v>
      </c>
      <c r="AI126" s="175" t="e">
        <f t="shared" si="13"/>
        <v>#DIV/0!</v>
      </c>
      <c r="AJ126" s="175" t="e">
        <f t="shared" si="13"/>
        <v>#DIV/0!</v>
      </c>
      <c r="AK126" s="175" t="e">
        <f t="shared" si="13"/>
        <v>#DIV/0!</v>
      </c>
    </row>
    <row r="127" spans="2:37" x14ac:dyDescent="0.15">
      <c r="B127" s="101" t="s">
        <v>1173</v>
      </c>
      <c r="C127" s="98">
        <f>SUMIFS('caseload data'!E:E,'caseload data'!$D:$D,"TPO",'caseload data'!$A:$A,'divisional &amp; regional overview'!$B$109,'caseload data'!$B:$B,"custody")</f>
        <v>0</v>
      </c>
      <c r="D127" s="98">
        <f>SUMIFS('caseload data'!F:F,'caseload data'!$D:$D,"TPO",'caseload data'!$A:$A,'divisional &amp; regional overview'!$B$109,'caseload data'!$B:$B,"custody")</f>
        <v>0</v>
      </c>
      <c r="E127" s="98">
        <f>SUMIFS('caseload data'!G:G,'caseload data'!$D:$D,"TPO",'caseload data'!$A:$A,'divisional &amp; regional overview'!$B$109,'caseload data'!$B:$B,"custody")</f>
        <v>0</v>
      </c>
      <c r="F127" s="98">
        <f>SUMIFS('caseload data'!H:H,'caseload data'!$D:$D,"TPO",'caseload data'!$A:$A,'divisional &amp; regional overview'!$B$109,'caseload data'!$B:$B,"custody")</f>
        <v>0</v>
      </c>
      <c r="G127" s="98">
        <f>SUMIFS('caseload data'!I:I,'caseload data'!$D:$D,"TPO",'caseload data'!$A:$A,'divisional &amp; regional overview'!$B$109,'caseload data'!$B:$B,"custody")</f>
        <v>0</v>
      </c>
      <c r="H127" s="98">
        <f>SUMIFS('caseload data'!J:J,'caseload data'!$D:$D,"TPO",'caseload data'!$A:$A,'divisional &amp; regional overview'!$B$109,'caseload data'!$B:$B,"custody")</f>
        <v>0</v>
      </c>
      <c r="I127" s="98">
        <f>SUMIFS('caseload data'!K:K,'caseload data'!$D:$D,"TPO",'caseload data'!$A:$A,'divisional &amp; regional overview'!$B$109,'caseload data'!$B:$B,"custody")</f>
        <v>0</v>
      </c>
      <c r="J127" s="98">
        <f>SUMIFS('caseload data'!L:L,'caseload data'!$D:$D,"TPO",'caseload data'!$A:$A,'divisional &amp; regional overview'!$B$109,'caseload data'!$B:$B,"custody")</f>
        <v>0</v>
      </c>
      <c r="K127" s="98">
        <f>SUMIFS('caseload data'!M:M,'caseload data'!$D:$D,"TPO",'caseload data'!$A:$A,'divisional &amp; regional overview'!$B$109,'caseload data'!$B:$B,"custody")</f>
        <v>0</v>
      </c>
      <c r="L127" s="98">
        <f>SUMIFS('caseload data'!N:N,'caseload data'!$D:$D,"TPO",'caseload data'!$A:$A,'divisional &amp; regional overview'!$B$109,'caseload data'!$B:$B,"custody")</f>
        <v>0</v>
      </c>
      <c r="M127" s="98">
        <f>SUMIFS('caseload data'!O:O,'caseload data'!$D:$D,"TPO",'caseload data'!$A:$A,'divisional &amp; regional overview'!$B$109,'caseload data'!$B:$B,"custody")</f>
        <v>0</v>
      </c>
      <c r="N127" s="98">
        <f>SUMIFS('caseload data'!P:P,'caseload data'!$D:$D,"TPO",'caseload data'!$A:$A,'divisional &amp; regional overview'!$B$109,'caseload data'!$B:$B,"custody")</f>
        <v>0</v>
      </c>
      <c r="O127" s="98">
        <f>SUMIFS('caseload data'!Q:Q,'caseload data'!$D:$D,"TPO",'caseload data'!$A:$A,'divisional &amp; regional overview'!$B$109,'caseload data'!$B:$B,"custody")</f>
        <v>0</v>
      </c>
      <c r="P127" s="98">
        <f>SUMIFS('caseload data'!R:R,'caseload data'!$D:$D,"TPO",'caseload data'!$A:$A,'divisional &amp; regional overview'!$B$109,'caseload data'!$B:$B,"custody")</f>
        <v>0</v>
      </c>
      <c r="Q127" s="98">
        <f>SUMIFS('caseload data'!S:S,'caseload data'!$D:$D,"TPO",'caseload data'!$A:$A,'divisional &amp; regional overview'!$B$109,'caseload data'!$B:$B,"custody")</f>
        <v>0</v>
      </c>
      <c r="R127" s="98">
        <f>SUMIFS('caseload data'!T:T,'caseload data'!$D:$D,"TPO",'caseload data'!$A:$A,'divisional &amp; regional overview'!$B$109,'caseload data'!$B:$B,"custody")</f>
        <v>0</v>
      </c>
      <c r="U127" s="101" t="s">
        <v>1173</v>
      </c>
      <c r="V127" s="175" t="e">
        <f>C$127/SUM(C$125:C$128)</f>
        <v>#DIV/0!</v>
      </c>
      <c r="W127" s="175" t="e">
        <f>D$127/SUM(D$125:D$128)</f>
        <v>#DIV/0!</v>
      </c>
      <c r="X127" s="175" t="e">
        <f t="shared" ref="X127:AK127" si="14">E$127/SUM(E$125:E$128)</f>
        <v>#DIV/0!</v>
      </c>
      <c r="Y127" s="175" t="e">
        <f t="shared" si="14"/>
        <v>#DIV/0!</v>
      </c>
      <c r="Z127" s="175" t="e">
        <f t="shared" si="14"/>
        <v>#DIV/0!</v>
      </c>
      <c r="AA127" s="175" t="e">
        <f t="shared" si="14"/>
        <v>#DIV/0!</v>
      </c>
      <c r="AB127" s="175" t="e">
        <f t="shared" si="14"/>
        <v>#DIV/0!</v>
      </c>
      <c r="AC127" s="175" t="e">
        <f t="shared" si="14"/>
        <v>#DIV/0!</v>
      </c>
      <c r="AD127" s="175" t="e">
        <f t="shared" si="14"/>
        <v>#DIV/0!</v>
      </c>
      <c r="AE127" s="175" t="e">
        <f t="shared" si="14"/>
        <v>#DIV/0!</v>
      </c>
      <c r="AF127" s="175" t="e">
        <f t="shared" si="14"/>
        <v>#DIV/0!</v>
      </c>
      <c r="AG127" s="175" t="e">
        <f t="shared" si="14"/>
        <v>#DIV/0!</v>
      </c>
      <c r="AH127" s="175" t="e">
        <f t="shared" si="14"/>
        <v>#DIV/0!</v>
      </c>
      <c r="AI127" s="175" t="e">
        <f t="shared" si="14"/>
        <v>#DIV/0!</v>
      </c>
      <c r="AJ127" s="175" t="e">
        <f t="shared" si="14"/>
        <v>#DIV/0!</v>
      </c>
      <c r="AK127" s="175" t="e">
        <f t="shared" si="14"/>
        <v>#DIV/0!</v>
      </c>
    </row>
    <row r="128" spans="2:37" x14ac:dyDescent="0.15">
      <c r="B128" s="102" t="s">
        <v>1174</v>
      </c>
      <c r="C128" s="98">
        <f>SUMIFS('caseload data'!E:E,'caseload data'!$D:$D,"SPO",'caseload data'!$A:$A,'divisional &amp; regional overview'!$B$109,'caseload data'!$B:$B,"custody")</f>
        <v>0</v>
      </c>
      <c r="D128" s="98">
        <f>SUMIFS('caseload data'!F:F,'caseload data'!$D:$D,"SPO",'caseload data'!$A:$A,'divisional &amp; regional overview'!$B$109,'caseload data'!$B:$B,"custody")</f>
        <v>0</v>
      </c>
      <c r="E128" s="98">
        <f>SUMIFS('caseload data'!G:G,'caseload data'!$D:$D,"SPO",'caseload data'!$A:$A,'divisional &amp; regional overview'!$B$109,'caseload data'!$B:$B,"custody")</f>
        <v>0</v>
      </c>
      <c r="F128" s="98">
        <f>SUMIFS('caseload data'!H:H,'caseload data'!$D:$D,"SPO",'caseload data'!$A:$A,'divisional &amp; regional overview'!$B$109,'caseload data'!$B:$B,"custody")</f>
        <v>0</v>
      </c>
      <c r="G128" s="98">
        <f>SUMIFS('caseload data'!I:I,'caseload data'!$D:$D,"SPO",'caseload data'!$A:$A,'divisional &amp; regional overview'!$B$109,'caseload data'!$B:$B,"custody")</f>
        <v>0</v>
      </c>
      <c r="H128" s="98">
        <f>SUMIFS('caseload data'!J:J,'caseload data'!$D:$D,"SPO",'caseload data'!$A:$A,'divisional &amp; regional overview'!$B$109,'caseload data'!$B:$B,"custody")</f>
        <v>0</v>
      </c>
      <c r="I128" s="98">
        <f>SUMIFS('caseload data'!K:K,'caseload data'!$D:$D,"SPO",'caseload data'!$A:$A,'divisional &amp; regional overview'!$B$109,'caseload data'!$B:$B,"custody")</f>
        <v>0</v>
      </c>
      <c r="J128" s="98">
        <f>SUMIFS('caseload data'!L:L,'caseload data'!$D:$D,"SPO",'caseload data'!$A:$A,'divisional &amp; regional overview'!$B$109,'caseload data'!$B:$B,"custody")</f>
        <v>0</v>
      </c>
      <c r="K128" s="98">
        <f>SUMIFS('caseload data'!M:M,'caseload data'!$D:$D,"SPO",'caseload data'!$A:$A,'divisional &amp; regional overview'!$B$109,'caseload data'!$B:$B,"custody")</f>
        <v>0</v>
      </c>
      <c r="L128" s="98">
        <f>SUMIFS('caseload data'!N:N,'caseload data'!$D:$D,"SPO",'caseload data'!$A:$A,'divisional &amp; regional overview'!$B$109,'caseload data'!$B:$B,"custody")</f>
        <v>0</v>
      </c>
      <c r="M128" s="98">
        <f>SUMIFS('caseload data'!O:O,'caseload data'!$D:$D,"SPO",'caseload data'!$A:$A,'divisional &amp; regional overview'!$B$109,'caseload data'!$B:$B,"custody")</f>
        <v>0</v>
      </c>
      <c r="N128" s="98">
        <f>SUMIFS('caseload data'!P:P,'caseload data'!$D:$D,"SPO",'caseload data'!$A:$A,'divisional &amp; regional overview'!$B$109,'caseload data'!$B:$B,"custody")</f>
        <v>0</v>
      </c>
      <c r="O128" s="98">
        <f>SUMIFS('caseload data'!Q:Q,'caseload data'!$D:$D,"SPO",'caseload data'!$A:$A,'divisional &amp; regional overview'!$B$109,'caseload data'!$B:$B,"custody")</f>
        <v>0</v>
      </c>
      <c r="P128" s="98">
        <f>SUMIFS('caseload data'!R:R,'caseload data'!$D:$D,"SPO",'caseload data'!$A:$A,'divisional &amp; regional overview'!$B$109,'caseload data'!$B:$B,"custody")</f>
        <v>0</v>
      </c>
      <c r="Q128" s="98">
        <f>SUMIFS('caseload data'!S:S,'caseload data'!$D:$D,"SPO",'caseload data'!$A:$A,'divisional &amp; regional overview'!$B$109,'caseload data'!$B:$B,"custody")</f>
        <v>0</v>
      </c>
      <c r="R128" s="98">
        <f>SUMIFS('caseload data'!T:T,'caseload data'!$D:$D,"SPO",'caseload data'!$A:$A,'divisional &amp; regional overview'!$B$109,'caseload data'!$B:$B,"custody")</f>
        <v>0</v>
      </c>
      <c r="U128" s="102" t="s">
        <v>1174</v>
      </c>
      <c r="V128" s="175" t="e">
        <f>C$128/SUM(C$125:C$128)</f>
        <v>#DIV/0!</v>
      </c>
      <c r="W128" s="175" t="e">
        <f>D$128/SUM(D$125:D$128)</f>
        <v>#DIV/0!</v>
      </c>
      <c r="X128" s="175" t="e">
        <f t="shared" ref="X128:AK128" si="15">E$128/SUM(E$125:E$128)</f>
        <v>#DIV/0!</v>
      </c>
      <c r="Y128" s="175" t="e">
        <f t="shared" si="15"/>
        <v>#DIV/0!</v>
      </c>
      <c r="Z128" s="175" t="e">
        <f t="shared" si="15"/>
        <v>#DIV/0!</v>
      </c>
      <c r="AA128" s="175" t="e">
        <f t="shared" si="15"/>
        <v>#DIV/0!</v>
      </c>
      <c r="AB128" s="175" t="e">
        <f t="shared" si="15"/>
        <v>#DIV/0!</v>
      </c>
      <c r="AC128" s="175" t="e">
        <f t="shared" si="15"/>
        <v>#DIV/0!</v>
      </c>
      <c r="AD128" s="175" t="e">
        <f t="shared" si="15"/>
        <v>#DIV/0!</v>
      </c>
      <c r="AE128" s="175" t="e">
        <f t="shared" si="15"/>
        <v>#DIV/0!</v>
      </c>
      <c r="AF128" s="175" t="e">
        <f t="shared" si="15"/>
        <v>#DIV/0!</v>
      </c>
      <c r="AG128" s="175" t="e">
        <f t="shared" si="15"/>
        <v>#DIV/0!</v>
      </c>
      <c r="AH128" s="175" t="e">
        <f t="shared" si="15"/>
        <v>#DIV/0!</v>
      </c>
      <c r="AI128" s="175" t="e">
        <f t="shared" si="15"/>
        <v>#DIV/0!</v>
      </c>
      <c r="AJ128" s="175" t="e">
        <f t="shared" si="15"/>
        <v>#DIV/0!</v>
      </c>
      <c r="AK128" s="175" t="e">
        <f t="shared" si="15"/>
        <v>#DIV/0!</v>
      </c>
    </row>
    <row r="129" spans="2:37" x14ac:dyDescent="0.15">
      <c r="B129" s="22"/>
    </row>
    <row r="130" spans="2:37" ht="21.75" customHeight="1" x14ac:dyDescent="0.2">
      <c r="B130" s="55" t="str">
        <f>B5</f>
        <v>East Midlands Region</v>
      </c>
      <c r="C130" s="379" t="s">
        <v>1177</v>
      </c>
      <c r="D130" s="380"/>
      <c r="E130" s="380"/>
      <c r="F130" s="380"/>
      <c r="G130" s="380"/>
      <c r="H130" s="380"/>
      <c r="I130" s="380"/>
      <c r="J130" s="380"/>
      <c r="K130" s="380"/>
      <c r="L130" s="380"/>
      <c r="M130" s="380"/>
      <c r="N130" s="380"/>
      <c r="O130" s="380"/>
      <c r="P130" s="380"/>
      <c r="Q130" s="380"/>
      <c r="R130" s="380"/>
      <c r="U130" s="55" t="str">
        <f>B5</f>
        <v>East Midlands Region</v>
      </c>
      <c r="V130" s="364" t="s">
        <v>1169</v>
      </c>
      <c r="W130" s="365"/>
      <c r="X130" s="365"/>
      <c r="Y130" s="365"/>
      <c r="Z130" s="365"/>
      <c r="AA130" s="365"/>
      <c r="AB130" s="365"/>
      <c r="AC130" s="365"/>
      <c r="AD130" s="365"/>
      <c r="AE130" s="365"/>
      <c r="AF130" s="365"/>
      <c r="AG130" s="365"/>
      <c r="AH130" s="365"/>
      <c r="AI130" s="365"/>
      <c r="AJ130" s="365"/>
      <c r="AK130" s="365"/>
    </row>
    <row r="131" spans="2:37" ht="18" x14ac:dyDescent="0.2">
      <c r="B131" s="296" t="s">
        <v>1170</v>
      </c>
      <c r="C131" s="40" t="s">
        <v>1022</v>
      </c>
      <c r="D131" s="40" t="s">
        <v>1023</v>
      </c>
      <c r="E131" s="40" t="s">
        <v>1024</v>
      </c>
      <c r="F131" s="40" t="s">
        <v>1025</v>
      </c>
      <c r="G131" s="40" t="s">
        <v>1026</v>
      </c>
      <c r="H131" s="40" t="s">
        <v>1027</v>
      </c>
      <c r="I131" s="40" t="s">
        <v>1028</v>
      </c>
      <c r="J131" s="40" t="s">
        <v>1029</v>
      </c>
      <c r="K131" s="40" t="s">
        <v>1030</v>
      </c>
      <c r="L131" s="40" t="s">
        <v>1031</v>
      </c>
      <c r="M131" s="40" t="s">
        <v>1032</v>
      </c>
      <c r="N131" s="40" t="s">
        <v>1033</v>
      </c>
      <c r="O131" s="40" t="s">
        <v>1034</v>
      </c>
      <c r="P131" s="40" t="s">
        <v>1035</v>
      </c>
      <c r="Q131" s="40" t="s">
        <v>1036</v>
      </c>
      <c r="R131" s="40" t="s">
        <v>1037</v>
      </c>
      <c r="U131" s="99" t="s">
        <v>1171</v>
      </c>
      <c r="V131" s="40" t="s">
        <v>1022</v>
      </c>
      <c r="W131" s="40" t="s">
        <v>1023</v>
      </c>
      <c r="X131" s="40" t="s">
        <v>1024</v>
      </c>
      <c r="Y131" s="40" t="s">
        <v>1025</v>
      </c>
      <c r="Z131" s="40" t="s">
        <v>1026</v>
      </c>
      <c r="AA131" s="40" t="s">
        <v>1027</v>
      </c>
      <c r="AB131" s="40" t="s">
        <v>1028</v>
      </c>
      <c r="AC131" s="40" t="s">
        <v>1029</v>
      </c>
      <c r="AD131" s="40" t="s">
        <v>1030</v>
      </c>
      <c r="AE131" s="40" t="s">
        <v>1031</v>
      </c>
      <c r="AF131" s="40" t="s">
        <v>1032</v>
      </c>
      <c r="AG131" s="40" t="s">
        <v>1033</v>
      </c>
      <c r="AH131" s="40" t="s">
        <v>1034</v>
      </c>
      <c r="AI131" s="40" t="s">
        <v>1035</v>
      </c>
      <c r="AJ131" s="40" t="s">
        <v>1036</v>
      </c>
      <c r="AK131" s="40" t="s">
        <v>1037</v>
      </c>
    </row>
    <row r="132" spans="2:37" x14ac:dyDescent="0.15">
      <c r="B132" s="100" t="s">
        <v>1166</v>
      </c>
      <c r="C132" s="98">
        <f>SUMIFS('caseload data'!E:E,'caseload data'!$D:$D,"PO",'caseload data'!$A:$A,'divisional &amp; regional overview'!$B$116)</f>
        <v>0</v>
      </c>
      <c r="D132" s="98">
        <f>SUMIFS('caseload data'!F:F,'caseload data'!$D:$D,"PO",'caseload data'!$A:$A,'divisional &amp; regional overview'!$B$116)</f>
        <v>0</v>
      </c>
      <c r="E132" s="98">
        <f>SUMIFS('caseload data'!G:G,'caseload data'!$D:$D,"PO",'caseload data'!$A:$A,'divisional &amp; regional overview'!$B$116)</f>
        <v>0</v>
      </c>
      <c r="F132" s="98">
        <f>SUMIFS('caseload data'!H:H,'caseload data'!$D:$D,"PO",'caseload data'!$A:$A,'divisional &amp; regional overview'!$B$116)</f>
        <v>0</v>
      </c>
      <c r="G132" s="98">
        <f>SUMIFS('caseload data'!I:I,'caseload data'!$D:$D,"PO",'caseload data'!$A:$A,'divisional &amp; regional overview'!$B$116)</f>
        <v>0</v>
      </c>
      <c r="H132" s="98">
        <f>SUMIFS('caseload data'!J:J,'caseload data'!$D:$D,"PO",'caseload data'!$A:$A,'divisional &amp; regional overview'!$B$116)</f>
        <v>0</v>
      </c>
      <c r="I132" s="98">
        <f>SUMIFS('caseload data'!K:K,'caseload data'!$D:$D,"PO",'caseload data'!$A:$A,'divisional &amp; regional overview'!$B$116)</f>
        <v>0</v>
      </c>
      <c r="J132" s="98">
        <f>SUMIFS('caseload data'!L:L,'caseload data'!$D:$D,"PO",'caseload data'!$A:$A,'divisional &amp; regional overview'!$B$116)</f>
        <v>0</v>
      </c>
      <c r="K132" s="98">
        <f>SUMIFS('caseload data'!M:M,'caseload data'!$D:$D,"PO",'caseload data'!$A:$A,'divisional &amp; regional overview'!$B$116)</f>
        <v>0</v>
      </c>
      <c r="L132" s="98">
        <f>SUMIFS('caseload data'!N:N,'caseload data'!$D:$D,"PO",'caseload data'!$A:$A,'divisional &amp; regional overview'!$B$116)</f>
        <v>0</v>
      </c>
      <c r="M132" s="98">
        <f>SUMIFS('caseload data'!O:O,'caseload data'!$D:$D,"PO",'caseload data'!$A:$A,'divisional &amp; regional overview'!$B$116)</f>
        <v>0</v>
      </c>
      <c r="N132" s="98">
        <f>SUMIFS('caseload data'!P:P,'caseload data'!$D:$D,"PO",'caseload data'!$A:$A,'divisional &amp; regional overview'!$B$116)</f>
        <v>0</v>
      </c>
      <c r="O132" s="98">
        <f>SUMIFS('caseload data'!Q:Q,'caseload data'!$D:$D,"PO",'caseload data'!$A:$A,'divisional &amp; regional overview'!$B$116)</f>
        <v>0</v>
      </c>
      <c r="P132" s="98">
        <f>SUMIFS('caseload data'!R:R,'caseload data'!$D:$D,"PO",'caseload data'!$A:$A,'divisional &amp; regional overview'!$B$116)</f>
        <v>0</v>
      </c>
      <c r="Q132" s="98">
        <f>SUMIFS('caseload data'!S:S,'caseload data'!$D:$D,"PO",'caseload data'!$A:$A,'divisional &amp; regional overview'!$B$116)</f>
        <v>0</v>
      </c>
      <c r="R132" s="98">
        <f>SUMIFS('caseload data'!T:T,'caseload data'!$D:$D,"PO",'caseload data'!$A:$A,'divisional &amp; regional overview'!$B$116)</f>
        <v>0</v>
      </c>
      <c r="U132" s="100" t="s">
        <v>1166</v>
      </c>
      <c r="V132" s="175" t="e">
        <f>C$132/SUM(C$132:C$135)</f>
        <v>#DIV/0!</v>
      </c>
      <c r="W132" s="175" t="e">
        <f>D$132/SUM(D$132:D$135)</f>
        <v>#DIV/0!</v>
      </c>
      <c r="X132" s="175" t="e">
        <f t="shared" ref="X132:AK132" si="16">E$132/SUM(E$132:E$135)</f>
        <v>#DIV/0!</v>
      </c>
      <c r="Y132" s="175" t="e">
        <f t="shared" si="16"/>
        <v>#DIV/0!</v>
      </c>
      <c r="Z132" s="175" t="e">
        <f t="shared" si="16"/>
        <v>#DIV/0!</v>
      </c>
      <c r="AA132" s="175" t="e">
        <f t="shared" si="16"/>
        <v>#DIV/0!</v>
      </c>
      <c r="AB132" s="175" t="e">
        <f t="shared" si="16"/>
        <v>#DIV/0!</v>
      </c>
      <c r="AC132" s="175" t="e">
        <f t="shared" si="16"/>
        <v>#DIV/0!</v>
      </c>
      <c r="AD132" s="175" t="e">
        <f t="shared" si="16"/>
        <v>#DIV/0!</v>
      </c>
      <c r="AE132" s="175" t="e">
        <f t="shared" si="16"/>
        <v>#DIV/0!</v>
      </c>
      <c r="AF132" s="175" t="e">
        <f t="shared" si="16"/>
        <v>#DIV/0!</v>
      </c>
      <c r="AG132" s="175" t="e">
        <f t="shared" si="16"/>
        <v>#DIV/0!</v>
      </c>
      <c r="AH132" s="175" t="e">
        <f t="shared" si="16"/>
        <v>#DIV/0!</v>
      </c>
      <c r="AI132" s="175" t="e">
        <f t="shared" si="16"/>
        <v>#DIV/0!</v>
      </c>
      <c r="AJ132" s="175" t="e">
        <f t="shared" si="16"/>
        <v>#DIV/0!</v>
      </c>
      <c r="AK132" s="175" t="e">
        <f t="shared" si="16"/>
        <v>#DIV/0!</v>
      </c>
    </row>
    <row r="133" spans="2:37" x14ac:dyDescent="0.15">
      <c r="B133" s="101" t="s">
        <v>1172</v>
      </c>
      <c r="C133" s="98">
        <f>SUMIFS('caseload data'!E:E,'caseload data'!$D:$D,"PSO",'caseload data'!$A:$A,'divisional &amp; regional overview'!$B$116)</f>
        <v>0</v>
      </c>
      <c r="D133" s="98">
        <f>SUMIFS('caseload data'!F:F,'caseload data'!$D:$D,"PSO",'caseload data'!$A:$A,'divisional &amp; regional overview'!$B$116)</f>
        <v>0</v>
      </c>
      <c r="E133" s="98">
        <f>SUMIFS('caseload data'!G:G,'caseload data'!$D:$D,"PSO",'caseload data'!$A:$A,'divisional &amp; regional overview'!$B$116)</f>
        <v>0</v>
      </c>
      <c r="F133" s="98">
        <f>SUMIFS('caseload data'!H:H,'caseload data'!$D:$D,"PSO",'caseload data'!$A:$A,'divisional &amp; regional overview'!$B$116)</f>
        <v>0</v>
      </c>
      <c r="G133" s="98">
        <f>SUMIFS('caseload data'!I:I,'caseload data'!$D:$D,"PSO",'caseload data'!$A:$A,'divisional &amp; regional overview'!$B$116)</f>
        <v>0</v>
      </c>
      <c r="H133" s="98">
        <f>SUMIFS('caseload data'!J:J,'caseload data'!$D:$D,"PSO",'caseload data'!$A:$A,'divisional &amp; regional overview'!$B$116)</f>
        <v>0</v>
      </c>
      <c r="I133" s="98">
        <f>SUMIFS('caseload data'!K:K,'caseload data'!$D:$D,"PSO",'caseload data'!$A:$A,'divisional &amp; regional overview'!$B$116)</f>
        <v>0</v>
      </c>
      <c r="J133" s="98">
        <f>SUMIFS('caseload data'!L:L,'caseload data'!$D:$D,"PSO",'caseload data'!$A:$A,'divisional &amp; regional overview'!$B$116)</f>
        <v>0</v>
      </c>
      <c r="K133" s="98">
        <f>SUMIFS('caseload data'!M:M,'caseload data'!$D:$D,"PSO",'caseload data'!$A:$A,'divisional &amp; regional overview'!$B$116)</f>
        <v>0</v>
      </c>
      <c r="L133" s="98">
        <f>SUMIFS('caseload data'!N:N,'caseload data'!$D:$D,"PSO",'caseload data'!$A:$A,'divisional &amp; regional overview'!$B$116)</f>
        <v>0</v>
      </c>
      <c r="M133" s="98">
        <f>SUMIFS('caseload data'!O:O,'caseload data'!$D:$D,"PSO",'caseload data'!$A:$A,'divisional &amp; regional overview'!$B$116)</f>
        <v>0</v>
      </c>
      <c r="N133" s="98">
        <f>SUMIFS('caseload data'!P:P,'caseload data'!$D:$D,"PSO",'caseload data'!$A:$A,'divisional &amp; regional overview'!$B$116)</f>
        <v>0</v>
      </c>
      <c r="O133" s="98">
        <f>SUMIFS('caseload data'!Q:Q,'caseload data'!$D:$D,"PSO",'caseload data'!$A:$A,'divisional &amp; regional overview'!$B$116)</f>
        <v>0</v>
      </c>
      <c r="P133" s="98">
        <f>SUMIFS('caseload data'!R:R,'caseload data'!$D:$D,"PSO",'caseload data'!$A:$A,'divisional &amp; regional overview'!$B$116)</f>
        <v>0</v>
      </c>
      <c r="Q133" s="98">
        <f>SUMIFS('caseload data'!S:S,'caseload data'!$D:$D,"PSO",'caseload data'!$A:$A,'divisional &amp; regional overview'!$B$116)</f>
        <v>0</v>
      </c>
      <c r="R133" s="98">
        <f>SUMIFS('caseload data'!T:T,'caseload data'!$D:$D,"PSO",'caseload data'!$A:$A,'divisional &amp; regional overview'!$B$116)</f>
        <v>0</v>
      </c>
      <c r="U133" s="101" t="s">
        <v>1172</v>
      </c>
      <c r="V133" s="175" t="e">
        <f>C$133/SUM(C$132:C$135)</f>
        <v>#DIV/0!</v>
      </c>
      <c r="W133" s="175" t="e">
        <f>D$133/SUM(D$132:D$135)</f>
        <v>#DIV/0!</v>
      </c>
      <c r="X133" s="175" t="e">
        <f t="shared" ref="X133:AK133" si="17">E$133/SUM(E$132:E$135)</f>
        <v>#DIV/0!</v>
      </c>
      <c r="Y133" s="175" t="e">
        <f t="shared" si="17"/>
        <v>#DIV/0!</v>
      </c>
      <c r="Z133" s="175" t="e">
        <f t="shared" si="17"/>
        <v>#DIV/0!</v>
      </c>
      <c r="AA133" s="175" t="e">
        <f t="shared" si="17"/>
        <v>#DIV/0!</v>
      </c>
      <c r="AB133" s="175" t="e">
        <f t="shared" si="17"/>
        <v>#DIV/0!</v>
      </c>
      <c r="AC133" s="175" t="e">
        <f t="shared" si="17"/>
        <v>#DIV/0!</v>
      </c>
      <c r="AD133" s="175" t="e">
        <f t="shared" si="17"/>
        <v>#DIV/0!</v>
      </c>
      <c r="AE133" s="175" t="e">
        <f t="shared" si="17"/>
        <v>#DIV/0!</v>
      </c>
      <c r="AF133" s="175" t="e">
        <f t="shared" si="17"/>
        <v>#DIV/0!</v>
      </c>
      <c r="AG133" s="175" t="e">
        <f t="shared" si="17"/>
        <v>#DIV/0!</v>
      </c>
      <c r="AH133" s="175" t="e">
        <f t="shared" si="17"/>
        <v>#DIV/0!</v>
      </c>
      <c r="AI133" s="175" t="e">
        <f t="shared" si="17"/>
        <v>#DIV/0!</v>
      </c>
      <c r="AJ133" s="175" t="e">
        <f t="shared" si="17"/>
        <v>#DIV/0!</v>
      </c>
      <c r="AK133" s="175" t="e">
        <f t="shared" si="17"/>
        <v>#DIV/0!</v>
      </c>
    </row>
    <row r="134" spans="2:37" x14ac:dyDescent="0.15">
      <c r="B134" s="101" t="s">
        <v>1173</v>
      </c>
      <c r="C134" s="98">
        <f>SUMIFS('caseload data'!E:E,'caseload data'!$D:$D,"TPO",'caseload data'!$A:$A,'divisional &amp; regional overview'!$B$116)</f>
        <v>0</v>
      </c>
      <c r="D134" s="98">
        <f>SUMIFS('caseload data'!F:F,'caseload data'!$D:$D,"TPO",'caseload data'!$A:$A,'divisional &amp; regional overview'!$B$116)</f>
        <v>0</v>
      </c>
      <c r="E134" s="98">
        <f>SUMIFS('caseload data'!G:G,'caseload data'!$D:$D,"TPO",'caseload data'!$A:$A,'divisional &amp; regional overview'!$B$116)</f>
        <v>0</v>
      </c>
      <c r="F134" s="98">
        <f>SUMIFS('caseload data'!H:H,'caseload data'!$D:$D,"TPO",'caseload data'!$A:$A,'divisional &amp; regional overview'!$B$116)</f>
        <v>0</v>
      </c>
      <c r="G134" s="98">
        <f>SUMIFS('caseload data'!I:I,'caseload data'!$D:$D,"TPO",'caseload data'!$A:$A,'divisional &amp; regional overview'!$B$116)</f>
        <v>0</v>
      </c>
      <c r="H134" s="98">
        <f>SUMIFS('caseload data'!J:J,'caseload data'!$D:$D,"TPO",'caseload data'!$A:$A,'divisional &amp; regional overview'!$B$116)</f>
        <v>0</v>
      </c>
      <c r="I134" s="98">
        <f>SUMIFS('caseload data'!K:K,'caseload data'!$D:$D,"TPO",'caseload data'!$A:$A,'divisional &amp; regional overview'!$B$116)</f>
        <v>0</v>
      </c>
      <c r="J134" s="98">
        <f>SUMIFS('caseload data'!L:L,'caseload data'!$D:$D,"TPO",'caseload data'!$A:$A,'divisional &amp; regional overview'!$B$116)</f>
        <v>0</v>
      </c>
      <c r="K134" s="98">
        <f>SUMIFS('caseload data'!M:M,'caseload data'!$D:$D,"TPO",'caseload data'!$A:$A,'divisional &amp; regional overview'!$B$116)</f>
        <v>0</v>
      </c>
      <c r="L134" s="98">
        <f>SUMIFS('caseload data'!N:N,'caseload data'!$D:$D,"TPO",'caseload data'!$A:$A,'divisional &amp; regional overview'!$B$116)</f>
        <v>0</v>
      </c>
      <c r="M134" s="98">
        <f>SUMIFS('caseload data'!O:O,'caseload data'!$D:$D,"TPO",'caseload data'!$A:$A,'divisional &amp; regional overview'!$B$116)</f>
        <v>0</v>
      </c>
      <c r="N134" s="98">
        <f>SUMIFS('caseload data'!P:P,'caseload data'!$D:$D,"TPO",'caseload data'!$A:$A,'divisional &amp; regional overview'!$B$116)</f>
        <v>0</v>
      </c>
      <c r="O134" s="98">
        <f>SUMIFS('caseload data'!Q:Q,'caseload data'!$D:$D,"TPO",'caseload data'!$A:$A,'divisional &amp; regional overview'!$B$116)</f>
        <v>0</v>
      </c>
      <c r="P134" s="98">
        <f>SUMIFS('caseload data'!R:R,'caseload data'!$D:$D,"TPO",'caseload data'!$A:$A,'divisional &amp; regional overview'!$B$116)</f>
        <v>0</v>
      </c>
      <c r="Q134" s="98">
        <f>SUMIFS('caseload data'!S:S,'caseload data'!$D:$D,"TPO",'caseload data'!$A:$A,'divisional &amp; regional overview'!$B$116)</f>
        <v>0</v>
      </c>
      <c r="R134" s="98">
        <f>SUMIFS('caseload data'!T:T,'caseload data'!$D:$D,"TPO",'caseload data'!$A:$A,'divisional &amp; regional overview'!$B$116)</f>
        <v>0</v>
      </c>
      <c r="U134" s="101" t="s">
        <v>1173</v>
      </c>
      <c r="V134" s="175" t="e">
        <f>C$134/SUM(C$132:C$135)</f>
        <v>#DIV/0!</v>
      </c>
      <c r="W134" s="175" t="e">
        <f>D$134/SUM(D$132:D$135)</f>
        <v>#DIV/0!</v>
      </c>
      <c r="X134" s="175" t="e">
        <f t="shared" ref="X134:AK134" si="18">E$134/SUM(E$132:E$135)</f>
        <v>#DIV/0!</v>
      </c>
      <c r="Y134" s="175" t="e">
        <f t="shared" si="18"/>
        <v>#DIV/0!</v>
      </c>
      <c r="Z134" s="175" t="e">
        <f t="shared" si="18"/>
        <v>#DIV/0!</v>
      </c>
      <c r="AA134" s="175" t="e">
        <f t="shared" si="18"/>
        <v>#DIV/0!</v>
      </c>
      <c r="AB134" s="175" t="e">
        <f t="shared" si="18"/>
        <v>#DIV/0!</v>
      </c>
      <c r="AC134" s="175" t="e">
        <f t="shared" si="18"/>
        <v>#DIV/0!</v>
      </c>
      <c r="AD134" s="175" t="e">
        <f t="shared" si="18"/>
        <v>#DIV/0!</v>
      </c>
      <c r="AE134" s="175" t="e">
        <f t="shared" si="18"/>
        <v>#DIV/0!</v>
      </c>
      <c r="AF134" s="175" t="e">
        <f t="shared" si="18"/>
        <v>#DIV/0!</v>
      </c>
      <c r="AG134" s="175" t="e">
        <f t="shared" si="18"/>
        <v>#DIV/0!</v>
      </c>
      <c r="AH134" s="175" t="e">
        <f t="shared" si="18"/>
        <v>#DIV/0!</v>
      </c>
      <c r="AI134" s="175" t="e">
        <f t="shared" si="18"/>
        <v>#DIV/0!</v>
      </c>
      <c r="AJ134" s="175" t="e">
        <f t="shared" si="18"/>
        <v>#DIV/0!</v>
      </c>
      <c r="AK134" s="175" t="e">
        <f t="shared" si="18"/>
        <v>#DIV/0!</v>
      </c>
    </row>
    <row r="135" spans="2:37" x14ac:dyDescent="0.15">
      <c r="B135" s="102" t="s">
        <v>1174</v>
      </c>
      <c r="C135" s="98">
        <f>SUMIFS('caseload data'!E:E,'caseload data'!$D:$D,"SPO",'caseload data'!$A:$A,$B$109)</f>
        <v>0</v>
      </c>
      <c r="D135" s="98">
        <f>SUMIFS('caseload data'!F:F,'caseload data'!$D:$D,"SPO",'caseload data'!$A:$A,$B$109)</f>
        <v>0</v>
      </c>
      <c r="E135" s="98">
        <f>SUMIFS('caseload data'!G:G,'caseload data'!$D:$D,"SPO",'caseload data'!$A:$A,$B$109)</f>
        <v>0</v>
      </c>
      <c r="F135" s="98">
        <f>SUMIFS('caseload data'!H:H,'caseload data'!$D:$D,"SPO",'caseload data'!$A:$A,$B$109)</f>
        <v>0</v>
      </c>
      <c r="G135" s="98">
        <f>SUMIFS('caseload data'!I:I,'caseload data'!$D:$D,"SPO",'caseload data'!$A:$A,$B$109)</f>
        <v>0</v>
      </c>
      <c r="H135" s="98">
        <f>SUMIFS('caseload data'!J:J,'caseload data'!$D:$D,"SPO",'caseload data'!$A:$A,$B$109)</f>
        <v>0</v>
      </c>
      <c r="I135" s="98">
        <f>SUMIFS('caseload data'!K:K,'caseload data'!$D:$D,"SPO",'caseload data'!$A:$A,$B$109)</f>
        <v>0</v>
      </c>
      <c r="J135" s="98">
        <f>SUMIFS('caseload data'!L:L,'caseload data'!$D:$D,"SPO",'caseload data'!$A:$A,$B$109)</f>
        <v>0</v>
      </c>
      <c r="K135" s="98">
        <f>SUMIFS('caseload data'!M:M,'caseload data'!$D:$D,"SPO",'caseload data'!$A:$A,$B$109)</f>
        <v>0</v>
      </c>
      <c r="L135" s="98">
        <f>SUMIFS('caseload data'!N:N,'caseload data'!$D:$D,"SPO",'caseload data'!$A:$A,$B$109)</f>
        <v>0</v>
      </c>
      <c r="M135" s="98">
        <f>SUMIFS('caseload data'!O:O,'caseload data'!$D:$D,"SPO",'caseload data'!$A:$A,$B$109)</f>
        <v>0</v>
      </c>
      <c r="N135" s="98">
        <f>SUMIFS('caseload data'!P:P,'caseload data'!$D:$D,"SPO",'caseload data'!$A:$A,$B$109)</f>
        <v>0</v>
      </c>
      <c r="O135" s="98">
        <f>SUMIFS('caseload data'!Q:Q,'caseload data'!$D:$D,"SPO",'caseload data'!$A:$A,$B$109)</f>
        <v>0</v>
      </c>
      <c r="P135" s="98">
        <f>SUMIFS('caseload data'!R:R,'caseload data'!$D:$D,"SPO",'caseload data'!$A:$A,$B$109)</f>
        <v>0</v>
      </c>
      <c r="Q135" s="98">
        <f>SUMIFS('caseload data'!S:S,'caseload data'!$D:$D,"SPO",'caseload data'!$A:$A,$B$109)</f>
        <v>0</v>
      </c>
      <c r="R135" s="98">
        <f>SUMIFS('caseload data'!T:T,'caseload data'!$D:$D,"SPO",'caseload data'!$A:$A,$B$109)</f>
        <v>0</v>
      </c>
      <c r="U135" s="102" t="s">
        <v>1174</v>
      </c>
      <c r="V135" s="175" t="e">
        <f>C$135/SUM(C$132:C$135)</f>
        <v>#DIV/0!</v>
      </c>
      <c r="W135" s="175" t="e">
        <f>D$135/SUM(D$132:D$135)</f>
        <v>#DIV/0!</v>
      </c>
      <c r="X135" s="175" t="e">
        <f t="shared" ref="X135:AK135" si="19">E$135/SUM(E$132:E$135)</f>
        <v>#DIV/0!</v>
      </c>
      <c r="Y135" s="175" t="e">
        <f t="shared" si="19"/>
        <v>#DIV/0!</v>
      </c>
      <c r="Z135" s="175" t="e">
        <f t="shared" si="19"/>
        <v>#DIV/0!</v>
      </c>
      <c r="AA135" s="175" t="e">
        <f t="shared" si="19"/>
        <v>#DIV/0!</v>
      </c>
      <c r="AB135" s="175" t="e">
        <f t="shared" si="19"/>
        <v>#DIV/0!</v>
      </c>
      <c r="AC135" s="175" t="e">
        <f t="shared" si="19"/>
        <v>#DIV/0!</v>
      </c>
      <c r="AD135" s="175" t="e">
        <f t="shared" si="19"/>
        <v>#DIV/0!</v>
      </c>
      <c r="AE135" s="175" t="e">
        <f t="shared" si="19"/>
        <v>#DIV/0!</v>
      </c>
      <c r="AF135" s="175" t="e">
        <f t="shared" si="19"/>
        <v>#DIV/0!</v>
      </c>
      <c r="AG135" s="175" t="e">
        <f t="shared" si="19"/>
        <v>#DIV/0!</v>
      </c>
      <c r="AH135" s="175" t="e">
        <f t="shared" si="19"/>
        <v>#DIV/0!</v>
      </c>
      <c r="AI135" s="175" t="e">
        <f t="shared" si="19"/>
        <v>#DIV/0!</v>
      </c>
      <c r="AJ135" s="175" t="e">
        <f t="shared" si="19"/>
        <v>#DIV/0!</v>
      </c>
      <c r="AK135" s="175" t="e">
        <f t="shared" si="19"/>
        <v>#DIV/0!</v>
      </c>
    </row>
  </sheetData>
  <sortState xmlns:xlrd2="http://schemas.microsoft.com/office/spreadsheetml/2017/richdata2" ref="B34:D88">
    <sortCondition ref="B34:B88"/>
  </sortState>
  <mergeCells count="20">
    <mergeCell ref="V123:AK123"/>
    <mergeCell ref="V130:AK130"/>
    <mergeCell ref="C116:R116"/>
    <mergeCell ref="C123:R123"/>
    <mergeCell ref="C130:R130"/>
    <mergeCell ref="B19:H19"/>
    <mergeCell ref="B13:M13"/>
    <mergeCell ref="A1:M1"/>
    <mergeCell ref="V109:AK109"/>
    <mergeCell ref="V116:AK116"/>
    <mergeCell ref="F37:F40"/>
    <mergeCell ref="G37:G40"/>
    <mergeCell ref="B26:K26"/>
    <mergeCell ref="B32:D32"/>
    <mergeCell ref="F32:G32"/>
    <mergeCell ref="A2:L2"/>
    <mergeCell ref="C91:S91"/>
    <mergeCell ref="C98:R98"/>
    <mergeCell ref="C109:R109"/>
    <mergeCell ref="U104:AK104"/>
  </mergeCells>
  <conditionalFormatting sqref="C9:F10">
    <cfRule type="cellIs" dxfId="6844" priority="351" operator="lessThan">
      <formula>0.9</formula>
    </cfRule>
    <cfRule type="cellIs" dxfId="6843" priority="352" operator="greaterThanOrEqual">
      <formula>1.1</formula>
    </cfRule>
  </conditionalFormatting>
  <conditionalFormatting sqref="C112:F113 C126:F127 C133:F134 C119:F120">
    <cfRule type="cellIs" dxfId="6842" priority="337" operator="equal">
      <formula>0</formula>
    </cfRule>
    <cfRule type="cellIs" dxfId="6841" priority="338" operator="notEqual">
      <formula>0</formula>
    </cfRule>
  </conditionalFormatting>
  <conditionalFormatting sqref="G112:G113">
    <cfRule type="cellIs" dxfId="6840" priority="255" operator="equal">
      <formula>0</formula>
    </cfRule>
    <cfRule type="cellIs" dxfId="6839" priority="256" operator="notEqual">
      <formula>0</formula>
    </cfRule>
  </conditionalFormatting>
  <conditionalFormatting sqref="H112:H113">
    <cfRule type="cellIs" dxfId="6838" priority="253" operator="equal">
      <formula>0</formula>
    </cfRule>
    <cfRule type="cellIs" dxfId="6837" priority="254" operator="notEqual">
      <formula>0</formula>
    </cfRule>
  </conditionalFormatting>
  <conditionalFormatting sqref="I112:I113">
    <cfRule type="cellIs" dxfId="6836" priority="251" operator="equal">
      <formula>0</formula>
    </cfRule>
    <cfRule type="cellIs" dxfId="6835" priority="252" operator="notEqual">
      <formula>0</formula>
    </cfRule>
  </conditionalFormatting>
  <conditionalFormatting sqref="J112:J113">
    <cfRule type="cellIs" dxfId="6834" priority="249" operator="equal">
      <formula>0</formula>
    </cfRule>
    <cfRule type="cellIs" dxfId="6833" priority="250" operator="notEqual">
      <formula>0</formula>
    </cfRule>
  </conditionalFormatting>
  <conditionalFormatting sqref="O111">
    <cfRule type="cellIs" dxfId="6832" priority="247" operator="equal">
      <formula>0</formula>
    </cfRule>
    <cfRule type="cellIs" dxfId="6831" priority="248" operator="notEqual">
      <formula>0</formula>
    </cfRule>
  </conditionalFormatting>
  <conditionalFormatting sqref="O114">
    <cfRule type="cellIs" dxfId="6830" priority="245" operator="equal">
      <formula>0</formula>
    </cfRule>
    <cfRule type="cellIs" dxfId="6829" priority="246" operator="notEqual">
      <formula>0</formula>
    </cfRule>
  </conditionalFormatting>
  <conditionalFormatting sqref="P111">
    <cfRule type="cellIs" dxfId="6828" priority="243" operator="equal">
      <formula>0</formula>
    </cfRule>
    <cfRule type="cellIs" dxfId="6827" priority="244" operator="notEqual">
      <formula>0</formula>
    </cfRule>
  </conditionalFormatting>
  <conditionalFormatting sqref="P114">
    <cfRule type="cellIs" dxfId="6826" priority="241" operator="equal">
      <formula>0</formula>
    </cfRule>
    <cfRule type="cellIs" dxfId="6825" priority="242" operator="notEqual">
      <formula>0</formula>
    </cfRule>
  </conditionalFormatting>
  <conditionalFormatting sqref="Q111">
    <cfRule type="cellIs" dxfId="6824" priority="239" operator="equal">
      <formula>0</formula>
    </cfRule>
    <cfRule type="cellIs" dxfId="6823" priority="240" operator="notEqual">
      <formula>0</formula>
    </cfRule>
  </conditionalFormatting>
  <conditionalFormatting sqref="Q114">
    <cfRule type="cellIs" dxfId="6822" priority="237" operator="equal">
      <formula>0</formula>
    </cfRule>
    <cfRule type="cellIs" dxfId="6821" priority="238" operator="notEqual">
      <formula>0</formula>
    </cfRule>
  </conditionalFormatting>
  <conditionalFormatting sqref="R111">
    <cfRule type="cellIs" dxfId="6820" priority="235" operator="equal">
      <formula>0</formula>
    </cfRule>
    <cfRule type="cellIs" dxfId="6819" priority="236" operator="notEqual">
      <formula>0</formula>
    </cfRule>
  </conditionalFormatting>
  <conditionalFormatting sqref="R114">
    <cfRule type="cellIs" dxfId="6818" priority="233" operator="equal">
      <formula>0</formula>
    </cfRule>
    <cfRule type="cellIs" dxfId="6817" priority="234" operator="notEqual">
      <formula>0</formula>
    </cfRule>
  </conditionalFormatting>
  <conditionalFormatting sqref="G126:G127">
    <cfRule type="cellIs" dxfId="6816" priority="203" operator="equal">
      <formula>0</formula>
    </cfRule>
    <cfRule type="cellIs" dxfId="6815" priority="204" operator="notEqual">
      <formula>0</formula>
    </cfRule>
  </conditionalFormatting>
  <conditionalFormatting sqref="H126:H127">
    <cfRule type="cellIs" dxfId="6814" priority="201" operator="equal">
      <formula>0</formula>
    </cfRule>
    <cfRule type="cellIs" dxfId="6813" priority="202" operator="notEqual">
      <formula>0</formula>
    </cfRule>
  </conditionalFormatting>
  <conditionalFormatting sqref="I126:I127">
    <cfRule type="cellIs" dxfId="6812" priority="199" operator="equal">
      <formula>0</formula>
    </cfRule>
    <cfRule type="cellIs" dxfId="6811" priority="200" operator="notEqual">
      <formula>0</formula>
    </cfRule>
  </conditionalFormatting>
  <conditionalFormatting sqref="J126:J127">
    <cfRule type="cellIs" dxfId="6810" priority="197" operator="equal">
      <formula>0</formula>
    </cfRule>
    <cfRule type="cellIs" dxfId="6809" priority="198" operator="notEqual">
      <formula>0</formula>
    </cfRule>
  </conditionalFormatting>
  <conditionalFormatting sqref="O125">
    <cfRule type="cellIs" dxfId="6808" priority="195" operator="equal">
      <formula>0</formula>
    </cfRule>
    <cfRule type="cellIs" dxfId="6807" priority="196" operator="notEqual">
      <formula>0</formula>
    </cfRule>
  </conditionalFormatting>
  <conditionalFormatting sqref="O128">
    <cfRule type="cellIs" dxfId="6806" priority="193" operator="equal">
      <formula>0</formula>
    </cfRule>
    <cfRule type="cellIs" dxfId="6805" priority="194" operator="notEqual">
      <formula>0</formula>
    </cfRule>
  </conditionalFormatting>
  <conditionalFormatting sqref="P125">
    <cfRule type="cellIs" dxfId="6804" priority="191" operator="equal">
      <formula>0</formula>
    </cfRule>
    <cfRule type="cellIs" dxfId="6803" priority="192" operator="notEqual">
      <formula>0</formula>
    </cfRule>
  </conditionalFormatting>
  <conditionalFormatting sqref="P128">
    <cfRule type="cellIs" dxfId="6802" priority="189" operator="equal">
      <formula>0</formula>
    </cfRule>
    <cfRule type="cellIs" dxfId="6801" priority="190" operator="notEqual">
      <formula>0</formula>
    </cfRule>
  </conditionalFormatting>
  <conditionalFormatting sqref="Q125">
    <cfRule type="cellIs" dxfId="6800" priority="187" operator="equal">
      <formula>0</formula>
    </cfRule>
    <cfRule type="cellIs" dxfId="6799" priority="188" operator="notEqual">
      <formula>0</formula>
    </cfRule>
  </conditionalFormatting>
  <conditionalFormatting sqref="Q128">
    <cfRule type="cellIs" dxfId="6798" priority="185" operator="equal">
      <formula>0</formula>
    </cfRule>
    <cfRule type="cellIs" dxfId="6797" priority="186" operator="notEqual">
      <formula>0</formula>
    </cfRule>
  </conditionalFormatting>
  <conditionalFormatting sqref="R125">
    <cfRule type="cellIs" dxfId="6796" priority="183" operator="equal">
      <formula>0</formula>
    </cfRule>
    <cfRule type="cellIs" dxfId="6795" priority="184" operator="notEqual">
      <formula>0</formula>
    </cfRule>
  </conditionalFormatting>
  <conditionalFormatting sqref="R128">
    <cfRule type="cellIs" dxfId="6794" priority="181" operator="equal">
      <formula>0</formula>
    </cfRule>
    <cfRule type="cellIs" dxfId="6793" priority="182" operator="notEqual">
      <formula>0</formula>
    </cfRule>
  </conditionalFormatting>
  <conditionalFormatting sqref="G133:G134">
    <cfRule type="cellIs" dxfId="6792" priority="177" operator="equal">
      <formula>0</formula>
    </cfRule>
    <cfRule type="cellIs" dxfId="6791" priority="178" operator="notEqual">
      <formula>0</formula>
    </cfRule>
  </conditionalFormatting>
  <conditionalFormatting sqref="H133:H134">
    <cfRule type="cellIs" dxfId="6790" priority="175" operator="equal">
      <formula>0</formula>
    </cfRule>
    <cfRule type="cellIs" dxfId="6789" priority="176" operator="notEqual">
      <formula>0</formula>
    </cfRule>
  </conditionalFormatting>
  <conditionalFormatting sqref="I133:I134">
    <cfRule type="cellIs" dxfId="6788" priority="173" operator="equal">
      <formula>0</formula>
    </cfRule>
    <cfRule type="cellIs" dxfId="6787" priority="174" operator="notEqual">
      <formula>0</formula>
    </cfRule>
  </conditionalFormatting>
  <conditionalFormatting sqref="J133:J134">
    <cfRule type="cellIs" dxfId="6786" priority="171" operator="equal">
      <formula>0</formula>
    </cfRule>
    <cfRule type="cellIs" dxfId="6785" priority="172" operator="notEqual">
      <formula>0</formula>
    </cfRule>
  </conditionalFormatting>
  <conditionalFormatting sqref="O132">
    <cfRule type="cellIs" dxfId="6784" priority="169" operator="equal">
      <formula>0</formula>
    </cfRule>
    <cfRule type="cellIs" dxfId="6783" priority="170" operator="notEqual">
      <formula>0</formula>
    </cfRule>
  </conditionalFormatting>
  <conditionalFormatting sqref="O135">
    <cfRule type="cellIs" dxfId="6782" priority="167" operator="equal">
      <formula>0</formula>
    </cfRule>
    <cfRule type="cellIs" dxfId="6781" priority="168" operator="notEqual">
      <formula>0</formula>
    </cfRule>
  </conditionalFormatting>
  <conditionalFormatting sqref="P132">
    <cfRule type="cellIs" dxfId="6780" priority="165" operator="equal">
      <formula>0</formula>
    </cfRule>
    <cfRule type="cellIs" dxfId="6779" priority="166" operator="notEqual">
      <formula>0</formula>
    </cfRule>
  </conditionalFormatting>
  <conditionalFormatting sqref="P135">
    <cfRule type="cellIs" dxfId="6778" priority="163" operator="equal">
      <formula>0</formula>
    </cfRule>
    <cfRule type="cellIs" dxfId="6777" priority="164" operator="notEqual">
      <formula>0</formula>
    </cfRule>
  </conditionalFormatting>
  <conditionalFormatting sqref="Q132">
    <cfRule type="cellIs" dxfId="6776" priority="161" operator="equal">
      <formula>0</formula>
    </cfRule>
    <cfRule type="cellIs" dxfId="6775" priority="162" operator="notEqual">
      <formula>0</formula>
    </cfRule>
  </conditionalFormatting>
  <conditionalFormatting sqref="Q135">
    <cfRule type="cellIs" dxfId="6774" priority="159" operator="equal">
      <formula>0</formula>
    </cfRule>
    <cfRule type="cellIs" dxfId="6773" priority="160" operator="notEqual">
      <formula>0</formula>
    </cfRule>
  </conditionalFormatting>
  <conditionalFormatting sqref="R132">
    <cfRule type="cellIs" dxfId="6772" priority="157" operator="equal">
      <formula>0</formula>
    </cfRule>
    <cfRule type="cellIs" dxfId="6771" priority="158" operator="notEqual">
      <formula>0</formula>
    </cfRule>
  </conditionalFormatting>
  <conditionalFormatting sqref="R135">
    <cfRule type="cellIs" dxfId="6770" priority="155" operator="equal">
      <formula>0</formula>
    </cfRule>
    <cfRule type="cellIs" dxfId="6769" priority="156" operator="notEqual">
      <formula>0</formula>
    </cfRule>
  </conditionalFormatting>
  <conditionalFormatting sqref="V112:V113">
    <cfRule type="cellIs" dxfId="6768" priority="153" operator="equal">
      <formula>0</formula>
    </cfRule>
    <cfRule type="cellIs" dxfId="6767" priority="154" operator="notEqual">
      <formula>0</formula>
    </cfRule>
  </conditionalFormatting>
  <conditionalFormatting sqref="W112:W113">
    <cfRule type="cellIs" dxfId="6766" priority="151" operator="equal">
      <formula>0</formula>
    </cfRule>
    <cfRule type="cellIs" dxfId="6765" priority="152" operator="notEqual">
      <formula>0</formula>
    </cfRule>
  </conditionalFormatting>
  <conditionalFormatting sqref="X112:X113">
    <cfRule type="cellIs" dxfId="6764" priority="149" operator="equal">
      <formula>0</formula>
    </cfRule>
    <cfRule type="cellIs" dxfId="6763" priority="150" operator="notEqual">
      <formula>0</formula>
    </cfRule>
  </conditionalFormatting>
  <conditionalFormatting sqref="Y112:Y113">
    <cfRule type="cellIs" dxfId="6762" priority="147" operator="equal">
      <formula>0</formula>
    </cfRule>
    <cfRule type="cellIs" dxfId="6761" priority="148" operator="notEqual">
      <formula>0</formula>
    </cfRule>
  </conditionalFormatting>
  <conditionalFormatting sqref="Z112:Z113">
    <cfRule type="cellIs" dxfId="6760" priority="145" operator="equal">
      <formula>0</formula>
    </cfRule>
    <cfRule type="cellIs" dxfId="6759" priority="146" operator="notEqual">
      <formula>0</formula>
    </cfRule>
  </conditionalFormatting>
  <conditionalFormatting sqref="AA112:AA113">
    <cfRule type="cellIs" dxfId="6758" priority="143" operator="equal">
      <formula>0</formula>
    </cfRule>
    <cfRule type="cellIs" dxfId="6757" priority="144" operator="notEqual">
      <formula>0</formula>
    </cfRule>
  </conditionalFormatting>
  <conditionalFormatting sqref="AB112:AB113">
    <cfRule type="cellIs" dxfId="6756" priority="141" operator="equal">
      <formula>0</formula>
    </cfRule>
    <cfRule type="cellIs" dxfId="6755" priority="142" operator="notEqual">
      <formula>0</formula>
    </cfRule>
  </conditionalFormatting>
  <conditionalFormatting sqref="AC112:AC113">
    <cfRule type="cellIs" dxfId="6754" priority="139" operator="equal">
      <formula>0</formula>
    </cfRule>
    <cfRule type="cellIs" dxfId="6753" priority="140" operator="notEqual">
      <formula>0</formula>
    </cfRule>
  </conditionalFormatting>
  <conditionalFormatting sqref="AH111">
    <cfRule type="cellIs" dxfId="6752" priority="137" operator="equal">
      <formula>0</formula>
    </cfRule>
    <cfRule type="cellIs" dxfId="6751" priority="138" operator="notEqual">
      <formula>0</formula>
    </cfRule>
  </conditionalFormatting>
  <conditionalFormatting sqref="AH114">
    <cfRule type="cellIs" dxfId="6750" priority="135" operator="equal">
      <formula>0</formula>
    </cfRule>
    <cfRule type="cellIs" dxfId="6749" priority="136" operator="notEqual">
      <formula>0</formula>
    </cfRule>
  </conditionalFormatting>
  <conditionalFormatting sqref="AI111">
    <cfRule type="cellIs" dxfId="6748" priority="133" operator="equal">
      <formula>0</formula>
    </cfRule>
    <cfRule type="cellIs" dxfId="6747" priority="134" operator="notEqual">
      <formula>0</formula>
    </cfRule>
  </conditionalFormatting>
  <conditionalFormatting sqref="AI114">
    <cfRule type="cellIs" dxfId="6746" priority="131" operator="equal">
      <formula>0</formula>
    </cfRule>
    <cfRule type="cellIs" dxfId="6745" priority="132" operator="notEqual">
      <formula>0</formula>
    </cfRule>
  </conditionalFormatting>
  <conditionalFormatting sqref="AJ111">
    <cfRule type="cellIs" dxfId="6744" priority="129" operator="equal">
      <formula>0</formula>
    </cfRule>
    <cfRule type="cellIs" dxfId="6743" priority="130" operator="notEqual">
      <formula>0</formula>
    </cfRule>
  </conditionalFormatting>
  <conditionalFormatting sqref="AJ114">
    <cfRule type="cellIs" dxfId="6742" priority="127" operator="equal">
      <formula>0</formula>
    </cfRule>
    <cfRule type="cellIs" dxfId="6741" priority="128" operator="notEqual">
      <formula>0</formula>
    </cfRule>
  </conditionalFormatting>
  <conditionalFormatting sqref="AK111">
    <cfRule type="cellIs" dxfId="6740" priority="125" operator="equal">
      <formula>0</formula>
    </cfRule>
    <cfRule type="cellIs" dxfId="6739" priority="126" operator="notEqual">
      <formula>0</formula>
    </cfRule>
  </conditionalFormatting>
  <conditionalFormatting sqref="AK114">
    <cfRule type="cellIs" dxfId="6738" priority="123" operator="equal">
      <formula>0</formula>
    </cfRule>
    <cfRule type="cellIs" dxfId="6737" priority="124" operator="notEqual">
      <formula>0</formula>
    </cfRule>
  </conditionalFormatting>
  <conditionalFormatting sqref="V119:V120">
    <cfRule type="cellIs" dxfId="6736" priority="121" operator="equal">
      <formula>0</formula>
    </cfRule>
    <cfRule type="cellIs" dxfId="6735" priority="122" operator="notEqual">
      <formula>0</formula>
    </cfRule>
  </conditionalFormatting>
  <conditionalFormatting sqref="W119:W120">
    <cfRule type="cellIs" dxfId="6734" priority="119" operator="equal">
      <formula>0</formula>
    </cfRule>
    <cfRule type="cellIs" dxfId="6733" priority="120" operator="notEqual">
      <formula>0</formula>
    </cfRule>
  </conditionalFormatting>
  <conditionalFormatting sqref="X119:X120">
    <cfRule type="cellIs" dxfId="6732" priority="117" operator="equal">
      <formula>0</formula>
    </cfRule>
    <cfRule type="cellIs" dxfId="6731" priority="118" operator="notEqual">
      <formula>0</formula>
    </cfRule>
  </conditionalFormatting>
  <conditionalFormatting sqref="Y119:Y120">
    <cfRule type="cellIs" dxfId="6730" priority="115" operator="equal">
      <formula>0</formula>
    </cfRule>
    <cfRule type="cellIs" dxfId="6729" priority="116" operator="notEqual">
      <formula>0</formula>
    </cfRule>
  </conditionalFormatting>
  <conditionalFormatting sqref="Z119:Z120">
    <cfRule type="cellIs" dxfId="6728" priority="113" operator="equal">
      <formula>0</formula>
    </cfRule>
    <cfRule type="cellIs" dxfId="6727" priority="114" operator="notEqual">
      <formula>0</formula>
    </cfRule>
  </conditionalFormatting>
  <conditionalFormatting sqref="AA119:AA120">
    <cfRule type="cellIs" dxfId="6726" priority="111" operator="equal">
      <formula>0</formula>
    </cfRule>
    <cfRule type="cellIs" dxfId="6725" priority="112" operator="notEqual">
      <formula>0</formula>
    </cfRule>
  </conditionalFormatting>
  <conditionalFormatting sqref="AB119:AB120">
    <cfRule type="cellIs" dxfId="6724" priority="109" operator="equal">
      <formula>0</formula>
    </cfRule>
    <cfRule type="cellIs" dxfId="6723" priority="110" operator="notEqual">
      <formula>0</formula>
    </cfRule>
  </conditionalFormatting>
  <conditionalFormatting sqref="AC119:AC120">
    <cfRule type="cellIs" dxfId="6722" priority="107" operator="equal">
      <formula>0</formula>
    </cfRule>
    <cfRule type="cellIs" dxfId="6721" priority="108" operator="notEqual">
      <formula>0</formula>
    </cfRule>
  </conditionalFormatting>
  <conditionalFormatting sqref="AH118">
    <cfRule type="cellIs" dxfId="6720" priority="105" operator="equal">
      <formula>0</formula>
    </cfRule>
    <cfRule type="cellIs" dxfId="6719" priority="106" operator="notEqual">
      <formula>0</formula>
    </cfRule>
  </conditionalFormatting>
  <conditionalFormatting sqref="AH121">
    <cfRule type="cellIs" dxfId="6718" priority="103" operator="equal">
      <formula>0</formula>
    </cfRule>
    <cfRule type="cellIs" dxfId="6717" priority="104" operator="notEqual">
      <formula>0</formula>
    </cfRule>
  </conditionalFormatting>
  <conditionalFormatting sqref="AI118">
    <cfRule type="cellIs" dxfId="6716" priority="101" operator="equal">
      <formula>0</formula>
    </cfRule>
    <cfRule type="cellIs" dxfId="6715" priority="102" operator="notEqual">
      <formula>0</formula>
    </cfRule>
  </conditionalFormatting>
  <conditionalFormatting sqref="AI121">
    <cfRule type="cellIs" dxfId="6714" priority="99" operator="equal">
      <formula>0</formula>
    </cfRule>
    <cfRule type="cellIs" dxfId="6713" priority="100" operator="notEqual">
      <formula>0</formula>
    </cfRule>
  </conditionalFormatting>
  <conditionalFormatting sqref="AJ118">
    <cfRule type="cellIs" dxfId="6712" priority="97" operator="equal">
      <formula>0</formula>
    </cfRule>
    <cfRule type="cellIs" dxfId="6711" priority="98" operator="notEqual">
      <formula>0</formula>
    </cfRule>
  </conditionalFormatting>
  <conditionalFormatting sqref="AJ121">
    <cfRule type="cellIs" dxfId="6710" priority="95" operator="equal">
      <formula>0</formula>
    </cfRule>
    <cfRule type="cellIs" dxfId="6709" priority="96" operator="notEqual">
      <formula>0</formula>
    </cfRule>
  </conditionalFormatting>
  <conditionalFormatting sqref="AK118">
    <cfRule type="cellIs" dxfId="6708" priority="93" operator="equal">
      <formula>0</formula>
    </cfRule>
    <cfRule type="cellIs" dxfId="6707" priority="94" operator="notEqual">
      <formula>0</formula>
    </cfRule>
  </conditionalFormatting>
  <conditionalFormatting sqref="AK121">
    <cfRule type="cellIs" dxfId="6706" priority="91" operator="equal">
      <formula>0</formula>
    </cfRule>
    <cfRule type="cellIs" dxfId="6705" priority="92" operator="notEqual">
      <formula>0</formula>
    </cfRule>
  </conditionalFormatting>
  <conditionalFormatting sqref="V126:V127">
    <cfRule type="cellIs" dxfId="6704" priority="89" operator="equal">
      <formula>0</formula>
    </cfRule>
    <cfRule type="cellIs" dxfId="6703" priority="90" operator="notEqual">
      <formula>0</formula>
    </cfRule>
  </conditionalFormatting>
  <conditionalFormatting sqref="W126:W127">
    <cfRule type="cellIs" dxfId="6702" priority="87" operator="equal">
      <formula>0</formula>
    </cfRule>
    <cfRule type="cellIs" dxfId="6701" priority="88" operator="notEqual">
      <formula>0</formula>
    </cfRule>
  </conditionalFormatting>
  <conditionalFormatting sqref="X126:X127">
    <cfRule type="cellIs" dxfId="6700" priority="85" operator="equal">
      <formula>0</formula>
    </cfRule>
    <cfRule type="cellIs" dxfId="6699" priority="86" operator="notEqual">
      <formula>0</formula>
    </cfRule>
  </conditionalFormatting>
  <conditionalFormatting sqref="Y126:Y127">
    <cfRule type="cellIs" dxfId="6698" priority="83" operator="equal">
      <formula>0</formula>
    </cfRule>
    <cfRule type="cellIs" dxfId="6697" priority="84" operator="notEqual">
      <formula>0</formula>
    </cfRule>
  </conditionalFormatting>
  <conditionalFormatting sqref="Z126:Z127">
    <cfRule type="cellIs" dxfId="6696" priority="81" operator="equal">
      <formula>0</formula>
    </cfRule>
    <cfRule type="cellIs" dxfId="6695" priority="82" operator="notEqual">
      <formula>0</formula>
    </cfRule>
  </conditionalFormatting>
  <conditionalFormatting sqref="AA126:AA127">
    <cfRule type="cellIs" dxfId="6694" priority="79" operator="equal">
      <formula>0</formula>
    </cfRule>
    <cfRule type="cellIs" dxfId="6693" priority="80" operator="notEqual">
      <formula>0</formula>
    </cfRule>
  </conditionalFormatting>
  <conditionalFormatting sqref="AB126:AB127">
    <cfRule type="cellIs" dxfId="6692" priority="77" operator="equal">
      <formula>0</formula>
    </cfRule>
    <cfRule type="cellIs" dxfId="6691" priority="78" operator="notEqual">
      <formula>0</formula>
    </cfRule>
  </conditionalFormatting>
  <conditionalFormatting sqref="AC126:AC127">
    <cfRule type="cellIs" dxfId="6690" priority="75" operator="equal">
      <formula>0</formula>
    </cfRule>
    <cfRule type="cellIs" dxfId="6689" priority="76" operator="notEqual">
      <formula>0</formula>
    </cfRule>
  </conditionalFormatting>
  <conditionalFormatting sqref="AH125">
    <cfRule type="cellIs" dxfId="6688" priority="73" operator="equal">
      <formula>0</formula>
    </cfRule>
    <cfRule type="cellIs" dxfId="6687" priority="74" operator="notEqual">
      <formula>0</formula>
    </cfRule>
  </conditionalFormatting>
  <conditionalFormatting sqref="AH128">
    <cfRule type="cellIs" dxfId="6686" priority="71" operator="equal">
      <formula>0</formula>
    </cfRule>
    <cfRule type="cellIs" dxfId="6685" priority="72" operator="notEqual">
      <formula>0</formula>
    </cfRule>
  </conditionalFormatting>
  <conditionalFormatting sqref="AI125">
    <cfRule type="cellIs" dxfId="6684" priority="69" operator="equal">
      <formula>0</formula>
    </cfRule>
    <cfRule type="cellIs" dxfId="6683" priority="70" operator="notEqual">
      <formula>0</formula>
    </cfRule>
  </conditionalFormatting>
  <conditionalFormatting sqref="AI128">
    <cfRule type="cellIs" dxfId="6682" priority="67" operator="equal">
      <formula>0</formula>
    </cfRule>
    <cfRule type="cellIs" dxfId="6681" priority="68" operator="notEqual">
      <formula>0</formula>
    </cfRule>
  </conditionalFormatting>
  <conditionalFormatting sqref="AJ125">
    <cfRule type="cellIs" dxfId="6680" priority="65" operator="equal">
      <formula>0</formula>
    </cfRule>
    <cfRule type="cellIs" dxfId="6679" priority="66" operator="notEqual">
      <formula>0</formula>
    </cfRule>
  </conditionalFormatting>
  <conditionalFormatting sqref="AJ128">
    <cfRule type="cellIs" dxfId="6678" priority="63" operator="equal">
      <formula>0</formula>
    </cfRule>
    <cfRule type="cellIs" dxfId="6677" priority="64" operator="notEqual">
      <formula>0</formula>
    </cfRule>
  </conditionalFormatting>
  <conditionalFormatting sqref="AK125">
    <cfRule type="cellIs" dxfId="6676" priority="61" operator="equal">
      <formula>0</formula>
    </cfRule>
    <cfRule type="cellIs" dxfId="6675" priority="62" operator="notEqual">
      <formula>0</formula>
    </cfRule>
  </conditionalFormatting>
  <conditionalFormatting sqref="AK128">
    <cfRule type="cellIs" dxfId="6674" priority="59" operator="equal">
      <formula>0</formula>
    </cfRule>
    <cfRule type="cellIs" dxfId="6673" priority="60" operator="notEqual">
      <formula>0</formula>
    </cfRule>
  </conditionalFormatting>
  <conditionalFormatting sqref="V133:V134">
    <cfRule type="cellIs" dxfId="6672" priority="57" operator="equal">
      <formula>0</formula>
    </cfRule>
    <cfRule type="cellIs" dxfId="6671" priority="58" operator="notEqual">
      <formula>0</formula>
    </cfRule>
  </conditionalFormatting>
  <conditionalFormatting sqref="W133:W134">
    <cfRule type="cellIs" dxfId="6670" priority="55" operator="equal">
      <formula>0</formula>
    </cfRule>
    <cfRule type="cellIs" dxfId="6669" priority="56" operator="notEqual">
      <formula>0</formula>
    </cfRule>
  </conditionalFormatting>
  <conditionalFormatting sqref="X133:X134">
    <cfRule type="cellIs" dxfId="6668" priority="53" operator="equal">
      <formula>0</formula>
    </cfRule>
    <cfRule type="cellIs" dxfId="6667" priority="54" operator="notEqual">
      <formula>0</formula>
    </cfRule>
  </conditionalFormatting>
  <conditionalFormatting sqref="Y133:Y134">
    <cfRule type="cellIs" dxfId="6666" priority="51" operator="equal">
      <formula>0</formula>
    </cfRule>
    <cfRule type="cellIs" dxfId="6665" priority="52" operator="notEqual">
      <formula>0</formula>
    </cfRule>
  </conditionalFormatting>
  <conditionalFormatting sqref="Z133:Z134">
    <cfRule type="cellIs" dxfId="6664" priority="49" operator="equal">
      <formula>0</formula>
    </cfRule>
    <cfRule type="cellIs" dxfId="6663" priority="50" operator="notEqual">
      <formula>0</formula>
    </cfRule>
  </conditionalFormatting>
  <conditionalFormatting sqref="AA133:AA134">
    <cfRule type="cellIs" dxfId="6662" priority="47" operator="equal">
      <formula>0</formula>
    </cfRule>
    <cfRule type="cellIs" dxfId="6661" priority="48" operator="notEqual">
      <formula>0</formula>
    </cfRule>
  </conditionalFormatting>
  <conditionalFormatting sqref="AB133:AB134">
    <cfRule type="cellIs" dxfId="6660" priority="45" operator="equal">
      <formula>0</formula>
    </cfRule>
    <cfRule type="cellIs" dxfId="6659" priority="46" operator="notEqual">
      <formula>0</formula>
    </cfRule>
  </conditionalFormatting>
  <conditionalFormatting sqref="AC133:AC134">
    <cfRule type="cellIs" dxfId="6658" priority="43" operator="equal">
      <formula>0</formula>
    </cfRule>
    <cfRule type="cellIs" dxfId="6657" priority="44" operator="notEqual">
      <formula>0</formula>
    </cfRule>
  </conditionalFormatting>
  <conditionalFormatting sqref="AH132">
    <cfRule type="cellIs" dxfId="6656" priority="41" operator="equal">
      <formula>0</formula>
    </cfRule>
    <cfRule type="cellIs" dxfId="6655" priority="42" operator="notEqual">
      <formula>0</formula>
    </cfRule>
  </conditionalFormatting>
  <conditionalFormatting sqref="AH135">
    <cfRule type="cellIs" dxfId="6654" priority="39" operator="equal">
      <formula>0</formula>
    </cfRule>
    <cfRule type="cellIs" dxfId="6653" priority="40" operator="notEqual">
      <formula>0</formula>
    </cfRule>
  </conditionalFormatting>
  <conditionalFormatting sqref="AI132">
    <cfRule type="cellIs" dxfId="6652" priority="37" operator="equal">
      <formula>0</formula>
    </cfRule>
    <cfRule type="cellIs" dxfId="6651" priority="38" operator="notEqual">
      <formula>0</formula>
    </cfRule>
  </conditionalFormatting>
  <conditionalFormatting sqref="AI135">
    <cfRule type="cellIs" dxfId="6650" priority="35" operator="equal">
      <formula>0</formula>
    </cfRule>
    <cfRule type="cellIs" dxfId="6649" priority="36" operator="notEqual">
      <formula>0</formula>
    </cfRule>
  </conditionalFormatting>
  <conditionalFormatting sqref="AJ132">
    <cfRule type="cellIs" dxfId="6648" priority="33" operator="equal">
      <formula>0</formula>
    </cfRule>
    <cfRule type="cellIs" dxfId="6647" priority="34" operator="notEqual">
      <formula>0</formula>
    </cfRule>
  </conditionalFormatting>
  <conditionalFormatting sqref="AJ135">
    <cfRule type="cellIs" dxfId="6646" priority="31" operator="equal">
      <formula>0</formula>
    </cfRule>
    <cfRule type="cellIs" dxfId="6645" priority="32" operator="notEqual">
      <formula>0</formula>
    </cfRule>
  </conditionalFormatting>
  <conditionalFormatting sqref="AK132">
    <cfRule type="cellIs" dxfId="6644" priority="29" operator="equal">
      <formula>0</formula>
    </cfRule>
    <cfRule type="cellIs" dxfId="6643" priority="30" operator="notEqual">
      <formula>0</formula>
    </cfRule>
  </conditionalFormatting>
  <conditionalFormatting sqref="AK135">
    <cfRule type="cellIs" dxfId="6642" priority="27" operator="equal">
      <formula>0</formula>
    </cfRule>
    <cfRule type="cellIs" dxfId="6641" priority="28" operator="notEqual">
      <formula>0</formula>
    </cfRule>
  </conditionalFormatting>
  <conditionalFormatting sqref="G119:G120">
    <cfRule type="cellIs" dxfId="6640" priority="23" operator="equal">
      <formula>0</formula>
    </cfRule>
    <cfRule type="cellIs" dxfId="6639" priority="24" operator="notEqual">
      <formula>0</formula>
    </cfRule>
  </conditionalFormatting>
  <conditionalFormatting sqref="H119:H120">
    <cfRule type="cellIs" dxfId="6638" priority="21" operator="equal">
      <formula>0</formula>
    </cfRule>
    <cfRule type="cellIs" dxfId="6637" priority="22" operator="notEqual">
      <formula>0</formula>
    </cfRule>
  </conditionalFormatting>
  <conditionalFormatting sqref="I119:I120">
    <cfRule type="cellIs" dxfId="6636" priority="19" operator="equal">
      <formula>0</formula>
    </cfRule>
    <cfRule type="cellIs" dxfId="6635" priority="20" operator="notEqual">
      <formula>0</formula>
    </cfRule>
  </conditionalFormatting>
  <conditionalFormatting sqref="J119:J120">
    <cfRule type="cellIs" dxfId="6634" priority="17" operator="equal">
      <formula>0</formula>
    </cfRule>
    <cfRule type="cellIs" dxfId="6633" priority="18" operator="notEqual">
      <formula>0</formula>
    </cfRule>
  </conditionalFormatting>
  <conditionalFormatting sqref="O118">
    <cfRule type="cellIs" dxfId="6632" priority="15" operator="equal">
      <formula>0</formula>
    </cfRule>
    <cfRule type="cellIs" dxfId="6631" priority="16" operator="notEqual">
      <formula>0</formula>
    </cfRule>
  </conditionalFormatting>
  <conditionalFormatting sqref="O121">
    <cfRule type="cellIs" dxfId="6630" priority="13" operator="equal">
      <formula>0</formula>
    </cfRule>
    <cfRule type="cellIs" dxfId="6629" priority="14" operator="notEqual">
      <formula>0</formula>
    </cfRule>
  </conditionalFormatting>
  <conditionalFormatting sqref="P118">
    <cfRule type="cellIs" dxfId="6628" priority="11" operator="equal">
      <formula>0</formula>
    </cfRule>
    <cfRule type="cellIs" dxfId="6627" priority="12" operator="notEqual">
      <formula>0</formula>
    </cfRule>
  </conditionalFormatting>
  <conditionalFormatting sqref="P121">
    <cfRule type="cellIs" dxfId="6626" priority="9" operator="equal">
      <formula>0</formula>
    </cfRule>
    <cfRule type="cellIs" dxfId="6625" priority="10" operator="notEqual">
      <formula>0</formula>
    </cfRule>
  </conditionalFormatting>
  <conditionalFormatting sqref="Q118">
    <cfRule type="cellIs" dxfId="6624" priority="7" operator="equal">
      <formula>0</formula>
    </cfRule>
    <cfRule type="cellIs" dxfId="6623" priority="8" operator="notEqual">
      <formula>0</formula>
    </cfRule>
  </conditionalFormatting>
  <conditionalFormatting sqref="Q121">
    <cfRule type="cellIs" dxfId="6622" priority="5" operator="equal">
      <formula>0</formula>
    </cfRule>
    <cfRule type="cellIs" dxfId="6621" priority="6" operator="notEqual">
      <formula>0</formula>
    </cfRule>
  </conditionalFormatting>
  <conditionalFormatting sqref="R118">
    <cfRule type="cellIs" dxfId="6620" priority="3" operator="equal">
      <formula>0</formula>
    </cfRule>
    <cfRule type="cellIs" dxfId="6619" priority="4" operator="notEqual">
      <formula>0</formula>
    </cfRule>
  </conditionalFormatting>
  <conditionalFormatting sqref="R121">
    <cfRule type="cellIs" dxfId="6618" priority="1" operator="equal">
      <formula>0</formula>
    </cfRule>
    <cfRule type="cellIs" dxfId="6617"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68"/>
  <sheetViews>
    <sheetView showGridLines="0" zoomScale="87" zoomScaleNormal="64" workbookViewId="0">
      <selection activeCell="B5" sqref="B5"/>
    </sheetView>
  </sheetViews>
  <sheetFormatPr baseColWidth="10" defaultColWidth="9.1640625" defaultRowHeight="14" x14ac:dyDescent="0.15"/>
  <cols>
    <col min="2" max="2" width="48.5" customWidth="1"/>
    <col min="3" max="3" width="14.83203125" customWidth="1"/>
    <col min="4" max="4" width="15.83203125" customWidth="1"/>
    <col min="5" max="5" width="14.83203125" customWidth="1"/>
    <col min="6" max="6" width="17.1640625" customWidth="1"/>
    <col min="7" max="7" width="11.5" customWidth="1"/>
    <col min="8" max="8" width="14.83203125" customWidth="1"/>
    <col min="9" max="9" width="20.5" customWidth="1"/>
    <col min="10" max="10" width="18" customWidth="1"/>
    <col min="11" max="11" width="20.33203125" customWidth="1"/>
    <col min="12" max="12" width="16.33203125" customWidth="1"/>
    <col min="13" max="13" width="21.33203125" customWidth="1"/>
    <col min="14" max="14" width="18.5" customWidth="1"/>
    <col min="21" max="21" width="9.83203125" hidden="1" customWidth="1"/>
    <col min="22" max="22" width="43.6640625" hidden="1" customWidth="1"/>
    <col min="23" max="26" width="9.1640625" hidden="1" customWidth="1"/>
    <col min="27" max="27" width="0" hidden="1" customWidth="1"/>
  </cols>
  <sheetData>
    <row r="1" spans="1:26" ht="51.75" customHeight="1" x14ac:dyDescent="0.15">
      <c r="A1" s="381" t="s">
        <v>1178</v>
      </c>
      <c r="B1" s="381"/>
      <c r="C1" s="381"/>
      <c r="D1" s="381"/>
      <c r="E1" s="381"/>
      <c r="F1" s="381"/>
      <c r="G1" s="381"/>
      <c r="H1" s="381"/>
      <c r="I1" s="381"/>
      <c r="J1" s="381"/>
      <c r="K1" s="381"/>
      <c r="L1" s="381"/>
      <c r="M1" s="253"/>
      <c r="N1" s="253"/>
      <c r="O1" s="253"/>
      <c r="P1" s="253"/>
      <c r="Q1" s="253"/>
      <c r="R1" s="253"/>
      <c r="S1" s="253"/>
    </row>
    <row r="2" spans="1:26" ht="28.5" customHeight="1" x14ac:dyDescent="0.15">
      <c r="A2" s="374"/>
      <c r="B2" s="374"/>
      <c r="C2" s="374"/>
      <c r="D2" s="374"/>
      <c r="E2" s="374"/>
      <c r="F2" s="374"/>
      <c r="G2" s="374"/>
      <c r="H2" s="374"/>
      <c r="I2" s="374"/>
      <c r="J2" s="374"/>
      <c r="K2" s="374"/>
      <c r="L2" s="374"/>
      <c r="M2" s="250"/>
      <c r="N2" s="250"/>
      <c r="O2" s="250"/>
      <c r="P2" s="250"/>
      <c r="Q2" s="250"/>
      <c r="R2" s="250"/>
      <c r="S2" s="250"/>
    </row>
    <row r="4" spans="1:26" ht="36" customHeight="1" x14ac:dyDescent="0.15">
      <c r="B4" s="38" t="s">
        <v>1103</v>
      </c>
      <c r="H4" s="38"/>
      <c r="S4" s="334"/>
      <c r="V4" s="326" t="s">
        <v>1428</v>
      </c>
      <c r="W4" s="326" cm="1">
        <f t="array" ref="W4">SUM(SUMIFS('capacity data'!K:K,'capacity data'!A:A,B5,'capacity data'!E:E,{"PO","PSO"}))</f>
        <v>0</v>
      </c>
      <c r="X4" s="333"/>
      <c r="Y4" s="326" t="s">
        <v>1431</v>
      </c>
      <c r="Z4" s="326" cm="1">
        <f t="array" ref="Z4">SUM(SUMIFS('capacity data'!K:K,'capacity data'!E:E,{"PO","PSO"}))</f>
        <v>0</v>
      </c>
    </row>
    <row r="5" spans="1:26" ht="38" customHeight="1" x14ac:dyDescent="0.15">
      <c r="B5" s="251" t="s">
        <v>28</v>
      </c>
      <c r="C5" s="42"/>
      <c r="H5" s="42"/>
      <c r="I5" s="42"/>
      <c r="S5" s="334"/>
      <c r="V5" s="327" t="s">
        <v>1429</v>
      </c>
      <c r="W5" s="326" cm="1">
        <f t="array" ref="W5">SUM(SUMIFS('capacity data'!I:I,'capacity data'!A:A,B5,'capacity data'!E:E,{"PO","PSO"}))-SUM((SUMIFS('capacity data'!J:J,'capacity data'!A:A,B5,'capacity data'!E:E,{"PO","PSO"})))</f>
        <v>0</v>
      </c>
      <c r="X5" s="333"/>
      <c r="Y5" s="327" t="s">
        <v>1432</v>
      </c>
      <c r="Z5" s="326" cm="1">
        <f t="array" ref="Z5">SUM(SUMIFS('capacity data'!I:I,'capacity data'!E:E,{"PO","PSO"}))-SUM((SUMIFS('capacity data'!J:J,'capacity data'!E:E,{"PO","PSO"})))</f>
        <v>0</v>
      </c>
    </row>
    <row r="6" spans="1:26" ht="38" customHeight="1" x14ac:dyDescent="0.15">
      <c r="C6" s="42"/>
      <c r="S6" s="334"/>
      <c r="V6" s="326" t="s">
        <v>1430</v>
      </c>
      <c r="W6" s="326">
        <f>W5/37</f>
        <v>0</v>
      </c>
      <c r="X6" s="333"/>
      <c r="Y6" s="326" t="s">
        <v>1430</v>
      </c>
      <c r="Z6" s="326">
        <f>Z5/37</f>
        <v>0</v>
      </c>
    </row>
    <row r="7" spans="1:26" ht="28" customHeight="1" x14ac:dyDescent="0.15">
      <c r="B7" s="311" t="s">
        <v>1179</v>
      </c>
      <c r="C7" s="294"/>
      <c r="D7" s="294"/>
      <c r="E7" s="294"/>
      <c r="F7" s="293"/>
      <c r="H7" s="382" t="s">
        <v>1180</v>
      </c>
      <c r="I7" s="382"/>
      <c r="J7" s="382"/>
      <c r="K7" s="382"/>
      <c r="L7" s="382"/>
      <c r="M7" s="382"/>
      <c r="N7" s="334"/>
      <c r="O7" s="334"/>
      <c r="P7" s="334"/>
      <c r="Q7" s="334"/>
      <c r="R7" s="334"/>
      <c r="S7" s="334"/>
    </row>
    <row r="8" spans="1:26" ht="43.5" customHeight="1" x14ac:dyDescent="0.15">
      <c r="B8" s="66"/>
      <c r="C8" s="227" t="s">
        <v>1181</v>
      </c>
      <c r="D8" s="227" t="s">
        <v>1182</v>
      </c>
      <c r="E8" s="227" t="s">
        <v>1183</v>
      </c>
      <c r="F8" s="227" t="s">
        <v>1184</v>
      </c>
      <c r="G8" s="68"/>
      <c r="H8" s="66"/>
      <c r="I8" s="227" t="s">
        <v>1185</v>
      </c>
      <c r="J8" s="67" t="s">
        <v>1186</v>
      </c>
      <c r="K8" s="67" t="s">
        <v>1187</v>
      </c>
      <c r="L8" s="67" t="s">
        <v>1188</v>
      </c>
      <c r="M8" s="227" t="s">
        <v>1189</v>
      </c>
      <c r="N8" s="227" t="s">
        <v>1427</v>
      </c>
      <c r="O8" s="68"/>
      <c r="P8" s="68"/>
      <c r="Q8" s="68"/>
      <c r="R8" s="68"/>
      <c r="S8" s="68"/>
      <c r="T8" s="68"/>
    </row>
    <row r="9" spans="1:26" ht="20" customHeight="1" x14ac:dyDescent="0.15">
      <c r="B9" s="321" t="str">
        <f>B5</f>
        <v>North East Region</v>
      </c>
      <c r="C9" s="243" t="e">
        <f>SUMIFS('capacity data'!K:K,'capacity data'!A:A,B5,'capacity data'!E:E,"PO")/((SUMIFS('capacity data'!I:I,'capacity data'!A:A,B5,'capacity data'!E:E,"PO")-(SUMIFS('capacity data'!J:J,'capacity data'!A:A,B5,'capacity data'!E:E,"PO")))/37)</f>
        <v>#DIV/0!</v>
      </c>
      <c r="D9" s="244" t="e">
        <f>SUMIFS('capacity data'!K:K,'capacity data'!A:A,B5,'capacity data'!E:E,"PSO")/((SUMIFS('capacity data'!I:I,'capacity data'!A:A,B5,'capacity data'!E:E,"PSO")-(SUMIFS('capacity data'!J:J,'capacity data'!A:A,B5,'capacity data'!E:E,"PSO")))/37)</f>
        <v>#DIV/0!</v>
      </c>
      <c r="E9" s="244" t="e">
        <f>SUMIFS('capacity data'!K:K,'capacity data'!A:A,B5,'capacity data'!E:E,"TPO")/((SUMIFS('capacity data'!I:I,'capacity data'!A:A,B5,'capacity data'!E:E,"TPO")-(SUMIFS('capacity data'!J:J,'capacity data'!A:A,B5,'capacity data'!E:E,"TPO")))/37)</f>
        <v>#DIV/0!</v>
      </c>
      <c r="F9" s="244" t="e">
        <f>SUMIFS('capacity data'!K:K,'capacity data'!A:A,B5,'capacity data'!E:E,"&lt;&gt;DMY")/((SUMIFS('capacity data'!I:I,'capacity data'!A:A,B5,'capacity data'!E:E,"&lt;&gt;DMY")-(SUMIFS('capacity data'!J:J,'capacity data'!A:A,B5,'capacity data'!E:E,"&lt;&gt;DMY")))/37)</f>
        <v>#DIV/0!</v>
      </c>
      <c r="G9" s="68"/>
      <c r="H9" s="321" t="str">
        <f>B5</f>
        <v>North East Region</v>
      </c>
      <c r="I9" s="86" t="e">
        <f>SUMIFS('capacity data'!F:F, 'capacity data'!E:E, "PO",'capacity data'!F:F, "&lt;&gt;0", 'capacity data'!A:A, B5) / COUNTIFS('capacity data'!E:E, "PO",'capacity data'!F:F, "&lt;&gt;0",'capacity data'!A:A, B5)</f>
        <v>#DIV/0!</v>
      </c>
      <c r="J9" s="86" t="e">
        <f>SUMIFS('capacity data'!F:F, 'capacity data'!E:E, "PSO",'capacity data'!F:F, "&lt;&gt;0", 'capacity data'!A:A, B5) / COUNTIFS('capacity data'!E:E, "PSO",'capacity data'!F:F, "&lt;&gt;0",'capacity data'!A:A, B5)</f>
        <v>#DIV/0!</v>
      </c>
      <c r="K9" s="86" t="e">
        <f>SUMIFS('capacity data'!F:F, 'capacity data'!E:E, "TPO",'capacity data'!F:F, "&lt;&gt;0", 'capacity data'!A:A, B5) / COUNTIFS('capacity data'!E:E, "TPO",'capacity data'!F:F, "&lt;&gt;0",'capacity data'!A:A, B5)</f>
        <v>#DIV/0!</v>
      </c>
      <c r="L9" s="86" t="e">
        <f>SUMIFS('capacity data'!F:F, 'capacity data'!E:E, "&lt;&gt;DMY",'capacity data'!F:F, "&lt;&gt;0", 'capacity data'!A:A, B5) / COUNTIFS('capacity data'!E:E, "&lt;&gt;DMY",'capacity data'!F:F, "&lt;&gt;0",'capacity data'!A:A, B5)</f>
        <v>#DIV/0!</v>
      </c>
      <c r="M9" s="307" t="e" cm="1">
        <f t="array" ref="M9">SUM(SUMIFS('capacity data'!F:F, 'capacity data'!E:E, {"PO","PSO"},'capacity data'!F:F, "&lt;&gt;0", 'capacity data'!A:A, B5)) / SUM(COUNTIFS('capacity data'!E:E, {"PO","PSO"},'capacity data'!F:F, "&lt;&gt;0",'capacity data'!A:A, B5))</f>
        <v>#DIV/0!</v>
      </c>
      <c r="N9" s="328" t="e">
        <f>W4/W6</f>
        <v>#DIV/0!</v>
      </c>
      <c r="O9" s="68"/>
      <c r="P9" s="68"/>
      <c r="Q9" s="68"/>
      <c r="R9" s="68"/>
      <c r="S9" s="68"/>
      <c r="T9" s="68"/>
    </row>
    <row r="10" spans="1:26" ht="18" customHeight="1" x14ac:dyDescent="0.15">
      <c r="B10" s="237" t="s">
        <v>1190</v>
      </c>
      <c r="C10" s="243" t="e">
        <f>SUMIFS('capacity data'!K:K,'capacity data'!E:E,"PO")/((SUMIFS('capacity data'!I:I,'capacity data'!E:E,"PO")-(SUMIFS('capacity data'!J:J,'capacity data'!E:E,"PO")))/37)</f>
        <v>#DIV/0!</v>
      </c>
      <c r="D10" s="244" t="e">
        <f>SUMIFS('capacity data'!K:K,'capacity data'!E:E,"PSO")/((SUMIFS('capacity data'!I:I,'capacity data'!E:E,"PSO")-(SUMIFS('capacity data'!J:J,'capacity data'!E:E,"PSO")))/37)</f>
        <v>#DIV/0!</v>
      </c>
      <c r="E10" s="244" t="e">
        <f>SUMIFS('capacity data'!K:K,'capacity data'!E:E,"TPO")/((SUMIFS('capacity data'!I:I,'capacity data'!E:E,"TPO")-(SUMIFS('capacity data'!J:J,'capacity data'!E:E,"TPO")))/37)</f>
        <v>#DIV/0!</v>
      </c>
      <c r="F10" s="244" t="e">
        <f>SUMIFS('capacity data'!K:K,'capacity data'!E:E,"&lt;&gt;DMY")/((SUMIFS('capacity data'!I:I,'capacity data'!E:E,"&lt;&gt;DMY")-(SUMIFS('capacity data'!J:J,'capacity data'!E:E,"&lt;&gt;DMY")))/37)</f>
        <v>#DIV/0!</v>
      </c>
      <c r="G10" s="68"/>
      <c r="H10" s="237" t="s">
        <v>1190</v>
      </c>
      <c r="I10" s="86" t="e">
        <f>SUMIFS('capacity data'!F:F, 'capacity data'!E:E, "PO",'capacity data'!F:F, "&lt;&gt;0") / COUNTIFS('capacity data'!E:E, "PO",'capacity data'!F:F, "&lt;&gt;0")</f>
        <v>#DIV/0!</v>
      </c>
      <c r="J10" s="86" t="e">
        <f>SUMIFS('capacity data'!F:F, 'capacity data'!E:E, "PSO",'capacity data'!F:F, "&lt;&gt;0") / COUNTIFS('capacity data'!E:E, "PSO",'capacity data'!F:F, "&lt;&gt;0")</f>
        <v>#DIV/0!</v>
      </c>
      <c r="K10" s="86" t="e">
        <f>SUMIFS('capacity data'!F:F, 'capacity data'!E:E, "TPO",'capacity data'!F:F, "&lt;&gt;0") / COUNTIFS('capacity data'!E:E, "TPO",'capacity data'!F:F, "&lt;&gt;0")</f>
        <v>#DIV/0!</v>
      </c>
      <c r="L10" s="86">
        <f>SUMIFS('capacity data'!F:F, 'capacity data'!E:E, "&lt;&gt;DMY",'capacity data'!F:F, "&lt;&gt;0") / COUNTIFS('capacity data'!E:E, "&lt;&gt;DMY",'capacity data'!F:F, "&lt;&gt;0", 'capacity data'!A:A, "&lt;&gt;")</f>
        <v>0</v>
      </c>
      <c r="M10" s="307" t="e" cm="1">
        <f t="array" ref="M10">SUM(SUMIFS('capacity data'!F:F,'capacity data'!E:E,{"PO","PSO"},'capacity data'!F:F,"&lt;&gt;0"))/SUM(COUNTIFS('capacity data'!E:E,{"PO","PSO"},'capacity data'!F:F,"&lt;&gt;0"))</f>
        <v>#DIV/0!</v>
      </c>
      <c r="N10" s="328" t="e">
        <f>Z4/Z6</f>
        <v>#DIV/0!</v>
      </c>
      <c r="O10" s="68"/>
      <c r="P10" s="68"/>
      <c r="Q10" s="68"/>
      <c r="R10" s="68"/>
      <c r="S10" s="68"/>
      <c r="T10" s="68"/>
    </row>
    <row r="11" spans="1:26" ht="17" customHeight="1" x14ac:dyDescent="0.15">
      <c r="B11" s="72" t="s">
        <v>1114</v>
      </c>
      <c r="C11" s="243" t="e">
        <f>C9-C10</f>
        <v>#DIV/0!</v>
      </c>
      <c r="D11" s="243" t="e">
        <f t="shared" ref="D11:F11" si="0">D9-D10</f>
        <v>#DIV/0!</v>
      </c>
      <c r="E11" s="243" t="e">
        <f t="shared" si="0"/>
        <v>#DIV/0!</v>
      </c>
      <c r="F11" s="243" t="e">
        <f t="shared" si="0"/>
        <v>#DIV/0!</v>
      </c>
      <c r="G11" s="68"/>
      <c r="H11" s="72" t="s">
        <v>1114</v>
      </c>
      <c r="I11" s="106" t="e">
        <f>I9-I10</f>
        <v>#DIV/0!</v>
      </c>
      <c r="J11" s="106" t="e">
        <f t="shared" ref="J11:K11" si="1">J9-J10</f>
        <v>#DIV/0!</v>
      </c>
      <c r="K11" s="106" t="e">
        <f t="shared" si="1"/>
        <v>#DIV/0!</v>
      </c>
      <c r="L11" s="106" t="e">
        <f>L9-L10</f>
        <v>#DIV/0!</v>
      </c>
      <c r="M11" s="106" t="e">
        <f>M9-M10</f>
        <v>#DIV/0!</v>
      </c>
      <c r="N11" s="329" t="e">
        <f>N9-N10</f>
        <v>#DIV/0!</v>
      </c>
      <c r="O11" s="68"/>
      <c r="P11" s="68"/>
      <c r="Q11" s="68"/>
      <c r="R11" s="68"/>
      <c r="S11" s="68"/>
      <c r="T11" s="68"/>
    </row>
    <row r="12" spans="1:26" ht="17" customHeight="1" x14ac:dyDescent="0.15">
      <c r="B12" s="68"/>
      <c r="C12" s="68"/>
      <c r="D12" s="246"/>
      <c r="E12" s="246"/>
      <c r="F12" s="246"/>
      <c r="G12" s="68"/>
      <c r="H12" s="68"/>
      <c r="I12" s="68"/>
      <c r="J12" s="68"/>
      <c r="K12" s="68"/>
      <c r="L12" s="68"/>
      <c r="M12" s="68"/>
      <c r="N12" s="68"/>
      <c r="O12" s="68"/>
      <c r="P12" s="68"/>
      <c r="Q12" s="68"/>
      <c r="R12" s="68"/>
      <c r="S12" s="246"/>
      <c r="T12" s="246"/>
      <c r="U12" s="246"/>
      <c r="V12" s="246"/>
    </row>
    <row r="13" spans="1:26" ht="17" customHeight="1" x14ac:dyDescent="0.15">
      <c r="B13" s="68"/>
      <c r="C13" s="68"/>
      <c r="D13" s="246"/>
      <c r="E13" s="246"/>
      <c r="F13" s="246"/>
      <c r="G13" s="68"/>
      <c r="H13" s="68"/>
      <c r="I13" s="68"/>
      <c r="J13" s="68"/>
      <c r="K13" s="68"/>
      <c r="L13" s="68"/>
      <c r="M13" s="68"/>
      <c r="N13" s="68"/>
      <c r="O13" s="68"/>
      <c r="P13" s="68"/>
      <c r="Q13" s="68"/>
      <c r="R13" s="68"/>
      <c r="S13" s="246"/>
      <c r="T13" s="246"/>
      <c r="U13" s="246"/>
      <c r="V13" s="246"/>
    </row>
    <row r="14" spans="1:26" ht="25" customHeight="1" x14ac:dyDescent="0.15">
      <c r="B14" s="311" t="s">
        <v>1191</v>
      </c>
      <c r="C14" s="309"/>
      <c r="D14" s="309"/>
      <c r="E14" s="309"/>
      <c r="F14" s="308"/>
      <c r="G14" s="68"/>
      <c r="H14" s="68"/>
      <c r="I14" s="68"/>
      <c r="J14" s="246"/>
      <c r="K14" s="246"/>
      <c r="L14" s="246"/>
      <c r="M14" s="246"/>
      <c r="N14" s="246"/>
      <c r="O14" s="68"/>
      <c r="P14" s="68"/>
      <c r="Q14" s="68"/>
      <c r="R14" s="246"/>
      <c r="S14" s="246"/>
      <c r="T14" s="246"/>
      <c r="U14" s="246"/>
      <c r="V14" s="246"/>
    </row>
    <row r="15" spans="1:26" ht="39.5" customHeight="1" x14ac:dyDescent="0.15">
      <c r="B15" s="66"/>
      <c r="C15" s="227" t="s">
        <v>1181</v>
      </c>
      <c r="D15" s="227" t="s">
        <v>1182</v>
      </c>
      <c r="E15" s="227" t="s">
        <v>1183</v>
      </c>
      <c r="F15" s="227" t="s">
        <v>1184</v>
      </c>
      <c r="G15" s="68"/>
      <c r="H15" s="382" t="s">
        <v>1192</v>
      </c>
      <c r="I15" s="382"/>
      <c r="J15" s="382"/>
      <c r="K15" s="382"/>
      <c r="L15" s="382"/>
      <c r="M15" s="246"/>
      <c r="N15" s="246"/>
      <c r="O15" s="68"/>
      <c r="P15" s="68"/>
      <c r="Q15" s="68"/>
      <c r="R15" s="246"/>
      <c r="S15" s="246"/>
      <c r="T15" s="246"/>
      <c r="U15" s="246"/>
      <c r="V15" s="246"/>
    </row>
    <row r="16" spans="1:26" ht="17" customHeight="1" x14ac:dyDescent="0.15">
      <c r="B16" s="321" t="str">
        <f>B5</f>
        <v>North East Region</v>
      </c>
      <c r="C16" s="243" t="e">
        <f>SUMIFS('caseload data'!V:V,'caseload data'!A:A, B5, 'caseload data'!D:D, "PO", 'caseload data'!B:B, "Community")/((SUMIFS('capacity data'!I:I,'capacity data'!A:A,B5,'capacity data'!E:E,"PO")-(SUMIFS('capacity data'!J:J,'capacity data'!A:A,B5,'capacity data'!E:E,"PO")))/37)</f>
        <v>#DIV/0!</v>
      </c>
      <c r="D16" s="243" t="e">
        <f>SUMIFS('caseload data'!V:V,'caseload data'!A:A, B5, 'caseload data'!D:D, "PSO", 'caseload data'!B:B, "Community")/((SUMIFS('capacity data'!I:I,'capacity data'!A:A,B5,'capacity data'!E:E,"PSO")-(SUMIFS('capacity data'!J:J,'capacity data'!A:A,B5,'capacity data'!E:E,"PSO")))/37)</f>
        <v>#DIV/0!</v>
      </c>
      <c r="E16" s="243" t="e">
        <f>SUMIFS('caseload data'!V:V,'caseload data'!A:A, B5, 'caseload data'!D:D, "TPO", 'caseload data'!B:B, "Community")/((SUMIFS('capacity data'!I:I,'capacity data'!A:A,B5,'capacity data'!E:E,"TPO")-(SUMIFS('capacity data'!J:J,'capacity data'!A:A,B5,'capacity data'!E:E,"TPO")))/37)</f>
        <v>#DIV/0!</v>
      </c>
      <c r="F16" s="243" t="e">
        <f>SUMIFS('caseload data'!V:V,'caseload data'!B:B, "Community", 'caseload data'!D:D, "&lt;&gt;DMY", 'caseload data'!A:A, B5) /((SUMIFS('capacity data'!I:I,'capacity data'!A:A,B5,'capacity data'!E:E,"&lt;&gt;DMY")-(SUMIFS('capacity data'!J:J,'capacity data'!A:A,B5,'capacity data'!E:E,"&lt;&gt;DMY")))/37)</f>
        <v>#DIV/0!</v>
      </c>
      <c r="G16" s="68"/>
      <c r="H16" s="322" t="str">
        <f>B5</f>
        <v>North East Region</v>
      </c>
      <c r="I16" s="227" t="s">
        <v>1161</v>
      </c>
      <c r="J16" s="227" t="s">
        <v>1160</v>
      </c>
      <c r="K16" s="227" t="s">
        <v>1159</v>
      </c>
      <c r="L16" s="227" t="s">
        <v>1162</v>
      </c>
      <c r="M16" s="246"/>
      <c r="N16" s="246"/>
      <c r="O16" s="68"/>
      <c r="P16" s="68"/>
      <c r="Q16" s="68"/>
      <c r="R16" s="246"/>
      <c r="S16" s="246"/>
      <c r="T16" s="246"/>
      <c r="U16" s="246"/>
      <c r="V16" s="246"/>
    </row>
    <row r="17" spans="2:22" ht="17" customHeight="1" x14ac:dyDescent="0.15">
      <c r="B17" s="237" t="s">
        <v>1190</v>
      </c>
      <c r="C17" s="243" t="e">
        <f>SUMIFS('caseload data'!V:V, 'caseload data'!D:D, "PO", 'caseload data'!B:B, "Community")/((SUMIFS('capacity data'!I:I,'capacity data'!E:E,"PO")-(SUMIFS('capacity data'!J:J,'capacity data'!E:E,"PO")))/37)</f>
        <v>#DIV/0!</v>
      </c>
      <c r="D17" s="243" t="e">
        <f>SUMIFS('caseload data'!V:V, 'caseload data'!D:D, "PSO", 'caseload data'!B:B, "Community")/((SUMIFS('capacity data'!I:I,'capacity data'!E:E,"PSO")-(SUMIFS('capacity data'!J:J,'capacity data'!E:E,"PSO")))/37)</f>
        <v>#DIV/0!</v>
      </c>
      <c r="E17" s="243" t="e">
        <f>SUMIFS('caseload data'!V:V, 'caseload data'!D:D, "TPO", 'caseload data'!B:B, "Community")/((SUMIFS('capacity data'!I:I,'capacity data'!E:E,"TPO")-(SUMIFS('capacity data'!J:J,'capacity data'!E:E,"TPO")))/37)</f>
        <v>#DIV/0!</v>
      </c>
      <c r="F17" s="243" t="e">
        <f>SUMIFS('caseload data'!V:V, 'caseload data'!D:D, "&lt;&gt;DMY", 'caseload data'!B:B, "Community")/((SUMIFS('capacity data'!I:I,'capacity data'!E:E,"&lt;&gt;DMY")-(SUMIFS('capacity data'!J:J,'capacity data'!E:E,"&lt;&gt;DMY")))/37)</f>
        <v>#DIV/0!</v>
      </c>
      <c r="G17" s="68"/>
      <c r="H17" s="69" t="s">
        <v>1193</v>
      </c>
      <c r="I17" s="242">
        <f>SUM(T43:T46)</f>
        <v>0</v>
      </c>
      <c r="J17" s="242">
        <f>SUM(T50:T53)</f>
        <v>0</v>
      </c>
      <c r="K17" s="242">
        <f>SUM(T57:T60)</f>
        <v>0</v>
      </c>
      <c r="L17" s="242">
        <f>SUM(I17:K17)</f>
        <v>0</v>
      </c>
      <c r="M17" s="68"/>
      <c r="N17" s="68"/>
      <c r="O17" s="68"/>
      <c r="P17" s="68"/>
      <c r="Q17" s="68"/>
      <c r="R17" s="246"/>
      <c r="S17" s="246"/>
      <c r="T17" s="246"/>
      <c r="U17" s="246"/>
      <c r="V17" s="246"/>
    </row>
    <row r="18" spans="2:22" ht="17" customHeight="1" x14ac:dyDescent="0.15">
      <c r="B18" s="72" t="s">
        <v>1114</v>
      </c>
      <c r="C18" s="243" t="e">
        <f>C16-C17</f>
        <v>#DIV/0!</v>
      </c>
      <c r="D18" s="243" t="e">
        <f t="shared" ref="D18:F18" si="2">D16-D17</f>
        <v>#DIV/0!</v>
      </c>
      <c r="E18" s="243" t="e">
        <f t="shared" si="2"/>
        <v>#DIV/0!</v>
      </c>
      <c r="F18" s="243" t="e">
        <f t="shared" si="2"/>
        <v>#DIV/0!</v>
      </c>
      <c r="G18" s="68"/>
      <c r="H18" s="68"/>
      <c r="I18" s="68"/>
      <c r="J18" s="68"/>
      <c r="K18" s="68"/>
      <c r="L18" s="68"/>
      <c r="M18" s="68"/>
      <c r="N18" s="68"/>
      <c r="O18" s="68"/>
      <c r="P18" s="68"/>
      <c r="Q18" s="68"/>
      <c r="R18" s="246"/>
      <c r="S18" s="246"/>
      <c r="T18" s="246"/>
      <c r="U18" s="246"/>
      <c r="V18" s="246"/>
    </row>
    <row r="19" spans="2:22" ht="17" customHeight="1" x14ac:dyDescent="0.15">
      <c r="B19" s="68"/>
      <c r="C19" s="246"/>
      <c r="D19" s="68"/>
      <c r="E19" s="68"/>
      <c r="F19" s="68"/>
      <c r="G19" s="68"/>
      <c r="H19" s="68"/>
      <c r="I19" s="68"/>
      <c r="J19" s="68"/>
      <c r="K19" s="68"/>
      <c r="L19" s="68"/>
      <c r="M19" s="68"/>
      <c r="N19" s="68"/>
      <c r="O19" s="68"/>
      <c r="P19" s="68"/>
      <c r="Q19" s="68"/>
      <c r="R19" s="246"/>
      <c r="S19" s="246"/>
      <c r="T19" s="246"/>
      <c r="U19" s="246"/>
      <c r="V19" s="246"/>
    </row>
    <row r="20" spans="2:22" ht="32" customHeight="1" x14ac:dyDescent="0.15">
      <c r="B20" s="311" t="s">
        <v>1194</v>
      </c>
      <c r="C20" s="309"/>
      <c r="D20" s="309"/>
      <c r="E20" s="309"/>
      <c r="F20" s="308"/>
      <c r="G20" s="68"/>
      <c r="H20" s="310"/>
      <c r="I20" s="68"/>
      <c r="J20" s="68"/>
      <c r="K20" s="68"/>
      <c r="L20" s="68"/>
      <c r="M20" s="68"/>
      <c r="N20" s="68"/>
      <c r="O20" s="68"/>
      <c r="P20" s="68"/>
      <c r="Q20" s="68"/>
      <c r="R20" s="68"/>
      <c r="S20" s="68"/>
      <c r="T20" s="68"/>
    </row>
    <row r="21" spans="2:22" ht="43.5" customHeight="1" x14ac:dyDescent="0.15">
      <c r="B21" s="66"/>
      <c r="C21" s="227" t="s">
        <v>1181</v>
      </c>
      <c r="D21" s="227" t="s">
        <v>1182</v>
      </c>
      <c r="E21" s="227" t="s">
        <v>1183</v>
      </c>
      <c r="F21" s="227" t="s">
        <v>1184</v>
      </c>
      <c r="G21" s="68"/>
      <c r="H21" s="68"/>
      <c r="I21" s="68"/>
      <c r="J21" s="68"/>
      <c r="K21" s="68"/>
      <c r="L21" s="68"/>
      <c r="M21" s="68"/>
      <c r="N21" s="68"/>
      <c r="O21" s="68"/>
      <c r="P21" s="68"/>
      <c r="Q21" s="68"/>
      <c r="R21" s="68"/>
      <c r="S21" s="68"/>
      <c r="T21" s="68"/>
    </row>
    <row r="22" spans="2:22" ht="15" customHeight="1" x14ac:dyDescent="0.15">
      <c r="B22" s="321" t="str">
        <f>B5</f>
        <v>North East Region</v>
      </c>
      <c r="C22" s="243" t="e">
        <f>SUMIFS('caseload data'!V:V,'caseload data'!A:A, B5, 'caseload data'!D:D, "PO", 'caseload data'!B:B, "Licence")/((SUMIFS('capacity data'!I:I,'capacity data'!A:A,B5,'capacity data'!E:E,"PO")-(SUMIFS('capacity data'!J:J,'capacity data'!A:A,B5,'capacity data'!E:E,"PO")))/37)</f>
        <v>#DIV/0!</v>
      </c>
      <c r="D22" s="243" t="e">
        <f>SUMIFS('caseload data'!V:V,'caseload data'!A:A, B5, 'caseload data'!D:D, "PSO", 'caseload data'!B:B, "Licence")/((SUMIFS('capacity data'!I:I,'capacity data'!A:A,B5,'capacity data'!E:E,"PSO")-(SUMIFS('capacity data'!J:J,'capacity data'!A:A,B5,'capacity data'!E:E,"PSO")))/37)</f>
        <v>#DIV/0!</v>
      </c>
      <c r="E22" s="243" t="e">
        <f>SUMIFS('caseload data'!V:V,'caseload data'!A:A, B5, 'caseload data'!D:D, "TPO", 'caseload data'!B:B, "Licence")/((SUMIFS('capacity data'!I:I,'capacity data'!A:A,B5,'capacity data'!E:E,"TPO")-(SUMIFS('capacity data'!J:J,'capacity data'!A:A,B5,'capacity data'!E:E,"TPO")))/37)</f>
        <v>#DIV/0!</v>
      </c>
      <c r="F22" s="243" t="e">
        <f>SUMIFS('caseload data'!V:V,'caseload data'!B:B, "Licence", 'caseload data'!D:D, "&lt;&gt;DMY", 'caseload data'!A:A, B5) /((SUMIFS('capacity data'!I:I,'capacity data'!A:A,B5,'capacity data'!E:E,"&lt;&gt;DMY")-(SUMIFS('capacity data'!J:J,'capacity data'!A:A,B5,'capacity data'!E:E,"&lt;&gt;DMY")))/37)</f>
        <v>#DIV/0!</v>
      </c>
      <c r="G22" s="68"/>
      <c r="H22" s="68"/>
      <c r="I22" s="68"/>
      <c r="J22" s="246"/>
      <c r="K22" s="246"/>
      <c r="L22" s="246"/>
      <c r="M22" s="246"/>
      <c r="N22" s="246"/>
      <c r="O22" s="68"/>
      <c r="P22" s="68"/>
      <c r="Q22" s="68"/>
      <c r="R22" s="68"/>
      <c r="S22" s="68"/>
      <c r="T22" s="68"/>
    </row>
    <row r="23" spans="2:22" ht="15" customHeight="1" x14ac:dyDescent="0.15">
      <c r="B23" s="237" t="s">
        <v>1190</v>
      </c>
      <c r="C23" s="243" t="e">
        <f>SUMIFS('caseload data'!V:V, 'caseload data'!D:D, "PO", 'caseload data'!B:B, "Licence")/((SUMIFS('capacity data'!I:I,'capacity data'!E:E,"PO")-(SUMIFS('capacity data'!J:J,'capacity data'!E:E,"PO")))/37)</f>
        <v>#DIV/0!</v>
      </c>
      <c r="D23" s="243" t="e">
        <f>SUMIFS('caseload data'!V:V, 'caseload data'!D:D, "PSO", 'caseload data'!B:B, "Licence")/((SUMIFS('capacity data'!I:I,'capacity data'!E:E,"PSO")-(SUMIFS('capacity data'!J:J,'capacity data'!E:E,"PSO")))/37)</f>
        <v>#DIV/0!</v>
      </c>
      <c r="E23" s="243" t="e">
        <f>SUMIFS('caseload data'!V:V, 'caseload data'!D:D, "TPO", 'caseload data'!B:B, "Licence")/((SUMIFS('capacity data'!I:I,'capacity data'!E:E,"TPO")-(SUMIFS('capacity data'!J:J,'capacity data'!E:E,"TPO")))/37)</f>
        <v>#DIV/0!</v>
      </c>
      <c r="F23" s="243" t="e">
        <f>SUMIFS('caseload data'!V:V, 'caseload data'!D:D, "&lt;&gt;DMY", 'caseload data'!B:B, "Licence")/((SUMIFS('capacity data'!I:I,'capacity data'!E:E,"&lt;&gt;DMY")-(SUMIFS('capacity data'!J:J,'capacity data'!E:E,"&lt;&gt;DMY")))/37)</f>
        <v>#DIV/0!</v>
      </c>
      <c r="G23" s="68"/>
      <c r="H23" s="68"/>
      <c r="I23" s="68"/>
      <c r="J23" s="246"/>
      <c r="K23" s="246"/>
      <c r="L23" s="246"/>
      <c r="M23" s="246"/>
      <c r="N23" s="246"/>
      <c r="O23" s="68"/>
      <c r="P23" s="68"/>
      <c r="Q23" s="68"/>
      <c r="R23" s="68"/>
      <c r="S23" s="68"/>
      <c r="T23" s="68"/>
    </row>
    <row r="24" spans="2:22" ht="15" customHeight="1" x14ac:dyDescent="0.15">
      <c r="B24" s="72" t="s">
        <v>1114</v>
      </c>
      <c r="C24" s="243" t="e">
        <f>C22-C23</f>
        <v>#DIV/0!</v>
      </c>
      <c r="D24" s="243" t="e">
        <f t="shared" ref="D24:F24" si="3">D22-D23</f>
        <v>#DIV/0!</v>
      </c>
      <c r="E24" s="243" t="e">
        <f t="shared" si="3"/>
        <v>#DIV/0!</v>
      </c>
      <c r="F24" s="243" t="e">
        <f t="shared" si="3"/>
        <v>#DIV/0!</v>
      </c>
      <c r="G24" s="68"/>
      <c r="H24" s="68"/>
      <c r="I24" s="68"/>
      <c r="J24" s="246"/>
      <c r="K24" s="246"/>
      <c r="L24" s="246"/>
      <c r="M24" s="246"/>
      <c r="N24" s="246"/>
      <c r="O24" s="68"/>
      <c r="P24" s="68"/>
      <c r="Q24" s="68"/>
      <c r="R24" s="68"/>
      <c r="S24" s="68"/>
      <c r="T24" s="68"/>
    </row>
    <row r="25" spans="2:22" ht="15" customHeight="1" x14ac:dyDescent="0.15">
      <c r="B25" s="68"/>
      <c r="C25" s="68"/>
      <c r="D25" s="68"/>
      <c r="E25" s="68"/>
      <c r="F25" s="68"/>
      <c r="G25" s="68"/>
      <c r="H25" s="68"/>
      <c r="I25" s="68"/>
      <c r="J25" s="246"/>
      <c r="K25" s="246"/>
      <c r="L25" s="246"/>
      <c r="M25" s="246"/>
      <c r="N25" s="246"/>
      <c r="O25" s="68"/>
      <c r="P25" s="68"/>
      <c r="Q25" s="68"/>
      <c r="R25" s="68"/>
      <c r="S25" s="68"/>
      <c r="T25" s="68"/>
    </row>
    <row r="26" spans="2:22" ht="28.5" customHeight="1" x14ac:dyDescent="0.15">
      <c r="B26" s="311" t="s">
        <v>1195</v>
      </c>
      <c r="C26" s="309"/>
      <c r="D26" s="309"/>
      <c r="E26" s="309"/>
      <c r="F26" s="308"/>
      <c r="G26" s="68"/>
      <c r="H26" s="68"/>
      <c r="I26" s="68"/>
      <c r="J26" s="246"/>
      <c r="K26" s="246"/>
      <c r="L26" s="246"/>
      <c r="M26" s="246"/>
      <c r="N26" s="246"/>
      <c r="O26" s="68"/>
      <c r="P26" s="68"/>
      <c r="Q26" s="68"/>
      <c r="R26" s="68"/>
      <c r="S26" s="68"/>
      <c r="T26" s="68"/>
    </row>
    <row r="27" spans="2:22" ht="49" customHeight="1" x14ac:dyDescent="0.15">
      <c r="B27" s="321" t="str">
        <f>B5</f>
        <v>North East Region</v>
      </c>
      <c r="C27" s="227" t="s">
        <v>1181</v>
      </c>
      <c r="D27" s="227" t="s">
        <v>1182</v>
      </c>
      <c r="E27" s="227" t="s">
        <v>1183</v>
      </c>
      <c r="F27" s="227" t="s">
        <v>1184</v>
      </c>
      <c r="G27" s="68"/>
      <c r="H27" s="68"/>
      <c r="I27" s="68"/>
      <c r="J27" s="246"/>
      <c r="K27" s="246"/>
      <c r="L27" s="246"/>
      <c r="M27" s="246"/>
      <c r="N27" s="246"/>
      <c r="O27" s="68"/>
      <c r="P27" s="68"/>
      <c r="Q27" s="68"/>
      <c r="R27" s="68"/>
      <c r="S27" s="68"/>
      <c r="T27" s="68"/>
    </row>
    <row r="28" spans="2:22" ht="15" customHeight="1" x14ac:dyDescent="0.15">
      <c r="B28" s="69" t="str">
        <f>B11</f>
        <v>Variance</v>
      </c>
      <c r="C28" s="243" t="e">
        <f>SUMIFS('caseload data'!V:V,'caseload data'!A:A, B5, 'caseload data'!D:D, "PO", 'caseload data'!B:B, "Custody")/((SUMIFS('capacity data'!I:I,'capacity data'!A:A,B5,'capacity data'!E:E,"PO")-(SUMIFS('capacity data'!J:J,'capacity data'!A:A,B5,'capacity data'!E:E,"PO")))/37)</f>
        <v>#DIV/0!</v>
      </c>
      <c r="D28" s="243" t="e">
        <f>SUMIFS('caseload data'!V:V,'caseload data'!A:A, B5, 'caseload data'!D:D, "PSO", 'caseload data'!B:B, "Custody")/((SUMIFS('capacity data'!I:I,'capacity data'!A:A,B5,'capacity data'!E:E,"PSO")-(SUMIFS('capacity data'!J:J,'capacity data'!A:A,B5,'capacity data'!E:E,"PSO")))/37)</f>
        <v>#DIV/0!</v>
      </c>
      <c r="E28" s="243" t="e">
        <f>SUMIFS('caseload data'!V:V,'caseload data'!A:A, B5, 'caseload data'!D:D, "TPO", 'caseload data'!B:B, "Custody")/((SUMIFS('capacity data'!I:I,'capacity data'!A:A,B5,'capacity data'!E:E,"TPO")-(SUMIFS('capacity data'!J:J,'capacity data'!A:A,B5,'capacity data'!E:E,"TPO")))/37)</f>
        <v>#DIV/0!</v>
      </c>
      <c r="F28" s="243" t="e">
        <f>SUMIFS('caseload data'!V:V,'caseload data'!B:B, "Custody", 'caseload data'!D:D, "&lt;&gt;DMY", 'caseload data'!A:A, B5) /((SUMIFS('capacity data'!I:I,'capacity data'!A:A,B5,'capacity data'!E:E,"&lt;&gt;DMY")-(SUMIFS('capacity data'!J:J,'capacity data'!A:A,B5,'capacity data'!E:E,"&lt;&gt;DMY")))/37)</f>
        <v>#DIV/0!</v>
      </c>
      <c r="G28" s="68"/>
      <c r="H28" s="68"/>
      <c r="I28" s="68"/>
      <c r="J28" s="246"/>
      <c r="K28" s="246"/>
      <c r="L28" s="246"/>
      <c r="M28" s="246"/>
      <c r="N28" s="246"/>
      <c r="O28" s="68"/>
      <c r="P28" s="68"/>
      <c r="Q28" s="68"/>
      <c r="R28" s="68"/>
      <c r="S28" s="68"/>
      <c r="T28" s="68"/>
    </row>
    <row r="29" spans="2:22" ht="15" customHeight="1" x14ac:dyDescent="0.15">
      <c r="B29" s="237" t="s">
        <v>1190</v>
      </c>
      <c r="C29" s="243" t="e">
        <f>SUMIFS('caseload data'!V:V, 'caseload data'!D:D, "PO", 'caseload data'!B:B, "Custody")/((SUMIFS('capacity data'!I:I,'capacity data'!E:E,"PO")-(SUMIFS('capacity data'!J:J,'capacity data'!E:E,"PO")))/37)</f>
        <v>#DIV/0!</v>
      </c>
      <c r="D29" s="243" t="e">
        <f>SUMIFS('caseload data'!V:V, 'caseload data'!D:D, "PSO", 'caseload data'!B:B, "Custody")/((SUMIFS('capacity data'!I:I,'capacity data'!E:E,"PSO")-(SUMIFS('capacity data'!J:J,'capacity data'!E:E,"PSO")))/37)</f>
        <v>#DIV/0!</v>
      </c>
      <c r="E29" s="243" t="e">
        <f>SUMIFS('caseload data'!V:V, 'caseload data'!D:D, "TPO", 'caseload data'!B:B, "Custody")/((SUMIFS('capacity data'!I:I,'capacity data'!E:E,"TPO")-(SUMIFS('capacity data'!J:J,'capacity data'!E:E,"TPO")))/37)</f>
        <v>#DIV/0!</v>
      </c>
      <c r="F29" s="243" t="e">
        <f>SUMIFS('caseload data'!V:V, 'caseload data'!D:D, "&lt;&gt;DMY", 'caseload data'!B:B, "Custody")/((SUMIFS('capacity data'!I:I,'capacity data'!E:E,"&lt;&gt;DMY")-(SUMIFS('capacity data'!J:J,'capacity data'!E:E,"&lt;&gt;DMY")))/37)</f>
        <v>#DIV/0!</v>
      </c>
      <c r="G29" s="68"/>
      <c r="H29" s="68"/>
      <c r="I29" s="68"/>
      <c r="J29" s="246"/>
      <c r="K29" s="246"/>
      <c r="L29" s="246"/>
      <c r="M29" s="246"/>
      <c r="N29" s="246"/>
      <c r="O29" s="68"/>
      <c r="P29" s="68"/>
      <c r="Q29" s="68"/>
      <c r="R29" s="68"/>
      <c r="S29" s="68"/>
      <c r="T29" s="68"/>
    </row>
    <row r="30" spans="2:22" ht="15" customHeight="1" x14ac:dyDescent="0.15">
      <c r="B30" s="72" t="s">
        <v>1114</v>
      </c>
      <c r="C30" s="243" t="e">
        <f>C28-C29</f>
        <v>#DIV/0!</v>
      </c>
      <c r="D30" s="243" t="e">
        <f t="shared" ref="D30:F30" si="4">D28-D29</f>
        <v>#DIV/0!</v>
      </c>
      <c r="E30" s="243" t="e">
        <f t="shared" si="4"/>
        <v>#DIV/0!</v>
      </c>
      <c r="F30" s="243" t="e">
        <f t="shared" si="4"/>
        <v>#DIV/0!</v>
      </c>
      <c r="G30" s="68"/>
      <c r="H30" s="68"/>
      <c r="I30" s="68"/>
      <c r="J30" s="246"/>
      <c r="K30" s="246"/>
      <c r="L30" s="246"/>
      <c r="M30" s="246"/>
      <c r="N30" s="246"/>
      <c r="O30" s="68"/>
      <c r="P30" s="68"/>
      <c r="Q30" s="68"/>
      <c r="R30" s="68"/>
      <c r="S30" s="68"/>
      <c r="T30" s="68"/>
    </row>
    <row r="31" spans="2:22" ht="15" customHeight="1" x14ac:dyDescent="0.15">
      <c r="B31" s="68"/>
      <c r="C31" s="68"/>
      <c r="D31" s="68"/>
      <c r="E31" s="68"/>
      <c r="F31" s="68"/>
      <c r="G31" s="68"/>
      <c r="H31" s="68"/>
      <c r="I31" s="68"/>
      <c r="J31" s="246"/>
      <c r="K31" s="246"/>
      <c r="L31" s="246"/>
      <c r="M31" s="246"/>
      <c r="N31" s="246"/>
      <c r="O31" s="68"/>
      <c r="P31" s="68"/>
      <c r="Q31" s="68"/>
      <c r="R31" s="68"/>
      <c r="S31" s="68"/>
      <c r="T31" s="68"/>
    </row>
    <row r="32" spans="2:22" ht="15" customHeight="1" x14ac:dyDescent="0.15">
      <c r="B32" s="68"/>
      <c r="C32" s="68"/>
      <c r="D32" s="68"/>
      <c r="E32" s="68"/>
      <c r="F32" s="68"/>
      <c r="G32" s="68"/>
      <c r="H32" s="68"/>
      <c r="I32" s="68"/>
      <c r="J32" s="246"/>
      <c r="K32" s="246"/>
      <c r="L32" s="246"/>
      <c r="M32" s="246"/>
      <c r="N32" s="246"/>
      <c r="O32" s="68"/>
      <c r="P32" s="68"/>
      <c r="Q32" s="68"/>
      <c r="R32" s="68"/>
      <c r="S32" s="68"/>
      <c r="T32" s="68"/>
    </row>
    <row r="33" spans="2:20" ht="15.5" customHeight="1" x14ac:dyDescent="0.15">
      <c r="B33" s="68"/>
      <c r="C33" s="68"/>
      <c r="D33" s="68"/>
      <c r="E33" s="68"/>
      <c r="F33" s="68"/>
      <c r="G33" s="68"/>
      <c r="H33" s="68"/>
      <c r="I33" s="68"/>
      <c r="J33" s="68"/>
      <c r="K33" s="68"/>
      <c r="L33" s="68"/>
      <c r="M33" s="68"/>
      <c r="N33" s="68"/>
      <c r="O33" s="68"/>
      <c r="P33" s="68"/>
      <c r="Q33" s="68"/>
      <c r="R33" s="68"/>
      <c r="S33" s="68"/>
      <c r="T33" s="68"/>
    </row>
    <row r="34" spans="2:20" ht="29.25" customHeight="1" x14ac:dyDescent="0.15">
      <c r="B34" s="312" t="str">
        <f>B5</f>
        <v>North East Region</v>
      </c>
      <c r="C34" s="383" t="s">
        <v>1177</v>
      </c>
      <c r="D34" s="384"/>
      <c r="E34" s="384"/>
      <c r="F34" s="384"/>
      <c r="G34" s="384"/>
      <c r="H34" s="384"/>
      <c r="I34" s="384"/>
      <c r="J34" s="384"/>
      <c r="K34" s="384"/>
      <c r="L34" s="384"/>
      <c r="M34" s="384"/>
      <c r="N34" s="384"/>
      <c r="O34" s="384"/>
      <c r="P34" s="384"/>
      <c r="Q34" s="384"/>
      <c r="R34" s="384"/>
      <c r="S34" s="384"/>
      <c r="T34" s="384"/>
    </row>
    <row r="35" spans="2:20" x14ac:dyDescent="0.15">
      <c r="B35" s="99" t="s">
        <v>1171</v>
      </c>
      <c r="C35" s="301" t="s">
        <v>1022</v>
      </c>
      <c r="D35" s="301" t="s">
        <v>1023</v>
      </c>
      <c r="E35" s="301" t="s">
        <v>1024</v>
      </c>
      <c r="F35" s="301" t="s">
        <v>1025</v>
      </c>
      <c r="G35" s="301" t="s">
        <v>1026</v>
      </c>
      <c r="H35" s="301" t="s">
        <v>1027</v>
      </c>
      <c r="I35" s="301" t="s">
        <v>1028</v>
      </c>
      <c r="J35" s="301" t="s">
        <v>1029</v>
      </c>
      <c r="K35" s="301" t="s">
        <v>1030</v>
      </c>
      <c r="L35" s="301" t="s">
        <v>1031</v>
      </c>
      <c r="M35" s="301" t="s">
        <v>1032</v>
      </c>
      <c r="N35" s="301" t="s">
        <v>1033</v>
      </c>
      <c r="O35" s="301" t="s">
        <v>1034</v>
      </c>
      <c r="P35" s="301" t="s">
        <v>1035</v>
      </c>
      <c r="Q35" s="301" t="s">
        <v>1036</v>
      </c>
      <c r="R35" s="301" t="s">
        <v>1037</v>
      </c>
      <c r="S35" s="301" t="s">
        <v>1196</v>
      </c>
      <c r="T35" s="301" t="s">
        <v>1127</v>
      </c>
    </row>
    <row r="36" spans="2:20" x14ac:dyDescent="0.15">
      <c r="B36" s="100" t="s">
        <v>1166</v>
      </c>
      <c r="C36" s="242">
        <f>SUMIFS('caseload data'!E:E,'caseload data'!$D:$D,"PO",'caseload data'!$A:$A,'HMIP caseload divisional'!$B$5)</f>
        <v>0</v>
      </c>
      <c r="D36" s="242">
        <f>SUMIFS('caseload data'!F:F,'caseload data'!$D:$D,"PO",'caseload data'!$A:$A,'HMIP caseload divisional'!$B$5)</f>
        <v>0</v>
      </c>
      <c r="E36" s="242">
        <f>SUMIFS('caseload data'!G:G,'caseload data'!$D:$D,"PO",'caseload data'!$A:$A,'HMIP caseload divisional'!$B$5)</f>
        <v>0</v>
      </c>
      <c r="F36" s="242">
        <f>SUMIFS('caseload data'!H:H,'caseload data'!$D:$D,"PO",'caseload data'!$A:$A,'HMIP caseload divisional'!$B$5)</f>
        <v>0</v>
      </c>
      <c r="G36" s="242">
        <f>SUMIFS('caseload data'!I:I,'caseload data'!$D:$D,"PO",'caseload data'!$A:$A,'HMIP caseload divisional'!$B$5)</f>
        <v>0</v>
      </c>
      <c r="H36" s="242">
        <f>SUMIFS('caseload data'!J:J,'caseload data'!$D:$D,"PO",'caseload data'!$A:$A,'HMIP caseload divisional'!$B$5)</f>
        <v>0</v>
      </c>
      <c r="I36" s="242">
        <f>SUMIFS('caseload data'!K:K,'caseload data'!$D:$D,"PO",'caseload data'!$A:$A,'HMIP caseload divisional'!$B$5)</f>
        <v>0</v>
      </c>
      <c r="J36" s="242">
        <f>SUMIFS('caseload data'!L:L,'caseload data'!$D:$D,"PO",'caseload data'!$A:$A,'HMIP caseload divisional'!$B$5)</f>
        <v>0</v>
      </c>
      <c r="K36" s="242">
        <f>SUMIFS('caseload data'!M:M,'caseload data'!$D:$D,"PO",'caseload data'!$A:$A,'HMIP caseload divisional'!$B$5)</f>
        <v>0</v>
      </c>
      <c r="L36" s="242">
        <f>SUMIFS('caseload data'!N:N,'caseload data'!$D:$D,"PO",'caseload data'!$A:$A,'HMIP caseload divisional'!$B$5)</f>
        <v>0</v>
      </c>
      <c r="M36" s="242">
        <f>SUMIFS('caseload data'!O:O,'caseload data'!$D:$D,"PO",'caseload data'!$A:$A,'HMIP caseload divisional'!$B$5)</f>
        <v>0</v>
      </c>
      <c r="N36" s="242">
        <f>SUMIFS('caseload data'!P:P,'caseload data'!$D:$D,"PO",'caseload data'!$A:$A,'HMIP caseload divisional'!$B$5)</f>
        <v>0</v>
      </c>
      <c r="O36" s="242">
        <f>SUMIFS('caseload data'!Q:Q,'caseload data'!$D:$D,"PO",'caseload data'!$A:$A,'HMIP caseload divisional'!$B$5)</f>
        <v>0</v>
      </c>
      <c r="P36" s="242">
        <f>SUMIFS('caseload data'!R:R,'caseload data'!$D:$D,"PO",'caseload data'!$A:$A,'HMIP caseload divisional'!$B$5)</f>
        <v>0</v>
      </c>
      <c r="Q36" s="242">
        <f>SUMIFS('caseload data'!S:S,'caseload data'!$D:$D,"PO",'caseload data'!$A:$A,'HMIP caseload divisional'!$B$5)</f>
        <v>0</v>
      </c>
      <c r="R36" s="242">
        <f>SUMIFS('caseload data'!T:T,'caseload data'!$D:$D,"PO",'caseload data'!$A:$A,'HMIP caseload divisional'!$B$5)</f>
        <v>0</v>
      </c>
      <c r="S36" s="242">
        <f>SUMIFS('caseload data'!U:U,'caseload data'!$D:$D,"PO",'caseload data'!$A:$A,'HMIP caseload divisional'!$B$5)</f>
        <v>0</v>
      </c>
      <c r="T36" s="242">
        <f>SUM(C36:S36)</f>
        <v>0</v>
      </c>
    </row>
    <row r="37" spans="2:20" x14ac:dyDescent="0.15">
      <c r="B37" s="101" t="s">
        <v>1172</v>
      </c>
      <c r="C37" s="242">
        <f>SUMIFS('caseload data'!E:E,'caseload data'!$D:$D,"PSO",'caseload data'!$A:$A,'HMIP caseload divisional'!$B$5)</f>
        <v>0</v>
      </c>
      <c r="D37" s="242">
        <f>SUMIFS('caseload data'!F:F,'caseload data'!$D:$D,"PSO",'caseload data'!$A:$A,'HMIP caseload divisional'!$B$5)</f>
        <v>0</v>
      </c>
      <c r="E37" s="242">
        <f>SUMIFS('caseload data'!G:G,'caseload data'!$D:$D,"PSO",'caseload data'!$A:$A,'HMIP caseload divisional'!$B$5)</f>
        <v>0</v>
      </c>
      <c r="F37" s="242">
        <f>SUMIFS('caseload data'!H:H,'caseload data'!$D:$D,"PSO",'caseload data'!$A:$A,'HMIP caseload divisional'!$B$5)</f>
        <v>0</v>
      </c>
      <c r="G37" s="242">
        <f>SUMIFS('caseload data'!I:I,'caseload data'!$D:$D,"PSO",'caseload data'!$A:$A,'HMIP caseload divisional'!$B$5)</f>
        <v>0</v>
      </c>
      <c r="H37" s="242">
        <f>SUMIFS('caseload data'!J:J,'caseload data'!$D:$D,"PSO",'caseload data'!$A:$A,'HMIP caseload divisional'!$B$5)</f>
        <v>0</v>
      </c>
      <c r="I37" s="242">
        <f>SUMIFS('caseload data'!K:K,'caseload data'!$D:$D,"PSO",'caseload data'!$A:$A,'HMIP caseload divisional'!$B$5)</f>
        <v>0</v>
      </c>
      <c r="J37" s="242">
        <f>SUMIFS('caseload data'!L:L,'caseload data'!$D:$D,"PSO",'caseload data'!$A:$A,'HMIP caseload divisional'!$B$5)</f>
        <v>0</v>
      </c>
      <c r="K37" s="242">
        <f>SUMIFS('caseload data'!M:M,'caseload data'!$D:$D,"PSO",'caseload data'!$A:$A,'HMIP caseload divisional'!$B$5)</f>
        <v>0</v>
      </c>
      <c r="L37" s="242">
        <f>SUMIFS('caseload data'!N:N,'caseload data'!$D:$D,"PSO",'caseload data'!$A:$A,'HMIP caseload divisional'!$B$5)</f>
        <v>0</v>
      </c>
      <c r="M37" s="242">
        <f>SUMIFS('caseload data'!O:O,'caseload data'!$D:$D,"PSO",'caseload data'!$A:$A,'HMIP caseload divisional'!$B$5)</f>
        <v>0</v>
      </c>
      <c r="N37" s="242">
        <f>SUMIFS('caseload data'!P:P,'caseload data'!$D:$D,"PSO",'caseload data'!$A:$A,'HMIP caseload divisional'!$B$5)</f>
        <v>0</v>
      </c>
      <c r="O37" s="242">
        <f>SUMIFS('caseload data'!Q:Q,'caseload data'!$D:$D,"PSO",'caseload data'!$A:$A,'HMIP caseload divisional'!$B$5)</f>
        <v>0</v>
      </c>
      <c r="P37" s="242">
        <f>SUMIFS('caseload data'!R:R,'caseload data'!$D:$D,"PSO",'caseload data'!$A:$A,'HMIP caseload divisional'!$B$5)</f>
        <v>0</v>
      </c>
      <c r="Q37" s="242">
        <f>SUMIFS('caseload data'!S:S,'caseload data'!$D:$D,"PSO",'caseload data'!$A:$A,'HMIP caseload divisional'!$B$5)</f>
        <v>0</v>
      </c>
      <c r="R37" s="242">
        <f>SUMIFS('caseload data'!T:T,'caseload data'!$D:$D,"PSO",'caseload data'!$A:$A,'HMIP caseload divisional'!$B$5)</f>
        <v>0</v>
      </c>
      <c r="S37" s="242">
        <f>SUMIFS('caseload data'!U:U,'caseload data'!$D:$D,"PSO",'caseload data'!$A:$A,'HMIP caseload divisional'!$B$5)</f>
        <v>0</v>
      </c>
      <c r="T37" s="242">
        <f t="shared" ref="T37:T39" si="5">SUM(C37:S37)</f>
        <v>0</v>
      </c>
    </row>
    <row r="38" spans="2:20" x14ac:dyDescent="0.15">
      <c r="B38" s="101" t="s">
        <v>1173</v>
      </c>
      <c r="C38" s="242">
        <f>SUMIFS('caseload data'!E:E,'caseload data'!$D:$D,"TPO",'caseload data'!$A:$A,'HMIP caseload divisional'!$B$5)</f>
        <v>0</v>
      </c>
      <c r="D38" s="242">
        <f>SUMIFS('caseload data'!F:F,'caseload data'!$D:$D,"TPO",'caseload data'!$A:$A,'HMIP caseload divisional'!$B$5)</f>
        <v>0</v>
      </c>
      <c r="E38" s="242">
        <f>SUMIFS('caseload data'!G:G,'caseload data'!$D:$D,"TPO",'caseload data'!$A:$A,'HMIP caseload divisional'!$B$5)</f>
        <v>0</v>
      </c>
      <c r="F38" s="242">
        <f>SUMIFS('caseload data'!H:H,'caseload data'!$D:$D,"TPO",'caseload data'!$A:$A,'HMIP caseload divisional'!$B$5)</f>
        <v>0</v>
      </c>
      <c r="G38" s="242">
        <f>SUMIFS('caseload data'!I:I,'caseload data'!$D:$D,"TPO",'caseload data'!$A:$A,'HMIP caseload divisional'!$B$5)</f>
        <v>0</v>
      </c>
      <c r="H38" s="242">
        <f>SUMIFS('caseload data'!J:J,'caseload data'!$D:$D,"TPO",'caseload data'!$A:$A,'HMIP caseload divisional'!$B$5)</f>
        <v>0</v>
      </c>
      <c r="I38" s="242">
        <f>SUMIFS('caseload data'!K:K,'caseload data'!$D:$D,"TPO",'caseload data'!$A:$A,'HMIP caseload divisional'!$B$5)</f>
        <v>0</v>
      </c>
      <c r="J38" s="242">
        <f>SUMIFS('caseload data'!L:L,'caseload data'!$D:$D,"TPO",'caseload data'!$A:$A,'HMIP caseload divisional'!$B$5)</f>
        <v>0</v>
      </c>
      <c r="K38" s="242">
        <f>SUMIFS('caseload data'!M:M,'caseload data'!$D:$D,"TPO",'caseload data'!$A:$A,'HMIP caseload divisional'!$B$5)</f>
        <v>0</v>
      </c>
      <c r="L38" s="242">
        <f>SUMIFS('caseload data'!N:N,'caseload data'!$D:$D,"TPO",'caseload data'!$A:$A,'HMIP caseload divisional'!$B$5)</f>
        <v>0</v>
      </c>
      <c r="M38" s="242">
        <f>SUMIFS('caseload data'!O:O,'caseload data'!$D:$D,"TPO",'caseload data'!$A:$A,'HMIP caseload divisional'!$B$5)</f>
        <v>0</v>
      </c>
      <c r="N38" s="242">
        <f>SUMIFS('caseload data'!P:P,'caseload data'!$D:$D,"TPO",'caseload data'!$A:$A,'HMIP caseload divisional'!$B$5)</f>
        <v>0</v>
      </c>
      <c r="O38" s="242">
        <f>SUMIFS('caseload data'!Q:Q,'caseload data'!$D:$D,"TPO",'caseload data'!$A:$A,'HMIP caseload divisional'!$B$5)</f>
        <v>0</v>
      </c>
      <c r="P38" s="242">
        <f>SUMIFS('caseload data'!R:R,'caseload data'!$D:$D,"TPO",'caseload data'!$A:$A,'HMIP caseload divisional'!$B$5)</f>
        <v>0</v>
      </c>
      <c r="Q38" s="242">
        <f>SUMIFS('caseload data'!S:S,'caseload data'!$D:$D,"TPO",'caseload data'!$A:$A,'HMIP caseload divisional'!$B$5)</f>
        <v>0</v>
      </c>
      <c r="R38" s="242">
        <f>SUMIFS('caseload data'!T:T,'caseload data'!$D:$D,"TPO",'caseload data'!$A:$A,'HMIP caseload divisional'!$B$5)</f>
        <v>0</v>
      </c>
      <c r="S38" s="242">
        <f>SUMIFS('caseload data'!U:U,'caseload data'!$D:$D,"TPO",'caseload data'!$A:$A,'HMIP caseload divisional'!$B$5)</f>
        <v>0</v>
      </c>
      <c r="T38" s="242">
        <f t="shared" si="5"/>
        <v>0</v>
      </c>
    </row>
    <row r="39" spans="2:20" x14ac:dyDescent="0.15">
      <c r="B39" s="102" t="s">
        <v>1174</v>
      </c>
      <c r="C39" s="242">
        <f>SUMIFS('caseload data'!E:E,'caseload data'!$D:$D,"SPO",'caseload data'!$A:$A,$B$5)</f>
        <v>0</v>
      </c>
      <c r="D39" s="242">
        <f>SUMIFS('caseload data'!F:F,'caseload data'!$D:$D,"SPO",'caseload data'!$A:$A,$B$5)</f>
        <v>0</v>
      </c>
      <c r="E39" s="242">
        <f>SUMIFS('caseload data'!G:G,'caseload data'!$D:$D,"SPO",'caseload data'!$A:$A,$B$5)</f>
        <v>0</v>
      </c>
      <c r="F39" s="242">
        <f>SUMIFS('caseload data'!H:H,'caseload data'!$D:$D,"SPO",'caseload data'!$A:$A,$B$5)</f>
        <v>0</v>
      </c>
      <c r="G39" s="242">
        <f>SUMIFS('caseload data'!I:I,'caseload data'!$D:$D,"SPO",'caseload data'!$A:$A,$B$5)</f>
        <v>0</v>
      </c>
      <c r="H39" s="242">
        <f>SUMIFS('caseload data'!J:J,'caseload data'!$D:$D,"SPO",'caseload data'!$A:$A,$B$5)</f>
        <v>0</v>
      </c>
      <c r="I39" s="242">
        <f>SUMIFS('caseload data'!K:K,'caseload data'!$D:$D,"SPO",'caseload data'!$A:$A,$B$5)</f>
        <v>0</v>
      </c>
      <c r="J39" s="242">
        <f>SUMIFS('caseload data'!L:L,'caseload data'!$D:$D,"SPO",'caseload data'!$A:$A,$B$5)</f>
        <v>0</v>
      </c>
      <c r="K39" s="242">
        <f>SUMIFS('caseload data'!M:M,'caseload data'!$D:$D,"SPO",'caseload data'!$A:$A,$B$5)</f>
        <v>0</v>
      </c>
      <c r="L39" s="242">
        <f>SUMIFS('caseload data'!N:N,'caseload data'!$D:$D,"SPO",'caseload data'!$A:$A,$B$5)</f>
        <v>0</v>
      </c>
      <c r="M39" s="242">
        <f>SUMIFS('caseload data'!O:O,'caseload data'!$D:$D,"SPO",'caseload data'!$A:$A,$B$5)</f>
        <v>0</v>
      </c>
      <c r="N39" s="242">
        <f>SUMIFS('caseload data'!P:P,'caseload data'!$D:$D,"SPO",'caseload data'!$A:$A,$B$5)</f>
        <v>0</v>
      </c>
      <c r="O39" s="242">
        <f>SUMIFS('caseload data'!Q:Q,'caseload data'!$D:$D,"SPO",'caseload data'!$A:$A,$B$5)</f>
        <v>0</v>
      </c>
      <c r="P39" s="242">
        <f>SUMIFS('caseload data'!R:R,'caseload data'!$D:$D,"SPO",'caseload data'!$A:$A,$B$5)</f>
        <v>0</v>
      </c>
      <c r="Q39" s="242">
        <f>SUMIFS('caseload data'!S:S,'caseload data'!$D:$D,"SPO",'caseload data'!$A:$A,$B$5)</f>
        <v>0</v>
      </c>
      <c r="R39" s="242">
        <f>SUMIFS('caseload data'!T:T,'caseload data'!$D:$D,"SPO",'caseload data'!$A:$A,$B$5)</f>
        <v>0</v>
      </c>
      <c r="S39" s="242">
        <f>SUMIFS('caseload data'!U:U,'caseload data'!$D:$D,"SPO",'caseload data'!$A:$A,$B$5)</f>
        <v>0</v>
      </c>
      <c r="T39" s="242">
        <f t="shared" si="5"/>
        <v>0</v>
      </c>
    </row>
    <row r="40" spans="2:20" x14ac:dyDescent="0.15">
      <c r="B40" s="179"/>
      <c r="C40" s="245"/>
      <c r="D40" s="245"/>
      <c r="E40" s="245"/>
      <c r="F40" s="245"/>
      <c r="G40" s="245"/>
      <c r="H40" s="245"/>
      <c r="I40" s="245"/>
      <c r="J40" s="245"/>
      <c r="K40" s="245"/>
      <c r="L40" s="245"/>
      <c r="M40" s="245"/>
      <c r="N40" s="245"/>
      <c r="O40" s="245"/>
      <c r="P40" s="245"/>
      <c r="Q40" s="245"/>
      <c r="R40" s="245"/>
      <c r="S40" s="245"/>
      <c r="T40" s="68"/>
    </row>
    <row r="41" spans="2:20" ht="29.25" customHeight="1" x14ac:dyDescent="0.15">
      <c r="B41" s="312" t="str">
        <f>B5</f>
        <v>North East Region</v>
      </c>
      <c r="C41" s="383" t="s">
        <v>1197</v>
      </c>
      <c r="D41" s="384"/>
      <c r="E41" s="384"/>
      <c r="F41" s="384"/>
      <c r="G41" s="384"/>
      <c r="H41" s="384"/>
      <c r="I41" s="384"/>
      <c r="J41" s="384"/>
      <c r="K41" s="384"/>
      <c r="L41" s="384"/>
      <c r="M41" s="384"/>
      <c r="N41" s="384"/>
      <c r="O41" s="384"/>
      <c r="P41" s="384"/>
      <c r="Q41" s="384"/>
      <c r="R41" s="384"/>
      <c r="S41" s="384"/>
      <c r="T41" s="384"/>
    </row>
    <row r="42" spans="2:20" x14ac:dyDescent="0.15">
      <c r="B42" s="99" t="s">
        <v>1171</v>
      </c>
      <c r="C42" s="301" t="s">
        <v>1022</v>
      </c>
      <c r="D42" s="301" t="s">
        <v>1023</v>
      </c>
      <c r="E42" s="301" t="s">
        <v>1024</v>
      </c>
      <c r="F42" s="301" t="s">
        <v>1025</v>
      </c>
      <c r="G42" s="301" t="s">
        <v>1026</v>
      </c>
      <c r="H42" s="301" t="s">
        <v>1027</v>
      </c>
      <c r="I42" s="301" t="s">
        <v>1028</v>
      </c>
      <c r="J42" s="301" t="s">
        <v>1029</v>
      </c>
      <c r="K42" s="301" t="s">
        <v>1030</v>
      </c>
      <c r="L42" s="301" t="s">
        <v>1031</v>
      </c>
      <c r="M42" s="301" t="s">
        <v>1032</v>
      </c>
      <c r="N42" s="301" t="s">
        <v>1033</v>
      </c>
      <c r="O42" s="301" t="s">
        <v>1034</v>
      </c>
      <c r="P42" s="301" t="s">
        <v>1035</v>
      </c>
      <c r="Q42" s="301" t="s">
        <v>1036</v>
      </c>
      <c r="R42" s="301" t="s">
        <v>1037</v>
      </c>
      <c r="S42" s="301" t="s">
        <v>1196</v>
      </c>
      <c r="T42" s="301" t="s">
        <v>1127</v>
      </c>
    </row>
    <row r="43" spans="2:20" x14ac:dyDescent="0.15">
      <c r="B43" s="100" t="s">
        <v>1166</v>
      </c>
      <c r="C43" s="242">
        <f>SUMIFS('caseload data'!E:E,'caseload data'!$D:$D,"PO",'caseload data'!$A:$A,'HMIP caseload divisional'!$B$5, 'caseload data'!$B:$B, "community")</f>
        <v>0</v>
      </c>
      <c r="D43" s="242">
        <f>SUMIFS('caseload data'!F:F,'caseload data'!$D:$D,"PO",'caseload data'!$A:$A,'HMIP caseload divisional'!$B$5, 'caseload data'!$B:$B, "community")</f>
        <v>0</v>
      </c>
      <c r="E43" s="242">
        <f>SUMIFS('caseload data'!G:G,'caseload data'!$D:$D,"PO",'caseload data'!$A:$A,'HMIP caseload divisional'!$B$5, 'caseload data'!$B:$B, "community")</f>
        <v>0</v>
      </c>
      <c r="F43" s="242">
        <f>SUMIFS('caseload data'!H:H,'caseload data'!$D:$D,"PO",'caseload data'!$A:$A,'HMIP caseload divisional'!$B$5, 'caseload data'!$B:$B, "community")</f>
        <v>0</v>
      </c>
      <c r="G43" s="242">
        <f>SUMIFS('caseload data'!I:I,'caseload data'!$D:$D,"PO",'caseload data'!$A:$A,'HMIP caseload divisional'!$B$5, 'caseload data'!$B:$B, "community")</f>
        <v>0</v>
      </c>
      <c r="H43" s="242">
        <f>SUMIFS('caseload data'!J:J,'caseload data'!$D:$D,"PO",'caseload data'!$A:$A,'HMIP caseload divisional'!$B$5, 'caseload data'!$B:$B, "community")</f>
        <v>0</v>
      </c>
      <c r="I43" s="242">
        <f>SUMIFS('caseload data'!K:K,'caseload data'!$D:$D,"PO",'caseload data'!$A:$A,'HMIP caseload divisional'!$B$5, 'caseload data'!$B:$B, "community")</f>
        <v>0</v>
      </c>
      <c r="J43" s="242">
        <f>SUMIFS('caseload data'!L:L,'caseload data'!$D:$D,"PO",'caseload data'!$A:$A,'HMIP caseload divisional'!$B$5, 'caseload data'!$B:$B, "community")</f>
        <v>0</v>
      </c>
      <c r="K43" s="242">
        <f>SUMIFS('caseload data'!M:M,'caseload data'!$D:$D,"PO",'caseload data'!$A:$A,'HMIP caseload divisional'!$B$5, 'caseload data'!$B:$B, "community")</f>
        <v>0</v>
      </c>
      <c r="L43" s="242">
        <f>SUMIFS('caseload data'!N:N,'caseload data'!$D:$D,"PO",'caseload data'!$A:$A,'HMIP caseload divisional'!$B$5, 'caseload data'!$B:$B, "community")</f>
        <v>0</v>
      </c>
      <c r="M43" s="242">
        <f>SUMIFS('caseload data'!O:O,'caseload data'!$D:$D,"PO",'caseload data'!$A:$A,'HMIP caseload divisional'!$B$5, 'caseload data'!$B:$B, "community")</f>
        <v>0</v>
      </c>
      <c r="N43" s="242">
        <f>SUMIFS('caseload data'!P:P,'caseload data'!$D:$D,"PO",'caseload data'!$A:$A,'HMIP caseload divisional'!$B$5, 'caseload data'!$B:$B, "community")</f>
        <v>0</v>
      </c>
      <c r="O43" s="242">
        <f>SUMIFS('caseload data'!Q:Q,'caseload data'!$D:$D,"PO",'caseload data'!$A:$A,'HMIP caseload divisional'!$B$5, 'caseload data'!$B:$B, "community")</f>
        <v>0</v>
      </c>
      <c r="P43" s="242">
        <f>SUMIFS('caseload data'!R:R,'caseload data'!$D:$D,"PO",'caseload data'!$A:$A,'HMIP caseload divisional'!$B$5, 'caseload data'!$B:$B, "community")</f>
        <v>0</v>
      </c>
      <c r="Q43" s="242">
        <f>SUMIFS('caseload data'!S:S,'caseload data'!$D:$D,"PO",'caseload data'!$A:$A,'HMIP caseload divisional'!$B$5, 'caseload data'!$B:$B, "community")</f>
        <v>0</v>
      </c>
      <c r="R43" s="242">
        <f>SUMIFS('caseload data'!T:T,'caseload data'!$D:$D,"PO",'caseload data'!$A:$A,'HMIP caseload divisional'!$B$5, 'caseload data'!$B:$B, "community")</f>
        <v>0</v>
      </c>
      <c r="S43" s="242">
        <f>SUMIFS('caseload data'!U:U,'caseload data'!$D:$D,"PO",'caseload data'!$A:$A,'HMIP caseload divisional'!$B$5, 'caseload data'!$B:$B, "community")</f>
        <v>0</v>
      </c>
      <c r="T43" s="242">
        <f>SUM(C43:S43)</f>
        <v>0</v>
      </c>
    </row>
    <row r="44" spans="2:20" x14ac:dyDescent="0.15">
      <c r="B44" s="101" t="s">
        <v>1172</v>
      </c>
      <c r="C44" s="242">
        <f>SUMIFS('caseload data'!E:E,'caseload data'!$D:$D,"PSO",'caseload data'!$A:$A,'HMIP caseload divisional'!$B$5, 'caseload data'!$B:$B, "community")</f>
        <v>0</v>
      </c>
      <c r="D44" s="242">
        <f>SUMIFS('caseload data'!F:F,'caseload data'!$D:$D,"PSO",'caseload data'!$A:$A,'HMIP caseload divisional'!$B$5, 'caseload data'!$B:$B, "community")</f>
        <v>0</v>
      </c>
      <c r="E44" s="242">
        <f>SUMIFS('caseload data'!G:G,'caseload data'!$D:$D,"PSO",'caseload data'!$A:$A,'HMIP caseload divisional'!$B$5, 'caseload data'!$B:$B, "community")</f>
        <v>0</v>
      </c>
      <c r="F44" s="242">
        <f>SUMIFS('caseload data'!H:H,'caseload data'!$D:$D,"PSO",'caseload data'!$A:$A,'HMIP caseload divisional'!$B$5, 'caseload data'!$B:$B, "community")</f>
        <v>0</v>
      </c>
      <c r="G44" s="242">
        <f>SUMIFS('caseload data'!I:I,'caseload data'!$D:$D,"PSO",'caseload data'!$A:$A,'HMIP caseload divisional'!$B$5, 'caseload data'!$B:$B, "community")</f>
        <v>0</v>
      </c>
      <c r="H44" s="242">
        <f>SUMIFS('caseload data'!J:J,'caseload data'!$D:$D,"PSO",'caseload data'!$A:$A,'HMIP caseload divisional'!$B$5, 'caseload data'!$B:$B, "community")</f>
        <v>0</v>
      </c>
      <c r="I44" s="242">
        <f>SUMIFS('caseload data'!K:K,'caseload data'!$D:$D,"PSO",'caseload data'!$A:$A,'HMIP caseload divisional'!$B$5, 'caseload data'!$B:$B, "community")</f>
        <v>0</v>
      </c>
      <c r="J44" s="242">
        <f>SUMIFS('caseload data'!L:L,'caseload data'!$D:$D,"PSO",'caseload data'!$A:$A,'HMIP caseload divisional'!$B$5, 'caseload data'!$B:$B, "community")</f>
        <v>0</v>
      </c>
      <c r="K44" s="242">
        <f>SUMIFS('caseload data'!M:M,'caseload data'!$D:$D,"PSO",'caseload data'!$A:$A,'HMIP caseload divisional'!$B$5, 'caseload data'!$B:$B, "community")</f>
        <v>0</v>
      </c>
      <c r="L44" s="242">
        <f>SUMIFS('caseload data'!N:N,'caseload data'!$D:$D,"PSO",'caseload data'!$A:$A,'HMIP caseload divisional'!$B$5, 'caseload data'!$B:$B, "community")</f>
        <v>0</v>
      </c>
      <c r="M44" s="242">
        <f>SUMIFS('caseload data'!O:O,'caseload data'!$D:$D,"PSO",'caseload data'!$A:$A,'HMIP caseload divisional'!$B$5, 'caseload data'!$B:$B, "community")</f>
        <v>0</v>
      </c>
      <c r="N44" s="242">
        <f>SUMIFS('caseload data'!P:P,'caseload data'!$D:$D,"PSO",'caseload data'!$A:$A,'HMIP caseload divisional'!$B$5, 'caseload data'!$B:$B, "community")</f>
        <v>0</v>
      </c>
      <c r="O44" s="242">
        <f>SUMIFS('caseload data'!Q:Q,'caseload data'!$D:$D,"PSO",'caseload data'!$A:$A,'HMIP caseload divisional'!$B$5, 'caseload data'!$B:$B, "community")</f>
        <v>0</v>
      </c>
      <c r="P44" s="242">
        <f>SUMIFS('caseload data'!R:R,'caseload data'!$D:$D,"PSO",'caseload data'!$A:$A,'HMIP caseload divisional'!$B$5, 'caseload data'!$B:$B, "community")</f>
        <v>0</v>
      </c>
      <c r="Q44" s="242">
        <f>SUMIFS('caseload data'!S:S,'caseload data'!$D:$D,"PSO",'caseload data'!$A:$A,'HMIP caseload divisional'!$B$5, 'caseload data'!$B:$B, "community")</f>
        <v>0</v>
      </c>
      <c r="R44" s="242">
        <f>SUMIFS('caseload data'!T:T,'caseload data'!$D:$D,"PSO",'caseload data'!$A:$A,'HMIP caseload divisional'!$B$5, 'caseload data'!$B:$B, "community")</f>
        <v>0</v>
      </c>
      <c r="S44" s="242">
        <f>SUMIFS('caseload data'!U:U,'caseload data'!$D:$D,"PSO",'caseload data'!$A:$A,'HMIP caseload divisional'!$B$5, 'caseload data'!$B:$B, "community")</f>
        <v>0</v>
      </c>
      <c r="T44" s="242">
        <f t="shared" ref="T44:T46" si="6">SUM(C44:S44)</f>
        <v>0</v>
      </c>
    </row>
    <row r="45" spans="2:20" x14ac:dyDescent="0.15">
      <c r="B45" s="101" t="s">
        <v>1173</v>
      </c>
      <c r="C45" s="242">
        <f>SUMIFS('caseload data'!E:E,'caseload data'!$D:$D,"TPO",'caseload data'!$A:$A,'HMIP caseload divisional'!$B$5, 'caseload data'!$B:$B, "community")</f>
        <v>0</v>
      </c>
      <c r="D45" s="242">
        <f>SUMIFS('caseload data'!F:F,'caseload data'!$D:$D,"TPO",'caseload data'!$A:$A,'HMIP caseload divisional'!$B$5, 'caseload data'!$B:$B, "community")</f>
        <v>0</v>
      </c>
      <c r="E45" s="242">
        <f>SUMIFS('caseload data'!G:G,'caseload data'!$D:$D,"TPO",'caseload data'!$A:$A,'HMIP caseload divisional'!$B$5, 'caseload data'!$B:$B, "community")</f>
        <v>0</v>
      </c>
      <c r="F45" s="242">
        <f>SUMIFS('caseload data'!H:H,'caseload data'!$D:$D,"TPO",'caseload data'!$A:$A,'HMIP caseload divisional'!$B$5, 'caseload data'!$B:$B, "community")</f>
        <v>0</v>
      </c>
      <c r="G45" s="242">
        <f>SUMIFS('caseload data'!I:I,'caseload data'!$D:$D,"TPO",'caseload data'!$A:$A,'HMIP caseload divisional'!$B$5, 'caseload data'!$B:$B, "community")</f>
        <v>0</v>
      </c>
      <c r="H45" s="242">
        <f>SUMIFS('caseload data'!J:J,'caseload data'!$D:$D,"TPO",'caseload data'!$A:$A,'HMIP caseload divisional'!$B$5, 'caseload data'!$B:$B, "community")</f>
        <v>0</v>
      </c>
      <c r="I45" s="242">
        <f>SUMIFS('caseload data'!K:K,'caseload data'!$D:$D,"TPO",'caseload data'!$A:$A,'HMIP caseload divisional'!$B$5, 'caseload data'!$B:$B, "community")</f>
        <v>0</v>
      </c>
      <c r="J45" s="242">
        <f>SUMIFS('caseload data'!L:L,'caseload data'!$D:$D,"TPO",'caseload data'!$A:$A,'HMIP caseload divisional'!$B$5, 'caseload data'!$B:$B, "community")</f>
        <v>0</v>
      </c>
      <c r="K45" s="242">
        <f>SUMIFS('caseload data'!M:M,'caseload data'!$D:$D,"TPO",'caseload data'!$A:$A,'HMIP caseload divisional'!$B$5, 'caseload data'!$B:$B, "community")</f>
        <v>0</v>
      </c>
      <c r="L45" s="242">
        <f>SUMIFS('caseload data'!N:N,'caseload data'!$D:$D,"TPO",'caseload data'!$A:$A,'HMIP caseload divisional'!$B$5, 'caseload data'!$B:$B, "community")</f>
        <v>0</v>
      </c>
      <c r="M45" s="242">
        <f>SUMIFS('caseload data'!O:O,'caseload data'!$D:$D,"TPO",'caseload data'!$A:$A,'HMIP caseload divisional'!$B$5, 'caseload data'!$B:$B, "community")</f>
        <v>0</v>
      </c>
      <c r="N45" s="242">
        <f>SUMIFS('caseload data'!P:P,'caseload data'!$D:$D,"TPO",'caseload data'!$A:$A,'HMIP caseload divisional'!$B$5, 'caseload data'!$B:$B, "community")</f>
        <v>0</v>
      </c>
      <c r="O45" s="242">
        <f>SUMIFS('caseload data'!Q:Q,'caseload data'!$D:$D,"TPO",'caseload data'!$A:$A,'HMIP caseload divisional'!$B$5, 'caseload data'!$B:$B, "community")</f>
        <v>0</v>
      </c>
      <c r="P45" s="242">
        <f>SUMIFS('caseload data'!R:R,'caseload data'!$D:$D,"TPO",'caseload data'!$A:$A,'HMIP caseload divisional'!$B$5, 'caseload data'!$B:$B, "community")</f>
        <v>0</v>
      </c>
      <c r="Q45" s="242">
        <f>SUMIFS('caseload data'!S:S,'caseload data'!$D:$D,"TPO",'caseload data'!$A:$A,'HMIP caseload divisional'!$B$5, 'caseload data'!$B:$B, "community")</f>
        <v>0</v>
      </c>
      <c r="R45" s="242">
        <f>SUMIFS('caseload data'!T:T,'caseload data'!$D:$D,"TPO",'caseload data'!$A:$A,'HMIP caseload divisional'!$B$5, 'caseload data'!$B:$B, "community")</f>
        <v>0</v>
      </c>
      <c r="S45" s="242">
        <f>SUMIFS('caseload data'!U:U,'caseload data'!$D:$D,"TPO",'caseload data'!$A:$A,'HMIP caseload divisional'!$B$5, 'caseload data'!$B:$B, "community")</f>
        <v>0</v>
      </c>
      <c r="T45" s="242">
        <f t="shared" si="6"/>
        <v>0</v>
      </c>
    </row>
    <row r="46" spans="2:20" x14ac:dyDescent="0.15">
      <c r="B46" s="102" t="s">
        <v>1174</v>
      </c>
      <c r="C46" s="242">
        <f>SUMIFS('caseload data'!E:E,'caseload data'!$D:$D,"SPO",'caseload data'!$A:$A,$B$5, 'caseload data'!$B:$B, "community")</f>
        <v>0</v>
      </c>
      <c r="D46" s="242">
        <f>SUMIFS('caseload data'!F:F,'caseload data'!$D:$D,"SPO",'caseload data'!$A:$A,$B$5, 'caseload data'!$B:$B, "community")</f>
        <v>0</v>
      </c>
      <c r="E46" s="242">
        <f>SUMIFS('caseload data'!G:G,'caseload data'!$D:$D,"SPO",'caseload data'!$A:$A,$B$5, 'caseload data'!$B:$B, "community")</f>
        <v>0</v>
      </c>
      <c r="F46" s="242">
        <f>SUMIFS('caseload data'!H:H,'caseload data'!$D:$D,"SPO",'caseload data'!$A:$A,$B$5, 'caseload data'!$B:$B, "community")</f>
        <v>0</v>
      </c>
      <c r="G46" s="242">
        <f>SUMIFS('caseload data'!I:I,'caseload data'!$D:$D,"SPO",'caseload data'!$A:$A,$B$5, 'caseload data'!$B:$B, "community")</f>
        <v>0</v>
      </c>
      <c r="H46" s="242">
        <f>SUMIFS('caseload data'!J:J,'caseload data'!$D:$D,"SPO",'caseload data'!$A:$A,$B$5, 'caseload data'!$B:$B, "community")</f>
        <v>0</v>
      </c>
      <c r="I46" s="242">
        <f>SUMIFS('caseload data'!K:K,'caseload data'!$D:$D,"SPO",'caseload data'!$A:$A,$B$5, 'caseload data'!$B:$B, "community")</f>
        <v>0</v>
      </c>
      <c r="J46" s="242">
        <f>SUMIFS('caseload data'!L:L,'caseload data'!$D:$D,"SPO",'caseload data'!$A:$A,$B$5, 'caseload data'!$B:$B, "community")</f>
        <v>0</v>
      </c>
      <c r="K46" s="242">
        <f>SUMIFS('caseload data'!M:M,'caseload data'!$D:$D,"SPO",'caseload data'!$A:$A,$B$5, 'caseload data'!$B:$B, "community")</f>
        <v>0</v>
      </c>
      <c r="L46" s="242">
        <f>SUMIFS('caseload data'!N:N,'caseload data'!$D:$D,"SPO",'caseload data'!$A:$A,$B$5, 'caseload data'!$B:$B, "community")</f>
        <v>0</v>
      </c>
      <c r="M46" s="242">
        <f>SUMIFS('caseload data'!O:O,'caseload data'!$D:$D,"SPO",'caseload data'!$A:$A,$B$5, 'caseload data'!$B:$B, "community")</f>
        <v>0</v>
      </c>
      <c r="N46" s="242">
        <f>SUMIFS('caseload data'!P:P,'caseload data'!$D:$D,"SPO",'caseload data'!$A:$A,$B$5, 'caseload data'!$B:$B, "community")</f>
        <v>0</v>
      </c>
      <c r="O46" s="242">
        <f>SUMIFS('caseload data'!Q:Q,'caseload data'!$D:$D,"SPO",'caseload data'!$A:$A,$B$5, 'caseload data'!$B:$B, "community")</f>
        <v>0</v>
      </c>
      <c r="P46" s="242">
        <f>SUMIFS('caseload data'!R:R,'caseload data'!$D:$D,"SPO",'caseload data'!$A:$A,$B$5, 'caseload data'!$B:$B, "community")</f>
        <v>0</v>
      </c>
      <c r="Q46" s="242">
        <f>SUMIFS('caseload data'!S:S,'caseload data'!$D:$D,"SPO",'caseload data'!$A:$A,$B$5, 'caseload data'!$B:$B, "community")</f>
        <v>0</v>
      </c>
      <c r="R46" s="242">
        <f>SUMIFS('caseload data'!T:T,'caseload data'!$D:$D,"SPO",'caseload data'!$A:$A,$B$5, 'caseload data'!$B:$B, "community")</f>
        <v>0</v>
      </c>
      <c r="S46" s="242">
        <f>SUMIFS('caseload data'!U:U,'caseload data'!$D:$D,"SPO",'caseload data'!$A:$A,$B$5, 'caseload data'!$B:$B, "community")</f>
        <v>0</v>
      </c>
      <c r="T46" s="242">
        <f t="shared" si="6"/>
        <v>0</v>
      </c>
    </row>
    <row r="47" spans="2:20" x14ac:dyDescent="0.15">
      <c r="B47" s="179"/>
      <c r="C47" s="245"/>
      <c r="D47" s="245"/>
      <c r="E47" s="245"/>
      <c r="F47" s="245"/>
      <c r="G47" s="245"/>
      <c r="H47" s="245"/>
      <c r="I47" s="245"/>
      <c r="J47" s="245"/>
      <c r="K47" s="245"/>
      <c r="L47" s="245"/>
      <c r="M47" s="245"/>
      <c r="N47" s="245"/>
      <c r="O47" s="245"/>
      <c r="P47" s="245"/>
      <c r="Q47" s="245"/>
      <c r="R47" s="245"/>
      <c r="S47" s="245"/>
      <c r="T47" s="68"/>
    </row>
    <row r="48" spans="2:20" ht="27.75" customHeight="1" x14ac:dyDescent="0.15">
      <c r="B48" s="312" t="str">
        <f>B5</f>
        <v>North East Region</v>
      </c>
      <c r="C48" s="383" t="s">
        <v>1198</v>
      </c>
      <c r="D48" s="384"/>
      <c r="E48" s="384"/>
      <c r="F48" s="384"/>
      <c r="G48" s="384"/>
      <c r="H48" s="384"/>
      <c r="I48" s="384"/>
      <c r="J48" s="384"/>
      <c r="K48" s="384"/>
      <c r="L48" s="384"/>
      <c r="M48" s="384"/>
      <c r="N48" s="384"/>
      <c r="O48" s="384"/>
      <c r="P48" s="384"/>
      <c r="Q48" s="384"/>
      <c r="R48" s="384"/>
      <c r="S48" s="384"/>
      <c r="T48" s="384"/>
    </row>
    <row r="49" spans="2:20" x14ac:dyDescent="0.15">
      <c r="B49" s="99" t="s">
        <v>1171</v>
      </c>
      <c r="C49" s="301" t="s">
        <v>1022</v>
      </c>
      <c r="D49" s="301" t="s">
        <v>1023</v>
      </c>
      <c r="E49" s="301" t="s">
        <v>1024</v>
      </c>
      <c r="F49" s="301" t="s">
        <v>1025</v>
      </c>
      <c r="G49" s="301" t="s">
        <v>1026</v>
      </c>
      <c r="H49" s="301" t="s">
        <v>1027</v>
      </c>
      <c r="I49" s="301" t="s">
        <v>1028</v>
      </c>
      <c r="J49" s="301" t="s">
        <v>1029</v>
      </c>
      <c r="K49" s="301" t="s">
        <v>1030</v>
      </c>
      <c r="L49" s="301" t="s">
        <v>1031</v>
      </c>
      <c r="M49" s="301" t="s">
        <v>1032</v>
      </c>
      <c r="N49" s="301" t="s">
        <v>1033</v>
      </c>
      <c r="O49" s="301" t="s">
        <v>1034</v>
      </c>
      <c r="P49" s="301" t="s">
        <v>1035</v>
      </c>
      <c r="Q49" s="301" t="s">
        <v>1036</v>
      </c>
      <c r="R49" s="301" t="s">
        <v>1037</v>
      </c>
      <c r="S49" s="301" t="s">
        <v>1196</v>
      </c>
      <c r="T49" s="301" t="s">
        <v>1127</v>
      </c>
    </row>
    <row r="50" spans="2:20" x14ac:dyDescent="0.15">
      <c r="B50" s="100" t="s">
        <v>1166</v>
      </c>
      <c r="C50" s="242">
        <f>SUMIFS('caseload data'!E:E,'caseload data'!$D:$D,"PO",'caseload data'!$A:$A,'HMIP caseload divisional'!$B$5, 'caseload data'!$B:$B, "licence")</f>
        <v>0</v>
      </c>
      <c r="D50" s="242">
        <f>SUMIFS('caseload data'!F:F,'caseload data'!$D:$D,"PO",'caseload data'!$A:$A,'HMIP caseload divisional'!$B$5, 'caseload data'!$B:$B, "licence")</f>
        <v>0</v>
      </c>
      <c r="E50" s="242">
        <f>SUMIFS('caseload data'!G:G,'caseload data'!$D:$D,"PO",'caseload data'!$A:$A,'HMIP caseload divisional'!$B$5, 'caseload data'!$B:$B, "licence")</f>
        <v>0</v>
      </c>
      <c r="F50" s="242">
        <f>SUMIFS('caseload data'!H:H,'caseload data'!$D:$D,"PO",'caseload data'!$A:$A,'HMIP caseload divisional'!$B$5, 'caseload data'!$B:$B, "licence")</f>
        <v>0</v>
      </c>
      <c r="G50" s="242">
        <f>SUMIFS('caseload data'!I:I,'caseload data'!$D:$D,"PO",'caseload data'!$A:$A,'HMIP caseload divisional'!$B$5, 'caseload data'!$B:$B, "licence")</f>
        <v>0</v>
      </c>
      <c r="H50" s="242">
        <f>SUMIFS('caseload data'!J:J,'caseload data'!$D:$D,"PO",'caseload data'!$A:$A,'HMIP caseload divisional'!$B$5, 'caseload data'!$B:$B, "licence")</f>
        <v>0</v>
      </c>
      <c r="I50" s="242">
        <f>SUMIFS('caseload data'!K:K,'caseload data'!$D:$D,"PO",'caseload data'!$A:$A,'HMIP caseload divisional'!$B$5, 'caseload data'!$B:$B, "licence")</f>
        <v>0</v>
      </c>
      <c r="J50" s="242">
        <f>SUMIFS('caseload data'!L:L,'caseload data'!$D:$D,"PO",'caseload data'!$A:$A,'HMIP caseload divisional'!$B$5, 'caseload data'!$B:$B, "licence")</f>
        <v>0</v>
      </c>
      <c r="K50" s="242">
        <f>SUMIFS('caseload data'!M:M,'caseload data'!$D:$D,"PO",'caseload data'!$A:$A,'HMIP caseload divisional'!$B$5, 'caseload data'!$B:$B, "licence")</f>
        <v>0</v>
      </c>
      <c r="L50" s="242">
        <f>SUMIFS('caseload data'!N:N,'caseload data'!$D:$D,"PO",'caseload data'!$A:$A,'HMIP caseload divisional'!$B$5, 'caseload data'!$B:$B, "licence")</f>
        <v>0</v>
      </c>
      <c r="M50" s="242">
        <f>SUMIFS('caseload data'!O:O,'caseload data'!$D:$D,"PO",'caseload data'!$A:$A,'HMIP caseload divisional'!$B$5, 'caseload data'!$B:$B, "licence")</f>
        <v>0</v>
      </c>
      <c r="N50" s="242">
        <f>SUMIFS('caseload data'!P:P,'caseload data'!$D:$D,"PO",'caseload data'!$A:$A,'HMIP caseload divisional'!$B$5, 'caseload data'!$B:$B, "licence")</f>
        <v>0</v>
      </c>
      <c r="O50" s="242">
        <f>SUMIFS('caseload data'!Q:Q,'caseload data'!$D:$D,"PO",'caseload data'!$A:$A,'HMIP caseload divisional'!$B$5, 'caseload data'!$B:$B, "licence")</f>
        <v>0</v>
      </c>
      <c r="P50" s="242">
        <f>SUMIFS('caseload data'!R:R,'caseload data'!$D:$D,"PO",'caseload data'!$A:$A,'HMIP caseload divisional'!$B$5, 'caseload data'!$B:$B, "licence")</f>
        <v>0</v>
      </c>
      <c r="Q50" s="242">
        <f>SUMIFS('caseload data'!S:S,'caseload data'!$D:$D,"PO",'caseload data'!$A:$A,'HMIP caseload divisional'!$B$5, 'caseload data'!$B:$B, "licence")</f>
        <v>0</v>
      </c>
      <c r="R50" s="242">
        <f>SUMIFS('caseload data'!T:T,'caseload data'!$D:$D,"PO",'caseload data'!$A:$A,'HMIP caseload divisional'!$B$5, 'caseload data'!$B:$B, "licence")</f>
        <v>0</v>
      </c>
      <c r="S50" s="242">
        <f>SUMIFS('caseload data'!U:U,'caseload data'!$D:$D,"PO",'caseload data'!$A:$A,'HMIP caseload divisional'!$B$5, 'caseload data'!$B:$B, "licence")</f>
        <v>0</v>
      </c>
      <c r="T50" s="242">
        <f>SUM(C50:S50)</f>
        <v>0</v>
      </c>
    </row>
    <row r="51" spans="2:20" x14ac:dyDescent="0.15">
      <c r="B51" s="101" t="s">
        <v>1172</v>
      </c>
      <c r="C51" s="242">
        <f>SUMIFS('caseload data'!E:E,'caseload data'!$D:$D,"PSO",'caseload data'!$A:$A,'HMIP caseload divisional'!$B$5, 'caseload data'!$B:$B, "licence")</f>
        <v>0</v>
      </c>
      <c r="D51" s="242">
        <f>SUMIFS('caseload data'!F:F,'caseload data'!$D:$D,"PSO",'caseload data'!$A:$A,'HMIP caseload divisional'!$B$5, 'caseload data'!$B:$B, "licence")</f>
        <v>0</v>
      </c>
      <c r="E51" s="242">
        <f>SUMIFS('caseload data'!G:G,'caseload data'!$D:$D,"PSO",'caseload data'!$A:$A,'HMIP caseload divisional'!$B$5, 'caseload data'!$B:$B, "licence")</f>
        <v>0</v>
      </c>
      <c r="F51" s="242">
        <f>SUMIFS('caseload data'!H:H,'caseload data'!$D:$D,"PSO",'caseload data'!$A:$A,'HMIP caseload divisional'!$B$5, 'caseload data'!$B:$B, "licence")</f>
        <v>0</v>
      </c>
      <c r="G51" s="242">
        <f>SUMIFS('caseload data'!I:I,'caseload data'!$D:$D,"PSO",'caseload data'!$A:$A,'HMIP caseload divisional'!$B$5, 'caseload data'!$B:$B, "licence")</f>
        <v>0</v>
      </c>
      <c r="H51" s="242">
        <f>SUMIFS('caseload data'!J:J,'caseload data'!$D:$D,"PSO",'caseload data'!$A:$A,'HMIP caseload divisional'!$B$5, 'caseload data'!$B:$B, "licence")</f>
        <v>0</v>
      </c>
      <c r="I51" s="242">
        <f>SUMIFS('caseload data'!K:K,'caseload data'!$D:$D,"PSO",'caseload data'!$A:$A,'HMIP caseload divisional'!$B$5, 'caseload data'!$B:$B, "licence")</f>
        <v>0</v>
      </c>
      <c r="J51" s="242">
        <f>SUMIFS('caseload data'!L:L,'caseload data'!$D:$D,"PSO",'caseload data'!$A:$A,'HMIP caseload divisional'!$B$5, 'caseload data'!$B:$B, "licence")</f>
        <v>0</v>
      </c>
      <c r="K51" s="242">
        <f>SUMIFS('caseload data'!M:M,'caseload data'!$D:$D,"PSO",'caseload data'!$A:$A,'HMIP caseload divisional'!$B$5, 'caseload data'!$B:$B, "licence")</f>
        <v>0</v>
      </c>
      <c r="L51" s="242">
        <f>SUMIFS('caseload data'!N:N,'caseload data'!$D:$D,"PSO",'caseload data'!$A:$A,'HMIP caseload divisional'!$B$5, 'caseload data'!$B:$B, "licence")</f>
        <v>0</v>
      </c>
      <c r="M51" s="242">
        <f>SUMIFS('caseload data'!O:O,'caseload data'!$D:$D,"PSO",'caseload data'!$A:$A,'HMIP caseload divisional'!$B$5, 'caseload data'!$B:$B, "licence")</f>
        <v>0</v>
      </c>
      <c r="N51" s="242">
        <f>SUMIFS('caseload data'!P:P,'caseload data'!$D:$D,"PSO",'caseload data'!$A:$A,'HMIP caseload divisional'!$B$5, 'caseload data'!$B:$B, "licence")</f>
        <v>0</v>
      </c>
      <c r="O51" s="242">
        <f>SUMIFS('caseload data'!Q:Q,'caseload data'!$D:$D,"PSO",'caseload data'!$A:$A,'HMIP caseload divisional'!$B$5, 'caseload data'!$B:$B, "licence")</f>
        <v>0</v>
      </c>
      <c r="P51" s="242">
        <f>SUMIFS('caseload data'!R:R,'caseload data'!$D:$D,"PSO",'caseload data'!$A:$A,'HMIP caseload divisional'!$B$5, 'caseload data'!$B:$B, "licence")</f>
        <v>0</v>
      </c>
      <c r="Q51" s="242">
        <f>SUMIFS('caseload data'!S:S,'caseload data'!$D:$D,"PSO",'caseload data'!$A:$A,'HMIP caseload divisional'!$B$5, 'caseload data'!$B:$B, "licence")</f>
        <v>0</v>
      </c>
      <c r="R51" s="242">
        <f>SUMIFS('caseload data'!T:T,'caseload data'!$D:$D,"PSO",'caseload data'!$A:$A,'HMIP caseload divisional'!$B$5, 'caseload data'!$B:$B, "licence")</f>
        <v>0</v>
      </c>
      <c r="S51" s="242">
        <f>SUMIFS('caseload data'!U:U,'caseload data'!$D:$D,"PSO",'caseload data'!$A:$A,'HMIP caseload divisional'!$B$5, 'caseload data'!$B:$B, "licence")</f>
        <v>0</v>
      </c>
      <c r="T51" s="242">
        <f t="shared" ref="T51:T53" si="7">SUM(C51:S51)</f>
        <v>0</v>
      </c>
    </row>
    <row r="52" spans="2:20" x14ac:dyDescent="0.15">
      <c r="B52" s="101" t="s">
        <v>1173</v>
      </c>
      <c r="C52" s="242">
        <f>SUMIFS('caseload data'!E:E,'caseload data'!$D:$D,"TPO",'caseload data'!$A:$A,'HMIP caseload divisional'!$B$5, 'caseload data'!$B:$B, "licence")</f>
        <v>0</v>
      </c>
      <c r="D52" s="242">
        <f>SUMIFS('caseload data'!F:F,'caseload data'!$D:$D,"TPO",'caseload data'!$A:$A,'HMIP caseload divisional'!$B$5, 'caseload data'!$B:$B, "licence")</f>
        <v>0</v>
      </c>
      <c r="E52" s="242">
        <f>SUMIFS('caseload data'!G:G,'caseload data'!$D:$D,"TPO",'caseload data'!$A:$A,'HMIP caseload divisional'!$B$5, 'caseload data'!$B:$B, "licence")</f>
        <v>0</v>
      </c>
      <c r="F52" s="242">
        <f>SUMIFS('caseload data'!H:H,'caseload data'!$D:$D,"TPO",'caseload data'!$A:$A,'HMIP caseload divisional'!$B$5, 'caseload data'!$B:$B, "licence")</f>
        <v>0</v>
      </c>
      <c r="G52" s="242">
        <f>SUMIFS('caseload data'!I:I,'caseload data'!$D:$D,"TPO",'caseload data'!$A:$A,'HMIP caseload divisional'!$B$5, 'caseload data'!$B:$B, "licence")</f>
        <v>0</v>
      </c>
      <c r="H52" s="242">
        <f>SUMIFS('caseload data'!J:J,'caseload data'!$D:$D,"TPO",'caseload data'!$A:$A,'HMIP caseload divisional'!$B$5, 'caseload data'!$B:$B, "licence")</f>
        <v>0</v>
      </c>
      <c r="I52" s="242">
        <f>SUMIFS('caseload data'!K:K,'caseload data'!$D:$D,"TPO",'caseload data'!$A:$A,'HMIP caseload divisional'!$B$5, 'caseload data'!$B:$B, "licence")</f>
        <v>0</v>
      </c>
      <c r="J52" s="242">
        <f>SUMIFS('caseload data'!L:L,'caseload data'!$D:$D,"TPO",'caseload data'!$A:$A,'HMIP caseload divisional'!$B$5, 'caseload data'!$B:$B, "licence")</f>
        <v>0</v>
      </c>
      <c r="K52" s="242">
        <f>SUMIFS('caseload data'!M:M,'caseload data'!$D:$D,"TPO",'caseload data'!$A:$A,'HMIP caseload divisional'!$B$5, 'caseload data'!$B:$B, "licence")</f>
        <v>0</v>
      </c>
      <c r="L52" s="242">
        <f>SUMIFS('caseload data'!N:N,'caseload data'!$D:$D,"TPO",'caseload data'!$A:$A,'HMIP caseload divisional'!$B$5, 'caseload data'!$B:$B, "licence")</f>
        <v>0</v>
      </c>
      <c r="M52" s="242">
        <f>SUMIFS('caseload data'!O:O,'caseload data'!$D:$D,"TPO",'caseload data'!$A:$A,'HMIP caseload divisional'!$B$5, 'caseload data'!$B:$B, "licence")</f>
        <v>0</v>
      </c>
      <c r="N52" s="242">
        <f>SUMIFS('caseload data'!P:P,'caseload data'!$D:$D,"TPO",'caseload data'!$A:$A,'HMIP caseload divisional'!$B$5, 'caseload data'!$B:$B, "licence")</f>
        <v>0</v>
      </c>
      <c r="O52" s="242">
        <f>SUMIFS('caseload data'!Q:Q,'caseload data'!$D:$D,"TPO",'caseload data'!$A:$A,'HMIP caseload divisional'!$B$5, 'caseload data'!$B:$B, "licence")</f>
        <v>0</v>
      </c>
      <c r="P52" s="242">
        <f>SUMIFS('caseload data'!R:R,'caseload data'!$D:$D,"TPO",'caseload data'!$A:$A,'HMIP caseload divisional'!$B$5, 'caseload data'!$B:$B, "licence")</f>
        <v>0</v>
      </c>
      <c r="Q52" s="242">
        <f>SUMIFS('caseload data'!S:S,'caseload data'!$D:$D,"TPO",'caseload data'!$A:$A,'HMIP caseload divisional'!$B$5, 'caseload data'!$B:$B, "licence")</f>
        <v>0</v>
      </c>
      <c r="R52" s="242">
        <f>SUMIFS('caseload data'!T:T,'caseload data'!$D:$D,"TPO",'caseload data'!$A:$A,'HMIP caseload divisional'!$B$5, 'caseload data'!$B:$B, "licence")</f>
        <v>0</v>
      </c>
      <c r="S52" s="242">
        <f>SUMIFS('caseload data'!U:U,'caseload data'!$D:$D,"TPO",'caseload data'!$A:$A,'HMIP caseload divisional'!$B$5, 'caseload data'!$B:$B, "licence")</f>
        <v>0</v>
      </c>
      <c r="T52" s="242">
        <f t="shared" si="7"/>
        <v>0</v>
      </c>
    </row>
    <row r="53" spans="2:20" ht="12.5" customHeight="1" x14ac:dyDescent="0.15">
      <c r="B53" s="102" t="s">
        <v>1174</v>
      </c>
      <c r="C53" s="242">
        <f>SUMIFS('caseload data'!E:E,'caseload data'!$D:$D,"SPO",'caseload data'!$A:$A,$B$5, 'caseload data'!$B:$B, "licence")</f>
        <v>0</v>
      </c>
      <c r="D53" s="242">
        <f>SUMIFS('caseload data'!F:F,'caseload data'!$D:$D,"SPO",'caseload data'!$A:$A,$B$5, 'caseload data'!$B:$B, "licence")</f>
        <v>0</v>
      </c>
      <c r="E53" s="242">
        <f>SUMIFS('caseload data'!G:G,'caseload data'!$D:$D,"SPO",'caseload data'!$A:$A,$B$5, 'caseload data'!$B:$B, "licence")</f>
        <v>0</v>
      </c>
      <c r="F53" s="242">
        <f>SUMIFS('caseload data'!H:H,'caseload data'!$D:$D,"SPO",'caseload data'!$A:$A,$B$5, 'caseload data'!$B:$B, "licence")</f>
        <v>0</v>
      </c>
      <c r="G53" s="242">
        <f>SUMIFS('caseload data'!I:I,'caseload data'!$D:$D,"SPO",'caseload data'!$A:$A,$B$5, 'caseload data'!$B:$B, "licence")</f>
        <v>0</v>
      </c>
      <c r="H53" s="242">
        <f>SUMIFS('caseload data'!J:J,'caseload data'!$D:$D,"SPO",'caseload data'!$A:$A,$B$5, 'caseload data'!$B:$B, "licence")</f>
        <v>0</v>
      </c>
      <c r="I53" s="242">
        <f>SUMIFS('caseload data'!K:K,'caseload data'!$D:$D,"SPO",'caseload data'!$A:$A,$B$5, 'caseload data'!$B:$B, "licence")</f>
        <v>0</v>
      </c>
      <c r="J53" s="242">
        <f>SUMIFS('caseload data'!L:L,'caseload data'!$D:$D,"SPO",'caseload data'!$A:$A,$B$5, 'caseload data'!$B:$B, "licence")</f>
        <v>0</v>
      </c>
      <c r="K53" s="242">
        <f>SUMIFS('caseload data'!M:M,'caseload data'!$D:$D,"SPO",'caseload data'!$A:$A,$B$5, 'caseload data'!$B:$B, "licence")</f>
        <v>0</v>
      </c>
      <c r="L53" s="242">
        <f>SUMIFS('caseload data'!N:N,'caseload data'!$D:$D,"SPO",'caseload data'!$A:$A,$B$5, 'caseload data'!$B:$B, "licence")</f>
        <v>0</v>
      </c>
      <c r="M53" s="242">
        <f>SUMIFS('caseload data'!O:O,'caseload data'!$D:$D,"SPO",'caseload data'!$A:$A,$B$5, 'caseload data'!$B:$B, "licence")</f>
        <v>0</v>
      </c>
      <c r="N53" s="242">
        <f>SUMIFS('caseload data'!P:P,'caseload data'!$D:$D,"SPO",'caseload data'!$A:$A,$B$5, 'caseload data'!$B:$B, "licence")</f>
        <v>0</v>
      </c>
      <c r="O53" s="242">
        <f>SUMIFS('caseload data'!Q:Q,'caseload data'!$D:$D,"SPO",'caseload data'!$A:$A,$B$5, 'caseload data'!$B:$B, "licence")</f>
        <v>0</v>
      </c>
      <c r="P53" s="242">
        <f>SUMIFS('caseload data'!R:R,'caseload data'!$D:$D,"SPO",'caseload data'!$A:$A,$B$5, 'caseload data'!$B:$B, "licence")</f>
        <v>0</v>
      </c>
      <c r="Q53" s="242">
        <f>SUMIFS('caseload data'!S:S,'caseload data'!$D:$D,"SPO",'caseload data'!$A:$A,$B$5, 'caseload data'!$B:$B, "licence")</f>
        <v>0</v>
      </c>
      <c r="R53" s="242">
        <f>SUMIFS('caseload data'!T:T,'caseload data'!$D:$D,"SPO",'caseload data'!$A:$A,$B$5, 'caseload data'!$B:$B, "licence")</f>
        <v>0</v>
      </c>
      <c r="S53" s="242">
        <f>SUMIFS('caseload data'!U:U,'caseload data'!$D:$D,"SPO",'caseload data'!$A:$A,$B$5, 'caseload data'!$B:$B, "licence")</f>
        <v>0</v>
      </c>
      <c r="T53" s="242">
        <f t="shared" si="7"/>
        <v>0</v>
      </c>
    </row>
    <row r="54" spans="2:20" ht="12.5" customHeight="1" x14ac:dyDescent="0.15">
      <c r="B54" s="179"/>
      <c r="C54" s="245"/>
      <c r="D54" s="245"/>
      <c r="E54" s="245"/>
      <c r="F54" s="245"/>
      <c r="G54" s="245"/>
      <c r="H54" s="245"/>
      <c r="I54" s="245"/>
      <c r="J54" s="245"/>
      <c r="K54" s="245"/>
      <c r="L54" s="245"/>
      <c r="M54" s="245"/>
      <c r="N54" s="245"/>
      <c r="O54" s="245"/>
      <c r="P54" s="245"/>
      <c r="Q54" s="245"/>
      <c r="R54" s="245"/>
      <c r="S54" s="245"/>
      <c r="T54" s="68"/>
    </row>
    <row r="55" spans="2:20" ht="25.5" customHeight="1" x14ac:dyDescent="0.15">
      <c r="B55" s="312" t="str">
        <f>B5</f>
        <v>North East Region</v>
      </c>
      <c r="C55" s="383" t="s">
        <v>1199</v>
      </c>
      <c r="D55" s="384"/>
      <c r="E55" s="384"/>
      <c r="F55" s="384"/>
      <c r="G55" s="384"/>
      <c r="H55" s="384"/>
      <c r="I55" s="384"/>
      <c r="J55" s="384"/>
      <c r="K55" s="384"/>
      <c r="L55" s="384"/>
      <c r="M55" s="384"/>
      <c r="N55" s="384"/>
      <c r="O55" s="384"/>
      <c r="P55" s="384"/>
      <c r="Q55" s="384"/>
      <c r="R55" s="384"/>
      <c r="S55" s="384"/>
      <c r="T55" s="384"/>
    </row>
    <row r="56" spans="2:20" x14ac:dyDescent="0.15">
      <c r="B56" s="99" t="s">
        <v>1171</v>
      </c>
      <c r="C56" s="301" t="s">
        <v>1022</v>
      </c>
      <c r="D56" s="301" t="s">
        <v>1023</v>
      </c>
      <c r="E56" s="301" t="s">
        <v>1024</v>
      </c>
      <c r="F56" s="301" t="s">
        <v>1025</v>
      </c>
      <c r="G56" s="301" t="s">
        <v>1026</v>
      </c>
      <c r="H56" s="301" t="s">
        <v>1027</v>
      </c>
      <c r="I56" s="301" t="s">
        <v>1028</v>
      </c>
      <c r="J56" s="301" t="s">
        <v>1029</v>
      </c>
      <c r="K56" s="301" t="s">
        <v>1030</v>
      </c>
      <c r="L56" s="301" t="s">
        <v>1031</v>
      </c>
      <c r="M56" s="301" t="s">
        <v>1032</v>
      </c>
      <c r="N56" s="301" t="s">
        <v>1033</v>
      </c>
      <c r="O56" s="301" t="s">
        <v>1034</v>
      </c>
      <c r="P56" s="301" t="s">
        <v>1035</v>
      </c>
      <c r="Q56" s="301" t="s">
        <v>1036</v>
      </c>
      <c r="R56" s="301" t="s">
        <v>1037</v>
      </c>
      <c r="S56" s="301" t="s">
        <v>1196</v>
      </c>
      <c r="T56" s="301" t="s">
        <v>1127</v>
      </c>
    </row>
    <row r="57" spans="2:20" x14ac:dyDescent="0.15">
      <c r="B57" s="100" t="s">
        <v>1166</v>
      </c>
      <c r="C57" s="242">
        <f>SUMIFS('caseload data'!E:E,'caseload data'!$D:$D,"PO",'caseload data'!$A:$A,'HMIP caseload divisional'!$B$5, 'caseload data'!$B:$B, "custody")</f>
        <v>0</v>
      </c>
      <c r="D57" s="242">
        <f>SUMIFS('caseload data'!F:F,'caseload data'!$D:$D,"PO",'caseload data'!$A:$A,'HMIP caseload divisional'!$B$5, 'caseload data'!$B:$B, "custody")</f>
        <v>0</v>
      </c>
      <c r="E57" s="242">
        <f>SUMIFS('caseload data'!G:G,'caseload data'!$D:$D,"PO",'caseload data'!$A:$A,'HMIP caseload divisional'!$B$5, 'caseload data'!$B:$B, "custody")</f>
        <v>0</v>
      </c>
      <c r="F57" s="242">
        <f>SUMIFS('caseload data'!H:H,'caseload data'!$D:$D,"PO",'caseload data'!$A:$A,'HMIP caseload divisional'!$B$5, 'caseload data'!$B:$B, "custody")</f>
        <v>0</v>
      </c>
      <c r="G57" s="242">
        <f>SUMIFS('caseload data'!I:I,'caseload data'!$D:$D,"PO",'caseload data'!$A:$A,'HMIP caseload divisional'!$B$5, 'caseload data'!$B:$B, "custody")</f>
        <v>0</v>
      </c>
      <c r="H57" s="242">
        <f>SUMIFS('caseload data'!J:J,'caseload data'!$D:$D,"PO",'caseload data'!$A:$A,'HMIP caseload divisional'!$B$5, 'caseload data'!$B:$B, "custody")</f>
        <v>0</v>
      </c>
      <c r="I57" s="242">
        <f>SUMIFS('caseload data'!K:K,'caseload data'!$D:$D,"PO",'caseload data'!$A:$A,'HMIP caseload divisional'!$B$5, 'caseload data'!$B:$B, "custody")</f>
        <v>0</v>
      </c>
      <c r="J57" s="242">
        <f>SUMIFS('caseload data'!L:L,'caseload data'!$D:$D,"PO",'caseload data'!$A:$A,'HMIP caseload divisional'!$B$5, 'caseload data'!$B:$B, "custody")</f>
        <v>0</v>
      </c>
      <c r="K57" s="242">
        <f>SUMIFS('caseload data'!M:M,'caseload data'!$D:$D,"PO",'caseload data'!$A:$A,'HMIP caseload divisional'!$B$5, 'caseload data'!$B:$B, "custody")</f>
        <v>0</v>
      </c>
      <c r="L57" s="242">
        <f>SUMIFS('caseload data'!N:N,'caseload data'!$D:$D,"PO",'caseload data'!$A:$A,'HMIP caseload divisional'!$B$5, 'caseload data'!$B:$B, "custody")</f>
        <v>0</v>
      </c>
      <c r="M57" s="242">
        <f>SUMIFS('caseload data'!O:O,'caseload data'!$D:$D,"PO",'caseload data'!$A:$A,'HMIP caseload divisional'!$B$5, 'caseload data'!$B:$B, "custody")</f>
        <v>0</v>
      </c>
      <c r="N57" s="242">
        <f>SUMIFS('caseload data'!P:P,'caseload data'!$D:$D,"PO",'caseload data'!$A:$A,'HMIP caseload divisional'!$B$5, 'caseload data'!$B:$B, "custody")</f>
        <v>0</v>
      </c>
      <c r="O57" s="242">
        <f>SUMIFS('caseload data'!Q:Q,'caseload data'!$D:$D,"PO",'caseload data'!$A:$A,'HMIP caseload divisional'!$B$5, 'caseload data'!$B:$B, "custody")</f>
        <v>0</v>
      </c>
      <c r="P57" s="242">
        <f>SUMIFS('caseload data'!R:R,'caseload data'!$D:$D,"PO",'caseload data'!$A:$A,'HMIP caseload divisional'!$B$5, 'caseload data'!$B:$B, "custody")</f>
        <v>0</v>
      </c>
      <c r="Q57" s="242">
        <f>SUMIFS('caseload data'!S:S,'caseload data'!$D:$D,"PO",'caseload data'!$A:$A,'HMIP caseload divisional'!$B$5, 'caseload data'!$B:$B, "custody")</f>
        <v>0</v>
      </c>
      <c r="R57" s="242">
        <f>SUMIFS('caseload data'!T:T,'caseload data'!$D:$D,"PO",'caseload data'!$A:$A,'HMIP caseload divisional'!$B$5, 'caseload data'!$B:$B, "custody")</f>
        <v>0</v>
      </c>
      <c r="S57" s="242">
        <f>SUMIFS('caseload data'!U:U,'caseload data'!$D:$D,"PO",'caseload data'!$A:$A,'HMIP caseload divisional'!$B$5, 'caseload data'!$B:$B, "custody")</f>
        <v>0</v>
      </c>
      <c r="T57" s="242">
        <f>SUM(C57:S57)</f>
        <v>0</v>
      </c>
    </row>
    <row r="58" spans="2:20" x14ac:dyDescent="0.15">
      <c r="B58" s="101" t="s">
        <v>1172</v>
      </c>
      <c r="C58" s="242">
        <f>SUMIFS('caseload data'!E:E,'caseload data'!$D:$D,"PSO",'caseload data'!$A:$A,'HMIP caseload divisional'!$B$5, 'caseload data'!$B:$B, "custody")</f>
        <v>0</v>
      </c>
      <c r="D58" s="242">
        <f>SUMIFS('caseload data'!F:F,'caseload data'!$D:$D,"PSO",'caseload data'!$A:$A,'HMIP caseload divisional'!$B$5, 'caseload data'!$B:$B, "custody")</f>
        <v>0</v>
      </c>
      <c r="E58" s="242">
        <f>SUMIFS('caseload data'!G:G,'caseload data'!$D:$D,"PSO",'caseload data'!$A:$A,'HMIP caseload divisional'!$B$5, 'caseload data'!$B:$B, "custody")</f>
        <v>0</v>
      </c>
      <c r="F58" s="242">
        <f>SUMIFS('caseload data'!H:H,'caseload data'!$D:$D,"PSO",'caseload data'!$A:$A,'HMIP caseload divisional'!$B$5, 'caseload data'!$B:$B, "custody")</f>
        <v>0</v>
      </c>
      <c r="G58" s="242">
        <f>SUMIFS('caseload data'!I:I,'caseload data'!$D:$D,"PSO",'caseload data'!$A:$A,'HMIP caseload divisional'!$B$5, 'caseload data'!$B:$B, "custody")</f>
        <v>0</v>
      </c>
      <c r="H58" s="242">
        <f>SUMIFS('caseload data'!J:J,'caseload data'!$D:$D,"PSO",'caseload data'!$A:$A,'HMIP caseload divisional'!$B$5, 'caseload data'!$B:$B, "custody")</f>
        <v>0</v>
      </c>
      <c r="I58" s="242">
        <f>SUMIFS('caseload data'!K:K,'caseload data'!$D:$D,"PSO",'caseload data'!$A:$A,'HMIP caseload divisional'!$B$5, 'caseload data'!$B:$B, "custody")</f>
        <v>0</v>
      </c>
      <c r="J58" s="242">
        <f>SUMIFS('caseload data'!L:L,'caseload data'!$D:$D,"PSO",'caseload data'!$A:$A,'HMIP caseload divisional'!$B$5, 'caseload data'!$B:$B, "custody")</f>
        <v>0</v>
      </c>
      <c r="K58" s="242">
        <f>SUMIFS('caseload data'!M:M,'caseload data'!$D:$D,"PSO",'caseload data'!$A:$A,'HMIP caseload divisional'!$B$5, 'caseload data'!$B:$B, "custody")</f>
        <v>0</v>
      </c>
      <c r="L58" s="242">
        <f>SUMIFS('caseload data'!N:N,'caseload data'!$D:$D,"PSO",'caseload data'!$A:$A,'HMIP caseload divisional'!$B$5, 'caseload data'!$B:$B, "custody")</f>
        <v>0</v>
      </c>
      <c r="M58" s="242">
        <f>SUMIFS('caseload data'!O:O,'caseload data'!$D:$D,"PSO",'caseload data'!$A:$A,'HMIP caseload divisional'!$B$5, 'caseload data'!$B:$B, "custody")</f>
        <v>0</v>
      </c>
      <c r="N58" s="242">
        <f>SUMIFS('caseload data'!P:P,'caseload data'!$D:$D,"PSO",'caseload data'!$A:$A,'HMIP caseload divisional'!$B$5, 'caseload data'!$B:$B, "custody")</f>
        <v>0</v>
      </c>
      <c r="O58" s="242">
        <f>SUMIFS('caseload data'!Q:Q,'caseload data'!$D:$D,"PSO",'caseload data'!$A:$A,'HMIP caseload divisional'!$B$5, 'caseload data'!$B:$B, "custody")</f>
        <v>0</v>
      </c>
      <c r="P58" s="242">
        <f>SUMIFS('caseload data'!R:R,'caseload data'!$D:$D,"PSO",'caseload data'!$A:$A,'HMIP caseload divisional'!$B$5, 'caseload data'!$B:$B, "custody")</f>
        <v>0</v>
      </c>
      <c r="Q58" s="242">
        <f>SUMIFS('caseload data'!S:S,'caseload data'!$D:$D,"PSO",'caseload data'!$A:$A,'HMIP caseload divisional'!$B$5, 'caseload data'!$B:$B, "custody")</f>
        <v>0</v>
      </c>
      <c r="R58" s="242">
        <f>SUMIFS('caseload data'!T:T,'caseload data'!$D:$D,"PSO",'caseload data'!$A:$A,'HMIP caseload divisional'!$B$5, 'caseload data'!$B:$B, "custody")</f>
        <v>0</v>
      </c>
      <c r="S58" s="242">
        <f>SUMIFS('caseload data'!U:U,'caseload data'!$D:$D,"PSO",'caseload data'!$A:$A,'HMIP caseload divisional'!$B$5, 'caseload data'!$B:$B, "custody")</f>
        <v>0</v>
      </c>
      <c r="T58" s="242">
        <f t="shared" ref="T58:T60" si="8">SUM(C58:S58)</f>
        <v>0</v>
      </c>
    </row>
    <row r="59" spans="2:20" x14ac:dyDescent="0.15">
      <c r="B59" s="101" t="s">
        <v>1173</v>
      </c>
      <c r="C59" s="242">
        <f>SUMIFS('caseload data'!E:E,'caseload data'!$D:$D,"TPO",'caseload data'!$A:$A,'HMIP caseload divisional'!$B$5, 'caseload data'!$B:$B, "custody")</f>
        <v>0</v>
      </c>
      <c r="D59" s="242">
        <f>SUMIFS('caseload data'!F:F,'caseload data'!$D:$D,"TPO",'caseload data'!$A:$A,'HMIP caseload divisional'!$B$5, 'caseload data'!$B:$B, "custody")</f>
        <v>0</v>
      </c>
      <c r="E59" s="242">
        <f>SUMIFS('caseload data'!G:G,'caseload data'!$D:$D,"TPO",'caseload data'!$A:$A,'HMIP caseload divisional'!$B$5, 'caseload data'!$B:$B, "custody")</f>
        <v>0</v>
      </c>
      <c r="F59" s="242">
        <f>SUMIFS('caseload data'!H:H,'caseload data'!$D:$D,"TPO",'caseload data'!$A:$A,'HMIP caseload divisional'!$B$5, 'caseload data'!$B:$B, "custody")</f>
        <v>0</v>
      </c>
      <c r="G59" s="242">
        <f>SUMIFS('caseload data'!I:I,'caseload data'!$D:$D,"TPO",'caseload data'!$A:$A,'HMIP caseload divisional'!$B$5, 'caseload data'!$B:$B, "custody")</f>
        <v>0</v>
      </c>
      <c r="H59" s="242">
        <f>SUMIFS('caseload data'!J:J,'caseload data'!$D:$D,"TPO",'caseload data'!$A:$A,'HMIP caseload divisional'!$B$5, 'caseload data'!$B:$B, "custody")</f>
        <v>0</v>
      </c>
      <c r="I59" s="242">
        <f>SUMIFS('caseload data'!K:K,'caseload data'!$D:$D,"TPO",'caseload data'!$A:$A,'HMIP caseload divisional'!$B$5, 'caseload data'!$B:$B, "custody")</f>
        <v>0</v>
      </c>
      <c r="J59" s="242">
        <f>SUMIFS('caseload data'!L:L,'caseload data'!$D:$D,"TPO",'caseload data'!$A:$A,'HMIP caseload divisional'!$B$5, 'caseload data'!$B:$B, "custody")</f>
        <v>0</v>
      </c>
      <c r="K59" s="242">
        <f>SUMIFS('caseload data'!M:M,'caseload data'!$D:$D,"TPO",'caseload data'!$A:$A,'HMIP caseload divisional'!$B$5, 'caseload data'!$B:$B, "custody")</f>
        <v>0</v>
      </c>
      <c r="L59" s="242">
        <f>SUMIFS('caseload data'!N:N,'caseload data'!$D:$D,"TPO",'caseload data'!$A:$A,'HMIP caseload divisional'!$B$5, 'caseload data'!$B:$B, "custody")</f>
        <v>0</v>
      </c>
      <c r="M59" s="242">
        <f>SUMIFS('caseload data'!O:O,'caseload data'!$D:$D,"TPO",'caseload data'!$A:$A,'HMIP caseload divisional'!$B$5, 'caseload data'!$B:$B, "custody")</f>
        <v>0</v>
      </c>
      <c r="N59" s="242">
        <f>SUMIFS('caseload data'!P:P,'caseload data'!$D:$D,"TPO",'caseload data'!$A:$A,'HMIP caseload divisional'!$B$5, 'caseload data'!$B:$B, "custody")</f>
        <v>0</v>
      </c>
      <c r="O59" s="242">
        <f>SUMIFS('caseload data'!Q:Q,'caseload data'!$D:$D,"TPO",'caseload data'!$A:$A,'HMIP caseload divisional'!$B$5, 'caseload data'!$B:$B, "custody")</f>
        <v>0</v>
      </c>
      <c r="P59" s="242">
        <f>SUMIFS('caseload data'!R:R,'caseload data'!$D:$D,"TPO",'caseload data'!$A:$A,'HMIP caseload divisional'!$B$5, 'caseload data'!$B:$B, "custody")</f>
        <v>0</v>
      </c>
      <c r="Q59" s="242">
        <f>SUMIFS('caseload data'!S:S,'caseload data'!$D:$D,"TPO",'caseload data'!$A:$A,'HMIP caseload divisional'!$B$5, 'caseload data'!$B:$B, "custody")</f>
        <v>0</v>
      </c>
      <c r="R59" s="242">
        <f>SUMIFS('caseload data'!T:T,'caseload data'!$D:$D,"TPO",'caseload data'!$A:$A,'HMIP caseload divisional'!$B$5, 'caseload data'!$B:$B, "custody")</f>
        <v>0</v>
      </c>
      <c r="S59" s="242">
        <f>SUMIFS('caseload data'!U:U,'caseload data'!$D:$D,"TPO",'caseload data'!$A:$A,'HMIP caseload divisional'!$B$5, 'caseload data'!$B:$B, "custody")</f>
        <v>0</v>
      </c>
      <c r="T59" s="242">
        <f t="shared" si="8"/>
        <v>0</v>
      </c>
    </row>
    <row r="60" spans="2:20" x14ac:dyDescent="0.15">
      <c r="B60" s="102" t="s">
        <v>1174</v>
      </c>
      <c r="C60" s="242">
        <f>SUMIFS('caseload data'!E:E,'caseload data'!$D:$D,"SPO",'caseload data'!$A:$A,$B$5, 'caseload data'!$B:$B, "custody")</f>
        <v>0</v>
      </c>
      <c r="D60" s="242">
        <f>SUMIFS('caseload data'!F:F,'caseload data'!$D:$D,"SPO",'caseload data'!$A:$A,$B$5, 'caseload data'!$B:$B, "custody")</f>
        <v>0</v>
      </c>
      <c r="E60" s="242">
        <f>SUMIFS('caseload data'!G:G,'caseload data'!$D:$D,"SPO",'caseload data'!$A:$A,$B$5, 'caseload data'!$B:$B, "custody")</f>
        <v>0</v>
      </c>
      <c r="F60" s="242">
        <f>SUMIFS('caseload data'!H:H,'caseload data'!$D:$D,"SPO",'caseload data'!$A:$A,$B$5, 'caseload data'!$B:$B, "custody")</f>
        <v>0</v>
      </c>
      <c r="G60" s="242">
        <f>SUMIFS('caseload data'!I:I,'caseload data'!$D:$D,"SPO",'caseload data'!$A:$A,$B$5, 'caseload data'!$B:$B, "custody")</f>
        <v>0</v>
      </c>
      <c r="H60" s="242">
        <f>SUMIFS('caseload data'!J:J,'caseload data'!$D:$D,"SPO",'caseload data'!$A:$A,$B$5, 'caseload data'!$B:$B, "custody")</f>
        <v>0</v>
      </c>
      <c r="I60" s="242">
        <f>SUMIFS('caseload data'!K:K,'caseload data'!$D:$D,"SPO",'caseload data'!$A:$A,$B$5, 'caseload data'!$B:$B, "custody")</f>
        <v>0</v>
      </c>
      <c r="J60" s="242">
        <f>SUMIFS('caseload data'!L:L,'caseload data'!$D:$D,"SPO",'caseload data'!$A:$A,$B$5, 'caseload data'!$B:$B, "custody")</f>
        <v>0</v>
      </c>
      <c r="K60" s="242">
        <f>SUMIFS('caseload data'!M:M,'caseload data'!$D:$D,"SPO",'caseload data'!$A:$A,$B$5, 'caseload data'!$B:$B, "custody")</f>
        <v>0</v>
      </c>
      <c r="L60" s="242">
        <f>SUMIFS('caseload data'!N:N,'caseload data'!$D:$D,"SPO",'caseload data'!$A:$A,$B$5, 'caseload data'!$B:$B, "custody")</f>
        <v>0</v>
      </c>
      <c r="M60" s="242">
        <f>SUMIFS('caseload data'!O:O,'caseload data'!$D:$D,"SPO",'caseload data'!$A:$A,$B$5, 'caseload data'!$B:$B, "custody")</f>
        <v>0</v>
      </c>
      <c r="N60" s="242">
        <f>SUMIFS('caseload data'!P:P,'caseload data'!$D:$D,"SPO",'caseload data'!$A:$A,$B$5, 'caseload data'!$B:$B, "custody")</f>
        <v>0</v>
      </c>
      <c r="O60" s="242">
        <f>SUMIFS('caseload data'!Q:Q,'caseload data'!$D:$D,"SPO",'caseload data'!$A:$A,$B$5, 'caseload data'!$B:$B, "custody")</f>
        <v>0</v>
      </c>
      <c r="P60" s="242">
        <f>SUMIFS('caseload data'!R:R,'caseload data'!$D:$D,"SPO",'caseload data'!$A:$A,$B$5, 'caseload data'!$B:$B, "custody")</f>
        <v>0</v>
      </c>
      <c r="Q60" s="242">
        <f>SUMIFS('caseload data'!S:S,'caseload data'!$D:$D,"SPO",'caseload data'!$A:$A,$B$5, 'caseload data'!$B:$B, "custody")</f>
        <v>0</v>
      </c>
      <c r="R60" s="242">
        <f>SUMIFS('caseload data'!T:T,'caseload data'!$D:$D,"SPO",'caseload data'!$A:$A,$B$5, 'caseload data'!$B:$B, "custody")</f>
        <v>0</v>
      </c>
      <c r="S60" s="242">
        <f>SUMIFS('caseload data'!U:U,'caseload data'!$D:$D,"SPO",'caseload data'!$A:$A,$B$5, 'caseload data'!$B:$B, "custody")</f>
        <v>0</v>
      </c>
      <c r="T60" s="242">
        <f t="shared" si="8"/>
        <v>0</v>
      </c>
    </row>
    <row r="61" spans="2:20" x14ac:dyDescent="0.15">
      <c r="B61" s="179"/>
      <c r="C61" s="245"/>
      <c r="D61" s="245"/>
      <c r="E61" s="245"/>
      <c r="F61" s="245"/>
      <c r="G61" s="245"/>
      <c r="H61" s="245"/>
      <c r="I61" s="245"/>
      <c r="J61" s="245"/>
      <c r="K61" s="245"/>
      <c r="L61" s="245"/>
      <c r="M61" s="245"/>
      <c r="N61" s="245"/>
      <c r="O61" s="245"/>
      <c r="P61" s="245"/>
      <c r="Q61" s="245"/>
      <c r="R61" s="245"/>
      <c r="S61" s="245"/>
      <c r="T61" s="68"/>
    </row>
    <row r="62" spans="2:20" x14ac:dyDescent="0.15">
      <c r="B62" s="68"/>
      <c r="C62" s="68"/>
      <c r="D62" s="68"/>
      <c r="E62" s="68"/>
      <c r="F62" s="68"/>
      <c r="G62" s="68"/>
      <c r="H62" s="68"/>
      <c r="I62" s="68"/>
      <c r="J62" s="68"/>
      <c r="K62" s="68"/>
      <c r="L62" s="68"/>
      <c r="M62" s="68"/>
      <c r="N62" s="68"/>
      <c r="O62" s="68"/>
      <c r="P62" s="68"/>
      <c r="Q62" s="68"/>
      <c r="R62" s="68"/>
      <c r="S62" s="68"/>
      <c r="T62" s="68"/>
    </row>
    <row r="63" spans="2:20" ht="27.75" customHeight="1" x14ac:dyDescent="0.15">
      <c r="B63" s="312" t="str">
        <f>B5</f>
        <v>North East Region</v>
      </c>
      <c r="C63" s="383" t="s">
        <v>1200</v>
      </c>
      <c r="D63" s="384"/>
      <c r="E63" s="384"/>
      <c r="F63" s="384"/>
      <c r="G63" s="384"/>
      <c r="H63" s="384"/>
      <c r="I63" s="384"/>
      <c r="J63" s="384"/>
      <c r="K63" s="384"/>
      <c r="L63" s="384"/>
      <c r="M63" s="384"/>
      <c r="N63" s="384"/>
      <c r="O63" s="384"/>
      <c r="P63" s="384"/>
      <c r="Q63" s="384"/>
      <c r="R63" s="384"/>
      <c r="S63" s="384"/>
      <c r="T63" s="68"/>
    </row>
    <row r="64" spans="2:20" x14ac:dyDescent="0.15">
      <c r="B64" s="99" t="s">
        <v>1171</v>
      </c>
      <c r="C64" s="301" t="s">
        <v>1022</v>
      </c>
      <c r="D64" s="301" t="s">
        <v>1023</v>
      </c>
      <c r="E64" s="301" t="s">
        <v>1024</v>
      </c>
      <c r="F64" s="301" t="s">
        <v>1025</v>
      </c>
      <c r="G64" s="301" t="s">
        <v>1026</v>
      </c>
      <c r="H64" s="301" t="s">
        <v>1027</v>
      </c>
      <c r="I64" s="301" t="s">
        <v>1028</v>
      </c>
      <c r="J64" s="301" t="s">
        <v>1029</v>
      </c>
      <c r="K64" s="301" t="s">
        <v>1030</v>
      </c>
      <c r="L64" s="301" t="s">
        <v>1031</v>
      </c>
      <c r="M64" s="301" t="s">
        <v>1032</v>
      </c>
      <c r="N64" s="301" t="s">
        <v>1033</v>
      </c>
      <c r="O64" s="301" t="s">
        <v>1034</v>
      </c>
      <c r="P64" s="301" t="s">
        <v>1035</v>
      </c>
      <c r="Q64" s="301" t="s">
        <v>1036</v>
      </c>
      <c r="R64" s="301" t="s">
        <v>1037</v>
      </c>
      <c r="S64" s="301" t="s">
        <v>1196</v>
      </c>
      <c r="T64" s="68"/>
    </row>
    <row r="65" spans="2:20" x14ac:dyDescent="0.15">
      <c r="B65" s="100" t="s">
        <v>1166</v>
      </c>
      <c r="C65" s="241" t="e">
        <f>AVERAGEIFS('caseload data'!E:E,'caseload data'!$D:$D,"PO",'caseload data'!$A:$A,$B$5)</f>
        <v>#DIV/0!</v>
      </c>
      <c r="D65" s="241" t="e">
        <f>AVERAGEIFS('caseload data'!F:F,'caseload data'!$D:$D,"PO",'caseload data'!$A:$A,$B$5)</f>
        <v>#DIV/0!</v>
      </c>
      <c r="E65" s="241" t="e">
        <f>AVERAGEIFS('caseload data'!G:G,'caseload data'!$D:$D,"PO",'caseload data'!$A:$A,$B$5)</f>
        <v>#DIV/0!</v>
      </c>
      <c r="F65" s="241" t="e">
        <f>AVERAGEIFS('caseload data'!H:H,'caseload data'!$D:$D,"PO",'caseload data'!$A:$A,$B$5)</f>
        <v>#DIV/0!</v>
      </c>
      <c r="G65" s="241" t="e">
        <f>AVERAGEIFS('caseload data'!I:I,'caseload data'!$D:$D,"PO",'caseload data'!$A:$A,$B$5)</f>
        <v>#DIV/0!</v>
      </c>
      <c r="H65" s="241" t="e">
        <f>AVERAGEIFS('caseload data'!J:J,'caseload data'!$D:$D,"PO",'caseload data'!$A:$A,$B$5)</f>
        <v>#DIV/0!</v>
      </c>
      <c r="I65" s="241" t="e">
        <f>AVERAGEIFS('caseload data'!K:K,'caseload data'!$D:$D,"PO",'caseload data'!$A:$A,$B$5)</f>
        <v>#DIV/0!</v>
      </c>
      <c r="J65" s="241" t="e">
        <f>AVERAGEIFS('caseload data'!L:L,'caseload data'!$D:$D,"PO",'caseload data'!$A:$A,$B$5)</f>
        <v>#DIV/0!</v>
      </c>
      <c r="K65" s="241" t="e">
        <f>AVERAGEIFS('caseload data'!M:M,'caseload data'!$D:$D,"PO",'caseload data'!$A:$A,$B$5)</f>
        <v>#DIV/0!</v>
      </c>
      <c r="L65" s="241" t="e">
        <f>AVERAGEIFS('caseload data'!N:N,'caseload data'!$D:$D,"PO",'caseload data'!$A:$A,$B$5)</f>
        <v>#DIV/0!</v>
      </c>
      <c r="M65" s="241" t="e">
        <f>AVERAGEIFS('caseload data'!O:O,'caseload data'!$D:$D,"PO",'caseload data'!$A:$A,$B$5)</f>
        <v>#DIV/0!</v>
      </c>
      <c r="N65" s="241" t="e">
        <f>AVERAGEIFS('caseload data'!P:P,'caseload data'!$D:$D,"PO",'caseload data'!$A:$A,$B$5)</f>
        <v>#DIV/0!</v>
      </c>
      <c r="O65" s="241" t="e">
        <f>AVERAGEIFS('caseload data'!Q:Q,'caseload data'!$D:$D,"PO",'caseload data'!$A:$A,$B$5)</f>
        <v>#DIV/0!</v>
      </c>
      <c r="P65" s="241" t="e">
        <f>AVERAGEIFS('caseload data'!R:R,'caseload data'!$D:$D,"PO",'caseload data'!$A:$A,$B$5)</f>
        <v>#DIV/0!</v>
      </c>
      <c r="Q65" s="241" t="e">
        <f>AVERAGEIFS('caseload data'!S:S,'caseload data'!$D:$D,"PO",'caseload data'!$A:$A,$B$5)</f>
        <v>#DIV/0!</v>
      </c>
      <c r="R65" s="241" t="e">
        <f>AVERAGEIFS('caseload data'!T:T,'caseload data'!$D:$D,"PO",'caseload data'!$A:$A,$B$5)</f>
        <v>#DIV/0!</v>
      </c>
      <c r="S65" s="241" t="e">
        <f>AVERAGEIFS('caseload data'!U:U,'caseload data'!$D:$D,"PO",'caseload data'!$A:$A,$B$5)</f>
        <v>#DIV/0!</v>
      </c>
      <c r="T65" s="68"/>
    </row>
    <row r="66" spans="2:20" x14ac:dyDescent="0.15">
      <c r="B66" s="101" t="s">
        <v>1172</v>
      </c>
      <c r="C66" s="241" t="e">
        <f>AVERAGEIFS('caseload data'!E:E,'caseload data'!$D:$D,"PSO",'caseload data'!$A:$A,$B$5)</f>
        <v>#DIV/0!</v>
      </c>
      <c r="D66" s="241" t="e">
        <f>AVERAGEIFS('caseload data'!F:F,'caseload data'!$D:$D,"PSO",'caseload data'!$A:$A,$B$5)</f>
        <v>#DIV/0!</v>
      </c>
      <c r="E66" s="241" t="e">
        <f>AVERAGEIFS('caseload data'!G:G,'caseload data'!$D:$D,"PSO",'caseload data'!$A:$A,$B$5)</f>
        <v>#DIV/0!</v>
      </c>
      <c r="F66" s="241" t="e">
        <f>AVERAGEIFS('caseload data'!H:H,'caseload data'!$D:$D,"PSO",'caseload data'!$A:$A,$B$5)</f>
        <v>#DIV/0!</v>
      </c>
      <c r="G66" s="241" t="e">
        <f>AVERAGEIFS('caseload data'!I:I,'caseload data'!$D:$D,"PSO",'caseload data'!$A:$A,$B$5)</f>
        <v>#DIV/0!</v>
      </c>
      <c r="H66" s="241" t="e">
        <f>AVERAGEIFS('caseload data'!J:J,'caseload data'!$D:$D,"PSO",'caseload data'!$A:$A,$B$5)</f>
        <v>#DIV/0!</v>
      </c>
      <c r="I66" s="241" t="e">
        <f>AVERAGEIFS('caseload data'!K:K,'caseload data'!$D:$D,"PSO",'caseload data'!$A:$A,$B$5)</f>
        <v>#DIV/0!</v>
      </c>
      <c r="J66" s="241" t="e">
        <f>AVERAGEIFS('caseload data'!L:L,'caseload data'!$D:$D,"PSO",'caseload data'!$A:$A,$B$5)</f>
        <v>#DIV/0!</v>
      </c>
      <c r="K66" s="241" t="e">
        <f>AVERAGEIFS('caseload data'!M:M,'caseload data'!$D:$D,"PSO",'caseload data'!$A:$A,$B$5)</f>
        <v>#DIV/0!</v>
      </c>
      <c r="L66" s="241" t="e">
        <f>AVERAGEIFS('caseload data'!N:N,'caseload data'!$D:$D,"PSO",'caseload data'!$A:$A,$B$5)</f>
        <v>#DIV/0!</v>
      </c>
      <c r="M66" s="241" t="e">
        <f>AVERAGEIFS('caseload data'!O:O,'caseload data'!$D:$D,"PSO",'caseload data'!$A:$A,$B$5)</f>
        <v>#DIV/0!</v>
      </c>
      <c r="N66" s="241" t="e">
        <f>AVERAGEIFS('caseload data'!P:P,'caseload data'!$D:$D,"PSO",'caseload data'!$A:$A,$B$5)</f>
        <v>#DIV/0!</v>
      </c>
      <c r="O66" s="241" t="e">
        <f>AVERAGEIFS('caseload data'!Q:Q,'caseload data'!$D:$D,"PSO",'caseload data'!$A:$A,$B$5)</f>
        <v>#DIV/0!</v>
      </c>
      <c r="P66" s="241" t="e">
        <f>AVERAGEIFS('caseload data'!R:R,'caseload data'!$D:$D,"PSO",'caseload data'!$A:$A,$B$5)</f>
        <v>#DIV/0!</v>
      </c>
      <c r="Q66" s="241" t="e">
        <f>AVERAGEIFS('caseload data'!S:S,'caseload data'!$D:$D,"PSO",'caseload data'!$A:$A,$B$5)</f>
        <v>#DIV/0!</v>
      </c>
      <c r="R66" s="241" t="e">
        <f>AVERAGEIFS('caseload data'!T:T,'caseload data'!$D:$D,"PSO",'caseload data'!$A:$A,$B$5)</f>
        <v>#DIV/0!</v>
      </c>
      <c r="S66" s="241" t="e">
        <f>AVERAGEIFS('caseload data'!U:U,'caseload data'!$D:$D,"PSO",'caseload data'!$A:$A,$B$5)</f>
        <v>#DIV/0!</v>
      </c>
      <c r="T66" s="68"/>
    </row>
    <row r="67" spans="2:20" x14ac:dyDescent="0.15">
      <c r="B67" s="101" t="s">
        <v>1173</v>
      </c>
      <c r="C67" s="241" t="e">
        <f>AVERAGEIFS('caseload data'!E:E,'caseload data'!$D:$D,"TPO",'caseload data'!$A:$A,$B$5)</f>
        <v>#DIV/0!</v>
      </c>
      <c r="D67" s="241" t="e">
        <f>AVERAGEIFS('caseload data'!F:F,'caseload data'!$D:$D,"TPO",'caseload data'!$A:$A,$B$5)</f>
        <v>#DIV/0!</v>
      </c>
      <c r="E67" s="241" t="e">
        <f>AVERAGEIFS('caseload data'!G:G,'caseload data'!$D:$D,"TPO",'caseload data'!$A:$A,$B$5)</f>
        <v>#DIV/0!</v>
      </c>
      <c r="F67" s="241" t="e">
        <f>AVERAGEIFS('caseload data'!H:H,'caseload data'!$D:$D,"TPO",'caseload data'!$A:$A,$B$5)</f>
        <v>#DIV/0!</v>
      </c>
      <c r="G67" s="241" t="e">
        <f>AVERAGEIFS('caseload data'!I:I,'caseload data'!$D:$D,"TPO",'caseload data'!$A:$A,$B$5)</f>
        <v>#DIV/0!</v>
      </c>
      <c r="H67" s="241" t="e">
        <f>AVERAGEIFS('caseload data'!J:J,'caseload data'!$D:$D,"TPO",'caseload data'!$A:$A,$B$5)</f>
        <v>#DIV/0!</v>
      </c>
      <c r="I67" s="241" t="e">
        <f>AVERAGEIFS('caseload data'!K:K,'caseload data'!$D:$D,"TPO",'caseload data'!$A:$A,$B$5)</f>
        <v>#DIV/0!</v>
      </c>
      <c r="J67" s="241" t="e">
        <f>AVERAGEIFS('caseload data'!L:L,'caseload data'!$D:$D,"TPO",'caseload data'!$A:$A,$B$5)</f>
        <v>#DIV/0!</v>
      </c>
      <c r="K67" s="241" t="e">
        <f>AVERAGEIFS('caseload data'!M:M,'caseload data'!$D:$D,"TPO",'caseload data'!$A:$A,$B$5)</f>
        <v>#DIV/0!</v>
      </c>
      <c r="L67" s="241" t="e">
        <f>AVERAGEIFS('caseload data'!N:N,'caseload data'!$D:$D,"TPO",'caseload data'!$A:$A,$B$5)</f>
        <v>#DIV/0!</v>
      </c>
      <c r="M67" s="241" t="e">
        <f>AVERAGEIFS('caseload data'!O:O,'caseload data'!$D:$D,"TPO",'caseload data'!$A:$A,$B$5)</f>
        <v>#DIV/0!</v>
      </c>
      <c r="N67" s="241" t="e">
        <f>AVERAGEIFS('caseload data'!P:P,'caseload data'!$D:$D,"TPO",'caseload data'!$A:$A,$B$5)</f>
        <v>#DIV/0!</v>
      </c>
      <c r="O67" s="241" t="e">
        <f>AVERAGEIFS('caseload data'!Q:Q,'caseload data'!$D:$D,"TPO",'caseload data'!$A:$A,$B$5)</f>
        <v>#DIV/0!</v>
      </c>
      <c r="P67" s="241" t="e">
        <f>AVERAGEIFS('caseload data'!R:R,'caseload data'!$D:$D,"TPO",'caseload data'!$A:$A,$B$5)</f>
        <v>#DIV/0!</v>
      </c>
      <c r="Q67" s="241" t="e">
        <f>AVERAGEIFS('caseload data'!S:S,'caseload data'!$D:$D,"TPO",'caseload data'!$A:$A,$B$5)</f>
        <v>#DIV/0!</v>
      </c>
      <c r="R67" s="241" t="e">
        <f>AVERAGEIFS('caseload data'!T:T,'caseload data'!$D:$D,"TPO",'caseload data'!$A:$A,$B$5)</f>
        <v>#DIV/0!</v>
      </c>
      <c r="S67" s="241" t="e">
        <f>AVERAGEIFS('caseload data'!U:U,'caseload data'!$D:$D,"TPO",'caseload data'!$A:$A,$B$5)</f>
        <v>#DIV/0!</v>
      </c>
      <c r="T67" s="68"/>
    </row>
    <row r="68" spans="2:20" x14ac:dyDescent="0.15">
      <c r="B68" s="102" t="s">
        <v>1174</v>
      </c>
      <c r="C68" s="241" t="e">
        <f>AVERAGEIFS('caseload data'!E:E,'caseload data'!$D:$D,"SPO",'caseload data'!$A:$A,$B$5)</f>
        <v>#DIV/0!</v>
      </c>
      <c r="D68" s="241" t="e">
        <f>AVERAGEIFS('caseload data'!F:F,'caseload data'!$D:$D,"SPO",'caseload data'!$A:$A,$B$5)</f>
        <v>#DIV/0!</v>
      </c>
      <c r="E68" s="241" t="e">
        <f>AVERAGEIFS('caseload data'!G:G,'caseload data'!$D:$D,"SPO",'caseload data'!$A:$A,$B$5)</f>
        <v>#DIV/0!</v>
      </c>
      <c r="F68" s="241" t="e">
        <f>AVERAGEIFS('caseload data'!H:H,'caseload data'!$D:$D,"SPO",'caseload data'!$A:$A,$B$5)</f>
        <v>#DIV/0!</v>
      </c>
      <c r="G68" s="241" t="e">
        <f>AVERAGEIFS('caseload data'!I:I,'caseload data'!$D:$D,"SPO",'caseload data'!$A:$A,$B$5)</f>
        <v>#DIV/0!</v>
      </c>
      <c r="H68" s="241" t="e">
        <f>AVERAGEIFS('caseload data'!J:J,'caseload data'!$D:$D,"SPO",'caseload data'!$A:$A,$B$5)</f>
        <v>#DIV/0!</v>
      </c>
      <c r="I68" s="241" t="e">
        <f>AVERAGEIFS('caseload data'!K:K,'caseload data'!$D:$D,"SPO",'caseload data'!$A:$A,$B$5)</f>
        <v>#DIV/0!</v>
      </c>
      <c r="J68" s="241" t="e">
        <f>AVERAGEIFS('caseload data'!L:L,'caseload data'!$D:$D,"SPO",'caseload data'!$A:$A,$B$5)</f>
        <v>#DIV/0!</v>
      </c>
      <c r="K68" s="241" t="e">
        <f>AVERAGEIFS('caseload data'!M:M,'caseload data'!$D:$D,"SPO",'caseload data'!$A:$A,$B$5)</f>
        <v>#DIV/0!</v>
      </c>
      <c r="L68" s="241" t="e">
        <f>AVERAGEIFS('caseload data'!N:N,'caseload data'!$D:$D,"SPO",'caseload data'!$A:$A,$B$5)</f>
        <v>#DIV/0!</v>
      </c>
      <c r="M68" s="241" t="e">
        <f>AVERAGEIFS('caseload data'!O:O,'caseload data'!$D:$D,"SPO",'caseload data'!$A:$A,$B$5)</f>
        <v>#DIV/0!</v>
      </c>
      <c r="N68" s="241" t="e">
        <f>AVERAGEIFS('caseload data'!P:P,'caseload data'!$D:$D,"SPO",'caseload data'!$A:$A,$B$5)</f>
        <v>#DIV/0!</v>
      </c>
      <c r="O68" s="241" t="e">
        <f>AVERAGEIFS('caseload data'!Q:Q,'caseload data'!$D:$D,"SPO",'caseload data'!$A:$A,$B$5)</f>
        <v>#DIV/0!</v>
      </c>
      <c r="P68" s="241" t="e">
        <f>AVERAGEIFS('caseload data'!R:R,'caseload data'!$D:$D,"SPO",'caseload data'!$A:$A,$B$5)</f>
        <v>#DIV/0!</v>
      </c>
      <c r="Q68" s="241" t="e">
        <f>AVERAGEIFS('caseload data'!S:S,'caseload data'!$D:$D,"SPO",'caseload data'!$A:$A,$B$5)</f>
        <v>#DIV/0!</v>
      </c>
      <c r="R68" s="241" t="e">
        <f>AVERAGEIFS('caseload data'!T:T,'caseload data'!$D:$D,"SPO",'caseload data'!$A:$A,$B$5)</f>
        <v>#DIV/0!</v>
      </c>
      <c r="S68" s="241" t="e">
        <f>AVERAGEIFS('caseload data'!U:U,'caseload data'!$D:$D,"SPO",'caseload data'!$A:$A,$B$5)</f>
        <v>#DIV/0!</v>
      </c>
      <c r="T68" s="68"/>
    </row>
  </sheetData>
  <mergeCells count="9">
    <mergeCell ref="A1:L1"/>
    <mergeCell ref="A2:L2"/>
    <mergeCell ref="H7:M7"/>
    <mergeCell ref="H15:L15"/>
    <mergeCell ref="C63:S63"/>
    <mergeCell ref="C55:T55"/>
    <mergeCell ref="C48:T48"/>
    <mergeCell ref="C41:T41"/>
    <mergeCell ref="C34:T34"/>
  </mergeCells>
  <conditionalFormatting sqref="I9:L10">
    <cfRule type="cellIs" dxfId="6616" priority="4" operator="lessThan">
      <formula>0.9</formula>
    </cfRule>
    <cfRule type="cellIs" dxfId="6615" priority="5" operator="greaterThanOrEqual">
      <formula>1.1</formula>
    </cfRule>
  </conditionalFormatting>
  <conditionalFormatting sqref="M9:M10">
    <cfRule type="cellIs" dxfId="6614" priority="3" operator="greaterThan">
      <formula>1.1</formula>
    </cfRule>
  </conditionalFormatting>
  <conditionalFormatting sqref="N9">
    <cfRule type="cellIs" dxfId="6613" priority="2" operator="greaterThan">
      <formula>1.1</formula>
    </cfRule>
  </conditionalFormatting>
  <conditionalFormatting sqref="N10">
    <cfRule type="cellIs" dxfId="6612"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3"/>
  <sheetViews>
    <sheetView showGridLines="0" zoomScale="62" zoomScaleNormal="62" workbookViewId="0">
      <selection activeCell="B6" sqref="B6"/>
    </sheetView>
  </sheetViews>
  <sheetFormatPr baseColWidth="10" defaultColWidth="8.83203125" defaultRowHeight="14" x14ac:dyDescent="0.15"/>
  <cols>
    <col min="2" max="2" width="48.83203125" customWidth="1"/>
    <col min="3" max="3" width="19.1640625" customWidth="1"/>
    <col min="4" max="4" width="20.5" bestFit="1" customWidth="1"/>
    <col min="5" max="5" width="14.83203125" customWidth="1"/>
    <col min="6" max="6" width="17.1640625" customWidth="1"/>
    <col min="7" max="7" width="12" customWidth="1"/>
    <col min="8" max="8" width="21.83203125" customWidth="1"/>
    <col min="9" max="9" width="15.5" customWidth="1"/>
    <col min="10" max="10" width="20.5" customWidth="1"/>
    <col min="11" max="11" width="18.6640625" customWidth="1"/>
    <col min="12" max="12" width="16.83203125" customWidth="1"/>
    <col min="13" max="13" width="17.83203125" bestFit="1" customWidth="1"/>
    <col min="14" max="14" width="17.1640625" bestFit="1" customWidth="1"/>
    <col min="17" max="17" width="10" bestFit="1" customWidth="1"/>
    <col min="19" max="19" width="10.5" customWidth="1"/>
    <col min="21" max="21" width="11.1640625" bestFit="1" customWidth="1"/>
    <col min="22" max="22" width="11.6640625" hidden="1" customWidth="1"/>
    <col min="23" max="23" width="13.1640625" hidden="1" customWidth="1"/>
  </cols>
  <sheetData>
    <row r="1" spans="1:23" ht="65.25" customHeight="1" x14ac:dyDescent="0.15">
      <c r="A1" s="385" t="s">
        <v>1201</v>
      </c>
      <c r="B1" s="385"/>
      <c r="C1" s="385"/>
      <c r="D1" s="385"/>
      <c r="E1" s="385"/>
      <c r="F1" s="385"/>
      <c r="G1" s="385"/>
      <c r="H1" s="385"/>
      <c r="I1" s="385"/>
      <c r="J1" s="385"/>
      <c r="K1" s="385"/>
      <c r="L1" s="385"/>
      <c r="M1" s="385"/>
      <c r="N1" s="264"/>
      <c r="O1" s="264"/>
      <c r="P1" s="264"/>
      <c r="Q1" s="264"/>
      <c r="R1" s="264"/>
      <c r="S1" s="264"/>
    </row>
    <row r="2" spans="1:23" ht="37.5" customHeight="1" x14ac:dyDescent="0.15">
      <c r="A2" s="374"/>
      <c r="B2" s="374"/>
      <c r="C2" s="374"/>
      <c r="D2" s="374"/>
      <c r="E2" s="374"/>
      <c r="F2" s="374"/>
      <c r="G2" s="374"/>
      <c r="H2" s="374"/>
      <c r="I2" s="374"/>
      <c r="J2" s="374"/>
      <c r="K2" s="374"/>
      <c r="L2" s="374"/>
      <c r="M2" s="374"/>
      <c r="N2" s="250"/>
      <c r="O2" s="250"/>
      <c r="P2" s="250"/>
      <c r="Q2" s="250"/>
      <c r="R2" s="250"/>
      <c r="S2" s="250"/>
    </row>
    <row r="4" spans="1:23" ht="33" customHeight="1" x14ac:dyDescent="0.15">
      <c r="B4" s="316" t="s">
        <v>1202</v>
      </c>
    </row>
    <row r="5" spans="1:23" ht="35.25" customHeight="1" x14ac:dyDescent="0.15">
      <c r="B5" s="251" t="s">
        <v>29</v>
      </c>
      <c r="F5" s="42"/>
      <c r="L5" s="42"/>
      <c r="V5" s="326" t="s">
        <v>1428</v>
      </c>
      <c r="W5" s="326" cm="1">
        <f t="array" ref="W5">SUM(SUMIFS('capacity data'!K:K,'capacity data'!B:B,B6,'capacity data'!E:E,{"PO","PSO"}))</f>
        <v>0</v>
      </c>
    </row>
    <row r="6" spans="1:23" ht="39.75" customHeight="1" x14ac:dyDescent="0.15">
      <c r="B6" s="314" t="s">
        <v>113</v>
      </c>
      <c r="V6" s="327" t="s">
        <v>1429</v>
      </c>
      <c r="W6" s="326" cm="1">
        <f t="array" ref="W6">SUM(SUMIFS('capacity data'!I:I,'capacity data'!B:B,B6,'capacity data'!E:E,{"PO","PSO"}))-SUM((SUMIFS('capacity data'!J:J,'capacity data'!B:B,B6,'capacity data'!E:E,{"PO","PSO"})))</f>
        <v>0</v>
      </c>
    </row>
    <row r="7" spans="1:23" ht="24" customHeight="1" x14ac:dyDescent="0.15">
      <c r="V7" s="326" t="s">
        <v>1430</v>
      </c>
      <c r="W7" s="326">
        <f>W6/37</f>
        <v>0</v>
      </c>
    </row>
    <row r="8" spans="1:23" x14ac:dyDescent="0.15">
      <c r="F8" s="246"/>
    </row>
    <row r="9" spans="1:23" ht="23" x14ac:dyDescent="0.15">
      <c r="B9" s="297" t="s">
        <v>1179</v>
      </c>
      <c r="C9" s="298"/>
      <c r="D9" s="298"/>
      <c r="E9" s="298"/>
      <c r="F9" s="299"/>
      <c r="H9" s="388" t="s">
        <v>1203</v>
      </c>
      <c r="I9" s="389"/>
      <c r="J9" s="389"/>
      <c r="K9" s="389"/>
      <c r="L9" s="389"/>
      <c r="M9" s="389"/>
    </row>
    <row r="10" spans="1:23" ht="51" customHeight="1" x14ac:dyDescent="0.15">
      <c r="B10" s="66"/>
      <c r="C10" s="227" t="s">
        <v>1181</v>
      </c>
      <c r="D10" s="227" t="s">
        <v>1182</v>
      </c>
      <c r="E10" s="227" t="s">
        <v>1183</v>
      </c>
      <c r="F10" s="227" t="s">
        <v>1204</v>
      </c>
      <c r="H10" s="66"/>
      <c r="I10" s="227" t="s">
        <v>1185</v>
      </c>
      <c r="J10" s="67" t="s">
        <v>1186</v>
      </c>
      <c r="K10" s="67" t="s">
        <v>1187</v>
      </c>
      <c r="L10" s="67" t="s">
        <v>1205</v>
      </c>
      <c r="M10" s="227" t="s">
        <v>1189</v>
      </c>
      <c r="N10" s="227" t="s">
        <v>1427</v>
      </c>
    </row>
    <row r="11" spans="1:23" ht="15" x14ac:dyDescent="0.2">
      <c r="B11" s="313" t="str">
        <f>B6</f>
        <v>Central Lancashire</v>
      </c>
      <c r="C11" s="243" t="e">
        <f>SUMIFS('capacity data'!K:K,'capacity data'!B:B,B6,'capacity data'!E:E,"PO")/((SUMIFS('capacity data'!I:I,'capacity data'!B:B,B6,'capacity data'!E:E,"PO")-(SUMIFS('capacity data'!J:J,'capacity data'!B:B,B6,'capacity data'!E:E,"PO")))/37)</f>
        <v>#DIV/0!</v>
      </c>
      <c r="D11" s="244" t="e">
        <f>SUMIFS('capacity data'!K:K,'capacity data'!B:B,B6,'capacity data'!E:E,"PSO")/((SUMIFS('capacity data'!I:I,'capacity data'!B:B,B6,'capacity data'!E:E,"PSO")-(SUMIFS('capacity data'!J:J,'capacity data'!B:B,B6,'capacity data'!E:E,"PSO")))/37)</f>
        <v>#DIV/0!</v>
      </c>
      <c r="E11" s="244" t="e">
        <f>SUMIFS('capacity data'!K:K,'capacity data'!B:B,B6,'capacity data'!E:E,"TPO")/((SUMIFS('capacity data'!I:I,'capacity data'!B:B,B6,'capacity data'!E:E,"TPO")-(SUMIFS('capacity data'!J:J,'capacity data'!B:B,B6,'capacity data'!E:E,"TPO")))/37)</f>
        <v>#DIV/0!</v>
      </c>
      <c r="F11" s="244" t="e">
        <f>SUMIFS('capacity data'!K:K,'capacity data'!B:B,B6,'capacity data'!E:E,"&lt;&gt;DMY")/((SUMIFS('capacity data'!I:I,'capacity data'!B:B,B6,'capacity data'!E:E,"&lt;&gt;DMY")-(SUMIFS('capacity data'!J:J,'capacity data'!B:B,B6,'capacity data'!E:E,"&lt;&gt;DMY")))/37)</f>
        <v>#DIV/0!</v>
      </c>
      <c r="H11" s="313" t="str">
        <f>B6</f>
        <v>Central Lancashire</v>
      </c>
      <c r="I11" s="86" t="e">
        <f>SUMIFS('capacity data'!F:F, 'capacity data'!E:E, "PO",'capacity data'!F:F, "&lt;&gt;0", 'capacity data'!B:B, B6) / COUNTIFS('capacity data'!E:E, "PO",'capacity data'!F:F, "&lt;&gt;0",'capacity data'!B:B, B6)</f>
        <v>#DIV/0!</v>
      </c>
      <c r="J11" s="86" t="e">
        <f>SUMIFS('capacity data'!F:F, 'capacity data'!E:E, "PSO",'capacity data'!F:F, "&lt;&gt;0", 'capacity data'!B:B, B6) / COUNTIFS('capacity data'!E:E, "PSO",'capacity data'!F:F, "&lt;&gt;0",'capacity data'!B:B, B6)</f>
        <v>#DIV/0!</v>
      </c>
      <c r="K11" s="86" t="e">
        <f>SUMIFS('capacity data'!F:F, 'capacity data'!E:E, "TPO",'capacity data'!F:F, "&lt;&gt;0", 'capacity data'!B:B, B6) / COUNTIFS('capacity data'!E:E, "TPO",'capacity data'!F:F, "&lt;&gt;0",'capacity data'!B:B, B6)</f>
        <v>#DIV/0!</v>
      </c>
      <c r="L11" s="86" t="e">
        <f>SUMIFS('capacity data'!F:F, 'capacity data'!E:E, "&lt;&gt;DMY",'capacity data'!F:F, "&lt;&gt;0", 'capacity data'!B:B, B6) / COUNTIFS('capacity data'!E:E, "&lt;&gt;DMY",'capacity data'!F:F, "&lt;&gt;0",'capacity data'!B:B, B6)</f>
        <v>#DIV/0!</v>
      </c>
      <c r="M11" s="317" t="e" cm="1">
        <f t="array" ref="M11">SUM(SUMIFS('capacity data'!F:F, 'capacity data'!E:E, {"PO","PSO"},'capacity data'!F:F, "&lt;&gt;0", 'capacity data'!B:B, B6)) / SUM(COUNTIFS('capacity data'!E:E, {"PO","PSO"},'capacity data'!F:F, "&lt;&gt;0",'capacity data'!B:B, B6))</f>
        <v>#DIV/0!</v>
      </c>
      <c r="N11" s="330" t="e">
        <f>W5/W7</f>
        <v>#DIV/0!</v>
      </c>
    </row>
    <row r="12" spans="1:23" x14ac:dyDescent="0.15">
      <c r="B12" s="237" t="s">
        <v>1190</v>
      </c>
      <c r="C12" s="243" t="e">
        <f>SUMIFS('capacity data'!K:K,'capacity data'!E:E,"PO")/((SUMIFS('capacity data'!I:I,'capacity data'!E:E,"PO")-(SUMIFS('capacity data'!J:J,'capacity data'!E:E,"PO")))/37)</f>
        <v>#DIV/0!</v>
      </c>
      <c r="D12" s="244" t="e">
        <f>SUMIFS('capacity data'!K:K,'capacity data'!E:E,"PSO")/((SUMIFS('capacity data'!I:I,'capacity data'!E:E,"PSO")-(SUMIFS('capacity data'!J:J,'capacity data'!E:E,"PSO")))/37)</f>
        <v>#DIV/0!</v>
      </c>
      <c r="E12" s="244" t="e">
        <f>SUMIFS('capacity data'!K:K,'capacity data'!E:E,"TPO")/((SUMIFS('capacity data'!I:I,'capacity data'!E:E,"TPO")-(SUMIFS('capacity data'!J:J,'capacity data'!E:E,"TPO")))/37)</f>
        <v>#DIV/0!</v>
      </c>
      <c r="F12" s="244" t="e">
        <f>SUMIFS('capacity data'!K:K,'capacity data'!E:E,"&lt;&gt;DMY")/((SUMIFS('capacity data'!I:I,'capacity data'!E:E,"&lt;&gt;DMY")-(SUMIFS('capacity data'!J:J,'capacity data'!E:E,"&lt;&gt;DMY")))/37)</f>
        <v>#DIV/0!</v>
      </c>
      <c r="H12" s="110" t="s">
        <v>1113</v>
      </c>
      <c r="I12" s="86" t="e">
        <f>SUMIFS('capacity data'!F:F, 'capacity data'!E:E, "PO",'capacity data'!F:F, "&lt;&gt;0") / COUNTIFS('capacity data'!E:E, "PO",'capacity data'!F:F, "&lt;&gt;0")</f>
        <v>#DIV/0!</v>
      </c>
      <c r="J12" s="86" t="e">
        <f>SUMIFS('capacity data'!F:F, 'capacity data'!E:E, "PSO",'capacity data'!F:F, "&lt;&gt;0") / COUNTIFS('capacity data'!E:E, "PSO",'capacity data'!F:F, "&lt;&gt;0")</f>
        <v>#DIV/0!</v>
      </c>
      <c r="K12" s="86" t="e">
        <f>SUMIFS('capacity data'!F:F, 'capacity data'!E:E, "TPO",'capacity data'!F:F, "&lt;&gt;0") / COUNTIFS('capacity data'!E:E, "TPO",'capacity data'!F:F, "&lt;&gt;0")</f>
        <v>#DIV/0!</v>
      </c>
      <c r="L12" s="86">
        <f>SUMIFS('capacity data'!F:F, 'capacity data'!E:E, "&lt;&gt;DMY",'capacity data'!F:F, "&lt;&gt;0") / COUNTIFS('capacity data'!E:E, "&lt;&gt;DMY",'capacity data'!F:F, "&lt;&gt;0", 'capacity data'!A:A, "&lt;&gt;")</f>
        <v>0</v>
      </c>
      <c r="M12" s="307" t="e" cm="1">
        <f t="array" ref="M12">SUM(SUMIFS('capacity data'!F:F,'capacity data'!E:E,{"PO","PSO"},'capacity data'!F:F,"&lt;&gt;0"))/SUM(COUNTIFS('capacity data'!E:E,{"PO","PSO"},'capacity data'!F:F,"&lt;&gt;0"))</f>
        <v>#DIV/0!</v>
      </c>
      <c r="N12" s="328" t="e">
        <f>'HMIP caseload divisional'!N10</f>
        <v>#DIV/0!</v>
      </c>
    </row>
    <row r="13" spans="1:23" x14ac:dyDescent="0.15">
      <c r="B13" s="72" t="s">
        <v>1206</v>
      </c>
      <c r="C13" s="243" t="e">
        <f>C11-C12</f>
        <v>#DIV/0!</v>
      </c>
      <c r="D13" s="243" t="e">
        <f t="shared" ref="D13:F13" si="0">D11-D12</f>
        <v>#DIV/0!</v>
      </c>
      <c r="E13" s="243" t="e">
        <f t="shared" si="0"/>
        <v>#DIV/0!</v>
      </c>
      <c r="F13" s="243" t="e">
        <f t="shared" si="0"/>
        <v>#DIV/0!</v>
      </c>
      <c r="H13" s="123" t="s">
        <v>1206</v>
      </c>
      <c r="I13" s="106" t="e">
        <f>+I11-I12</f>
        <v>#DIV/0!</v>
      </c>
      <c r="J13" s="106" t="str">
        <f>IFERROR(+J11-J12,"N/A")</f>
        <v>N/A</v>
      </c>
      <c r="K13" s="106" t="str">
        <f>IFERROR(+K11-K12,"N/A")</f>
        <v>N/A</v>
      </c>
      <c r="L13" s="106" t="e">
        <f>+L11-L12</f>
        <v>#DIV/0!</v>
      </c>
      <c r="M13" s="106" t="e">
        <f>(M11-M12)</f>
        <v>#DIV/0!</v>
      </c>
      <c r="N13" s="329" t="e">
        <f>(N11-N12)</f>
        <v>#DIV/0!</v>
      </c>
    </row>
    <row r="14" spans="1:23" x14ac:dyDescent="0.15">
      <c r="C14" s="246"/>
      <c r="D14" s="246"/>
      <c r="E14" s="246"/>
      <c r="F14" s="246"/>
    </row>
    <row r="16" spans="1:23" ht="23" x14ac:dyDescent="0.15">
      <c r="B16" s="297" t="s">
        <v>1191</v>
      </c>
      <c r="C16" s="298"/>
      <c r="D16" s="298"/>
      <c r="E16" s="298"/>
      <c r="F16" s="299"/>
      <c r="H16" s="382" t="s">
        <v>1207</v>
      </c>
      <c r="I16" s="382"/>
      <c r="J16" s="382"/>
      <c r="K16" s="382"/>
      <c r="L16" s="382"/>
    </row>
    <row r="17" spans="2:12" ht="50.25" customHeight="1" x14ac:dyDescent="0.15">
      <c r="B17" s="66"/>
      <c r="C17" s="227" t="s">
        <v>1181</v>
      </c>
      <c r="D17" s="227" t="s">
        <v>1182</v>
      </c>
      <c r="E17" s="227" t="s">
        <v>1183</v>
      </c>
      <c r="F17" s="227" t="s">
        <v>1204</v>
      </c>
      <c r="H17" s="320" t="str">
        <f>B6</f>
        <v>Central Lancashire</v>
      </c>
      <c r="I17" s="227" t="s">
        <v>1161</v>
      </c>
      <c r="J17" s="227" t="s">
        <v>1160</v>
      </c>
      <c r="K17" s="227" t="s">
        <v>1159</v>
      </c>
      <c r="L17" s="227" t="s">
        <v>1162</v>
      </c>
    </row>
    <row r="18" spans="2:12" ht="15" x14ac:dyDescent="0.15">
      <c r="B18" s="313" t="str">
        <f>B6</f>
        <v>Central Lancashire</v>
      </c>
      <c r="C18" s="243" t="e">
        <f>SUMIFS('caseload data'!V:V,'caseload data'!C:C, B6, 'caseload data'!D:D, "PO", 'caseload data'!B:B, "Community")/((SUMIFS('capacity data'!I:I,'capacity data'!B:B,B6,'capacity data'!E:E,"PO")-(SUMIFS('capacity data'!J:J,'capacity data'!B:B,B6,'capacity data'!E:E,"PO")))/37)</f>
        <v>#DIV/0!</v>
      </c>
      <c r="D18" s="244" t="e">
        <f>SUMIFS('caseload data'!V:V,'caseload data'!C:C, B6, 'caseload data'!D:D, "PSO", 'caseload data'!B:B, "Community")/((SUMIFS('capacity data'!I:I,'capacity data'!B:B,B6,'capacity data'!E:E,"PSO")-(SUMIFS('capacity data'!J:J,'capacity data'!B:B,B6,'capacity data'!E:E,"PSO")))/37)</f>
        <v>#DIV/0!</v>
      </c>
      <c r="E18" s="244" t="e">
        <f>SUMIFS('caseload data'!V:V,'caseload data'!C:C, B6, 'caseload data'!D:D, "TPO", 'caseload data'!B:B, "Community")/((SUMIFS('capacity data'!I:I,'capacity data'!B:B,B6,'capacity data'!E:E,"TPO")-(SUMIFS('capacity data'!J:J,'capacity data'!B:B,B6,'capacity data'!E:E,"TPO")))/37)</f>
        <v>#DIV/0!</v>
      </c>
      <c r="F18" s="244" t="e">
        <f>SUMIFS('caseload data'!V:V,'caseload data'!B:B, "Community", 'caseload data'!D:D, "&lt;&gt;DMY", 'caseload data'!C:C, B6) /((SUMIFS('capacity data'!I:I,'capacity data'!B:B,B6,'capacity data'!E:E,"&lt;&gt;DMY")-(SUMIFS('capacity data'!J:J,'capacity data'!B:B,B6,'capacity data'!E:E,"&lt;&gt;DMY")))/37)</f>
        <v>#DIV/0!</v>
      </c>
      <c r="H18" s="69" t="s">
        <v>1193</v>
      </c>
      <c r="I18" s="242">
        <f>SUM(T49:T52)</f>
        <v>0</v>
      </c>
      <c r="J18" s="242">
        <f>SUM(T56:T59)</f>
        <v>0</v>
      </c>
      <c r="K18" s="242">
        <f>SUM(T63:T66)</f>
        <v>0</v>
      </c>
      <c r="L18" s="242">
        <f>SUM(I18:K18)</f>
        <v>0</v>
      </c>
    </row>
    <row r="19" spans="2:12" x14ac:dyDescent="0.15">
      <c r="B19" s="237" t="s">
        <v>1190</v>
      </c>
      <c r="C19" s="243" t="e">
        <f>SUMIFS('caseload data'!V:V, 'caseload data'!D:D, "PO", 'caseload data'!B:B, "Community")/((SUMIFS('capacity data'!I:I,'capacity data'!E:E,"PO")-(SUMIFS('capacity data'!J:J,'capacity data'!E:E,"PO")))/37)</f>
        <v>#DIV/0!</v>
      </c>
      <c r="D19" s="243" t="e">
        <f>SUMIFS('caseload data'!V:V, 'caseload data'!D:D, "PSO", 'caseload data'!B:B, "Community")/((SUMIFS('capacity data'!I:I,'capacity data'!E:E,"PSO")-(SUMIFS('capacity data'!J:J,'capacity data'!E:E,"PSO")))/37)</f>
        <v>#DIV/0!</v>
      </c>
      <c r="E19" s="243" t="e">
        <f>SUMIFS('caseload data'!V:V, 'caseload data'!D:D, "TPO", 'caseload data'!B:B, "Community")/((SUMIFS('capacity data'!I:I,'capacity data'!E:E,"TPO")-(SUMIFS('capacity data'!J:J,'capacity data'!E:E,"TPO")))/37)</f>
        <v>#DIV/0!</v>
      </c>
      <c r="F19" s="243" t="e">
        <f>SUMIFS('caseload data'!V:V, 'caseload data'!D:D, "&lt;&gt;DMY", 'caseload data'!B:B, "Community")/((SUMIFS('capacity data'!I:I,'capacity data'!E:E,"&lt;&gt;DMY")-(SUMIFS('capacity data'!J:J,'capacity data'!E:E,"&lt;&gt;DMY")))/37)</f>
        <v>#DIV/0!</v>
      </c>
    </row>
    <row r="20" spans="2:12" x14ac:dyDescent="0.15">
      <c r="B20" s="72" t="s">
        <v>1206</v>
      </c>
      <c r="C20" s="243" t="e">
        <f>C18-C19</f>
        <v>#DIV/0!</v>
      </c>
      <c r="D20" s="243" t="e">
        <f t="shared" ref="D20:F20" si="1">D18-D19</f>
        <v>#DIV/0!</v>
      </c>
      <c r="E20" s="243" t="e">
        <f t="shared" si="1"/>
        <v>#DIV/0!</v>
      </c>
      <c r="F20" s="243" t="e">
        <f t="shared" si="1"/>
        <v>#DIV/0!</v>
      </c>
    </row>
    <row r="21" spans="2:12" x14ac:dyDescent="0.15">
      <c r="C21" s="246"/>
      <c r="D21" s="246"/>
      <c r="E21" s="246"/>
      <c r="F21" s="246"/>
    </row>
    <row r="22" spans="2:12" ht="23" x14ac:dyDescent="0.15">
      <c r="B22" s="293" t="s">
        <v>1194</v>
      </c>
      <c r="C22" s="300"/>
      <c r="D22" s="300"/>
      <c r="E22" s="300"/>
      <c r="F22" s="299"/>
    </row>
    <row r="23" spans="2:12" ht="57.75" customHeight="1" x14ac:dyDescent="0.15">
      <c r="B23" s="66"/>
      <c r="C23" s="227" t="s">
        <v>1181</v>
      </c>
      <c r="D23" s="227" t="s">
        <v>1182</v>
      </c>
      <c r="E23" s="227" t="s">
        <v>1183</v>
      </c>
      <c r="F23" s="227" t="s">
        <v>1204</v>
      </c>
    </row>
    <row r="24" spans="2:12" ht="15" x14ac:dyDescent="0.15">
      <c r="B24" s="313" t="str">
        <f>B6</f>
        <v>Central Lancashire</v>
      </c>
      <c r="C24" s="243" t="e">
        <f>SUMIFS('caseload data'!V:V,'caseload data'!C:C, B6, 'caseload data'!D:D, "PO", 'caseload data'!B:B, "Licence")/((SUMIFS('capacity data'!I:I,'capacity data'!B:B,B6,'capacity data'!E:E,"PO")-(SUMIFS('capacity data'!J:J,'capacity data'!B:B,B6,'capacity data'!E:E,"PO")))/37)</f>
        <v>#DIV/0!</v>
      </c>
      <c r="D24" s="244" t="e">
        <f>SUMIFS('caseload data'!V:V,'caseload data'!C:C, B6, 'caseload data'!D:D, "PSO", 'caseload data'!B:B, "Licence")/((SUMIFS('capacity data'!I:I,'capacity data'!B:B,B6,'capacity data'!E:E,"PSO")-(SUMIFS('capacity data'!J:J,'capacity data'!B:B,B6,'capacity data'!E:E,"PSO")))/37)</f>
        <v>#DIV/0!</v>
      </c>
      <c r="E24" s="244" t="e">
        <f>SUMIFS('caseload data'!V:V,'caseload data'!C:C, B6, 'caseload data'!D:D, "TPO", 'caseload data'!B:B, "Licence")/((SUMIFS('capacity data'!I:I,'capacity data'!B:B,B6,'capacity data'!E:E,"TPO")-(SUMIFS('capacity data'!J:J,'capacity data'!B:B,B6,'capacity data'!E:E,"TPO")))/37)</f>
        <v>#DIV/0!</v>
      </c>
      <c r="F24" s="244" t="e">
        <f>SUMIFS('caseload data'!V:V,'caseload data'!B:B, "Licence", 'caseload data'!D:D, "&lt;&gt;DMY", 'caseload data'!C:C, B6) /((SUMIFS('capacity data'!I:I,'capacity data'!B:B,B6,'capacity data'!E:E,"&lt;&gt;DMY")-(SUMIFS('capacity data'!J:J,'capacity data'!B:B,B6,'capacity data'!E:E,"&lt;&gt;DMY")))/37)</f>
        <v>#DIV/0!</v>
      </c>
    </row>
    <row r="25" spans="2:12" x14ac:dyDescent="0.15">
      <c r="B25" s="237" t="s">
        <v>1190</v>
      </c>
      <c r="C25" s="243" t="e">
        <f>SUMIFS('caseload data'!V:V, 'caseload data'!D:D, "PO", 'caseload data'!B:B, "Licence")/((SUMIFS('capacity data'!I:I,'capacity data'!E:E,"PO")-(SUMIFS('capacity data'!J:J,'capacity data'!E:E,"PO")))/37)</f>
        <v>#DIV/0!</v>
      </c>
      <c r="D25" s="243" t="e">
        <f>SUMIFS('caseload data'!V:V, 'caseload data'!D:D, "PSO", 'caseload data'!B:B, "Licence")/((SUMIFS('capacity data'!I:I,'capacity data'!E:E,"PSO")-(SUMIFS('capacity data'!J:J,'capacity data'!E:E,"PSO")))/37)</f>
        <v>#DIV/0!</v>
      </c>
      <c r="E25" s="243" t="e">
        <f>SUMIFS('caseload data'!V:V, 'caseload data'!D:D, "TPO", 'caseload data'!B:B, "Licence")/((SUMIFS('capacity data'!I:I,'capacity data'!E:E,"TPO")-(SUMIFS('capacity data'!J:J,'capacity data'!E:E,"TPO")))/37)</f>
        <v>#DIV/0!</v>
      </c>
      <c r="F25" s="243" t="e">
        <f>SUMIFS('caseload data'!V:V, 'caseload data'!D:D, "&lt;&gt;DMY", 'caseload data'!B:B, "Licence")/((SUMIFS('capacity data'!I:I,'capacity data'!E:E,"&lt;&gt;DMY")-(SUMIFS('capacity data'!J:J,'capacity data'!E:E,"&lt;&gt;DMY")))/37)</f>
        <v>#DIV/0!</v>
      </c>
    </row>
    <row r="26" spans="2:12" x14ac:dyDescent="0.15">
      <c r="B26" s="72" t="s">
        <v>1206</v>
      </c>
      <c r="C26" s="243" t="e">
        <f>C24-C25</f>
        <v>#DIV/0!</v>
      </c>
      <c r="D26" s="243" t="e">
        <f t="shared" ref="D26:F26" si="2">D24-D25</f>
        <v>#DIV/0!</v>
      </c>
      <c r="E26" s="243" t="e">
        <f t="shared" si="2"/>
        <v>#DIV/0!</v>
      </c>
      <c r="F26" s="243" t="e">
        <f t="shared" si="2"/>
        <v>#DIV/0!</v>
      </c>
    </row>
    <row r="28" spans="2:12" ht="23" x14ac:dyDescent="0.15">
      <c r="B28" s="293" t="s">
        <v>1208</v>
      </c>
      <c r="C28" s="300"/>
      <c r="D28" s="300"/>
      <c r="E28" s="300"/>
      <c r="F28" s="299"/>
    </row>
    <row r="29" spans="2:12" ht="54" customHeight="1" x14ac:dyDescent="0.15">
      <c r="B29" s="66"/>
      <c r="C29" s="227" t="s">
        <v>1181</v>
      </c>
      <c r="D29" s="227" t="s">
        <v>1182</v>
      </c>
      <c r="E29" s="227" t="s">
        <v>1183</v>
      </c>
      <c r="F29" s="227" t="s">
        <v>1204</v>
      </c>
    </row>
    <row r="30" spans="2:12" ht="15" x14ac:dyDescent="0.15">
      <c r="B30" s="313" t="str">
        <f>B6</f>
        <v>Central Lancashire</v>
      </c>
      <c r="C30" s="243" t="e">
        <f>SUMIFS('caseload data'!V:V,'caseload data'!C:C, B6, 'caseload data'!D:D, "PO", 'caseload data'!B:B, "Custody")/((SUMIFS('capacity data'!I:I,'capacity data'!B:B,B6,'capacity data'!E:E,"PO")-(SUMIFS('capacity data'!J:J,'capacity data'!B:B,B6,'capacity data'!E:E,"PO")))/37)</f>
        <v>#DIV/0!</v>
      </c>
      <c r="D30" s="244" t="e">
        <f>SUMIFS('caseload data'!V:V,'caseload data'!C:C, B6, 'caseload data'!D:D, "PSO", 'caseload data'!B:B, "Custody")/((SUMIFS('capacity data'!I:I,'capacity data'!B:B,B6,'capacity data'!E:E,"PSO")-(SUMIFS('capacity data'!J:J,'capacity data'!B:B,B6,'capacity data'!E:E,"PSO")))/37)</f>
        <v>#DIV/0!</v>
      </c>
      <c r="E30" s="244" t="e">
        <f>SUMIFS('caseload data'!V:V,'caseload data'!C:C, B6, 'caseload data'!D:D, "TPO", 'caseload data'!B:B, "Custody")/((SUMIFS('capacity data'!I:I,'capacity data'!B:B,B6,'capacity data'!E:E,"TPO")-(SUMIFS('capacity data'!J:J,'capacity data'!B:B,B6,'capacity data'!E:E,"TPO")))/37)</f>
        <v>#DIV/0!</v>
      </c>
      <c r="F30" s="244" t="e">
        <f>SUMIFS('caseload data'!V:V,'caseload data'!B:B, "Custody", 'caseload data'!D:D, "&lt;&gt;DMY", 'caseload data'!C:C, B6) /((SUMIFS('capacity data'!I:I,'capacity data'!B:B,B6,'capacity data'!E:E,"&lt;&gt;DMY")-(SUMIFS('capacity data'!J:J,'capacity data'!B:B,B6,'capacity data'!E:E,"&lt;&gt;DMY")))/37)</f>
        <v>#DIV/0!</v>
      </c>
    </row>
    <row r="31" spans="2:12" x14ac:dyDescent="0.15">
      <c r="B31" s="237" t="s">
        <v>1190</v>
      </c>
      <c r="C31" s="243" t="e">
        <f>SUMIFS('caseload data'!V:V, 'caseload data'!D:D, "PO", 'caseload data'!B:B, "Custody")/((SUMIFS('capacity data'!I:I,'capacity data'!E:E,"PO")-(SUMIFS('capacity data'!J:J,'capacity data'!E:E,"PO")))/37)</f>
        <v>#DIV/0!</v>
      </c>
      <c r="D31" s="243" t="e">
        <f>SUMIFS('caseload data'!V:V, 'caseload data'!D:D, "PSO", 'caseload data'!B:B, "Custody")/((SUMIFS('capacity data'!I:I,'capacity data'!E:E,"PSO")-(SUMIFS('capacity data'!J:J,'capacity data'!E:E,"PSO")))/37)</f>
        <v>#DIV/0!</v>
      </c>
      <c r="E31" s="243" t="e">
        <f>SUMIFS('caseload data'!V:V, 'caseload data'!D:D, "TPO", 'caseload data'!B:B, "Custody")/((SUMIFS('capacity data'!I:I,'capacity data'!E:E,"TPO")-(SUMIFS('capacity data'!J:J,'capacity data'!E:E,"TPO")))/37)</f>
        <v>#DIV/0!</v>
      </c>
      <c r="F31" s="243" t="e">
        <f>SUMIFS('caseload data'!V:V, 'caseload data'!D:D, "&lt;&gt;DMY", 'caseload data'!B:B, "Custody")/((SUMIFS('capacity data'!I:I,'capacity data'!E:E,"&lt;&gt;DMY")-(SUMIFS('capacity data'!J:J,'capacity data'!E:E,"&lt;&gt;DMY")))/37)</f>
        <v>#DIV/0!</v>
      </c>
    </row>
    <row r="32" spans="2:12" x14ac:dyDescent="0.15">
      <c r="B32" s="72" t="s">
        <v>1206</v>
      </c>
      <c r="C32" s="243" t="e">
        <f>C30-C31</f>
        <v>#DIV/0!</v>
      </c>
      <c r="D32" s="243" t="e">
        <f t="shared" ref="D32:F32" si="3">D30-D31</f>
        <v>#DIV/0!</v>
      </c>
      <c r="E32" s="243" t="e">
        <f t="shared" si="3"/>
        <v>#DIV/0!</v>
      </c>
      <c r="F32" s="243" t="e">
        <f t="shared" si="3"/>
        <v>#DIV/0!</v>
      </c>
    </row>
    <row r="33" spans="2:21" x14ac:dyDescent="0.15">
      <c r="B33" s="246"/>
      <c r="C33" s="246"/>
      <c r="D33" s="246"/>
      <c r="E33" s="246"/>
      <c r="F33" s="246"/>
    </row>
    <row r="34" spans="2:21" x14ac:dyDescent="0.15">
      <c r="B34" s="246"/>
      <c r="C34" s="246"/>
      <c r="D34" s="246"/>
      <c r="E34" s="246"/>
      <c r="F34" s="246"/>
    </row>
    <row r="35" spans="2:21" ht="25" x14ac:dyDescent="0.15">
      <c r="B35" s="293" t="s">
        <v>1192</v>
      </c>
      <c r="C35" s="294"/>
      <c r="D35" s="294"/>
      <c r="E35" s="294"/>
      <c r="F35" s="293"/>
    </row>
    <row r="36" spans="2:21" x14ac:dyDescent="0.15">
      <c r="B36" s="66"/>
      <c r="C36" s="227" t="s">
        <v>1161</v>
      </c>
      <c r="D36" s="227" t="s">
        <v>1160</v>
      </c>
      <c r="E36" s="227" t="s">
        <v>1159</v>
      </c>
      <c r="F36" s="227" t="s">
        <v>1162</v>
      </c>
    </row>
    <row r="37" spans="2:21" x14ac:dyDescent="0.15">
      <c r="B37" s="69" t="s">
        <v>1193</v>
      </c>
      <c r="C37" s="242">
        <f>SUM(T49:T52)</f>
        <v>0</v>
      </c>
      <c r="D37" s="242">
        <f>SUM(T56:T59)</f>
        <v>0</v>
      </c>
      <c r="E37" s="242">
        <f>SUM(T63:T66)</f>
        <v>0</v>
      </c>
      <c r="F37" s="242">
        <f>SUM(T42:T45)</f>
        <v>0</v>
      </c>
    </row>
    <row r="38" spans="2:21" ht="14.25" customHeight="1" x14ac:dyDescent="0.15"/>
    <row r="39" spans="2:21" ht="14.25" customHeight="1" x14ac:dyDescent="0.15"/>
    <row r="40" spans="2:21" ht="42" customHeight="1" x14ac:dyDescent="0.15">
      <c r="B40" s="315" t="str">
        <f>B6</f>
        <v>Central Lancashire</v>
      </c>
      <c r="C40" s="386" t="s">
        <v>1209</v>
      </c>
      <c r="D40" s="387"/>
      <c r="E40" s="387"/>
      <c r="F40" s="387"/>
      <c r="G40" s="387"/>
      <c r="H40" s="387"/>
      <c r="I40" s="387"/>
      <c r="J40" s="387"/>
      <c r="K40" s="387"/>
      <c r="L40" s="387"/>
      <c r="M40" s="387"/>
      <c r="N40" s="387"/>
      <c r="O40" s="387"/>
      <c r="P40" s="387"/>
      <c r="Q40" s="387"/>
      <c r="R40" s="387"/>
      <c r="S40" s="387"/>
      <c r="T40" s="387"/>
    </row>
    <row r="41" spans="2:21" ht="19.5" customHeight="1" x14ac:dyDescent="0.15">
      <c r="B41" s="99" t="s">
        <v>1171</v>
      </c>
      <c r="C41" s="301" t="s">
        <v>1022</v>
      </c>
      <c r="D41" s="301" t="s">
        <v>1023</v>
      </c>
      <c r="E41" s="301" t="s">
        <v>1024</v>
      </c>
      <c r="F41" s="301" t="s">
        <v>1025</v>
      </c>
      <c r="G41" s="301" t="s">
        <v>1026</v>
      </c>
      <c r="H41" s="301" t="s">
        <v>1027</v>
      </c>
      <c r="I41" s="301" t="s">
        <v>1028</v>
      </c>
      <c r="J41" s="301" t="s">
        <v>1029</v>
      </c>
      <c r="K41" s="301" t="s">
        <v>1030</v>
      </c>
      <c r="L41" s="301" t="s">
        <v>1031</v>
      </c>
      <c r="M41" s="301" t="s">
        <v>1032</v>
      </c>
      <c r="N41" s="301" t="s">
        <v>1033</v>
      </c>
      <c r="O41" s="301" t="s">
        <v>1034</v>
      </c>
      <c r="P41" s="301" t="s">
        <v>1035</v>
      </c>
      <c r="Q41" s="301" t="s">
        <v>1036</v>
      </c>
      <c r="R41" s="301" t="s">
        <v>1037</v>
      </c>
      <c r="S41" s="301" t="s">
        <v>1196</v>
      </c>
      <c r="T41" s="301" t="s">
        <v>1127</v>
      </c>
    </row>
    <row r="42" spans="2:21" ht="14.25" customHeight="1" x14ac:dyDescent="0.15">
      <c r="B42" s="79" t="s">
        <v>1166</v>
      </c>
      <c r="C42" s="242">
        <f>SUMIFS('caseload data'!E:E,'caseload data'!$D:$D,"PO",'caseload data'!$C:$C,$B$6)</f>
        <v>0</v>
      </c>
      <c r="D42" s="242">
        <f>SUMIFS('caseload data'!F:F,'caseload data'!$D:$D,"PO",'caseload data'!$C:$C,$B$6)</f>
        <v>0</v>
      </c>
      <c r="E42" s="242">
        <f>SUMIFS('caseload data'!G:G,'caseload data'!$D:$D,"PO",'caseload data'!$C:$C,$B$6)</f>
        <v>0</v>
      </c>
      <c r="F42" s="242">
        <f>SUMIFS('caseload data'!H:H,'caseload data'!$D:$D,"PO",'caseload data'!$C:$C,$B$6)</f>
        <v>0</v>
      </c>
      <c r="G42" s="242">
        <f>SUMIFS('caseload data'!I:I,'caseload data'!$D:$D,"PO",'caseload data'!$C:$C,$B$6)</f>
        <v>0</v>
      </c>
      <c r="H42" s="242">
        <f>SUMIFS('caseload data'!J:J,'caseload data'!$D:$D,"PO",'caseload data'!$C:$C,$B$6)</f>
        <v>0</v>
      </c>
      <c r="I42" s="242">
        <f>SUMIFS('caseload data'!K:K,'caseload data'!$D:$D,"PO",'caseload data'!$C:$C,$B$6)</f>
        <v>0</v>
      </c>
      <c r="J42" s="242">
        <f>SUMIFS('caseload data'!L:L,'caseload data'!$D:$D,"PO",'caseload data'!$C:$C,$B$6)</f>
        <v>0</v>
      </c>
      <c r="K42" s="242">
        <f>SUMIFS('caseload data'!M:M,'caseload data'!$D:$D,"PO",'caseload data'!$C:$C,$B$6)</f>
        <v>0</v>
      </c>
      <c r="L42" s="242">
        <f>SUMIFS('caseload data'!N:N,'caseload data'!$D:$D,"PO",'caseload data'!$C:$C,$B$6)</f>
        <v>0</v>
      </c>
      <c r="M42" s="242">
        <f>SUMIFS('caseload data'!O:O,'caseload data'!$D:$D,"PO",'caseload data'!$C:$C,$B$6)</f>
        <v>0</v>
      </c>
      <c r="N42" s="242">
        <f>SUMIFS('caseload data'!P:P,'caseload data'!$D:$D,"PO",'caseload data'!$C:$C,$B$6)</f>
        <v>0</v>
      </c>
      <c r="O42" s="242">
        <f>SUMIFS('caseload data'!Q:Q,'caseload data'!$D:$D,"PO",'caseload data'!$C:$C,$B$6)</f>
        <v>0</v>
      </c>
      <c r="P42" s="242">
        <f>SUMIFS('caseload data'!R:R,'caseload data'!$D:$D,"PO",'caseload data'!$C:$C,$B$6)</f>
        <v>0</v>
      </c>
      <c r="Q42" s="242">
        <f>SUMIFS('caseload data'!S:S,'caseload data'!$D:$D,"PO",'caseload data'!$C:$C,$B$6)</f>
        <v>0</v>
      </c>
      <c r="R42" s="242">
        <f>SUMIFS('caseload data'!T:T,'caseload data'!$D:$D,"PO",'caseload data'!$C:$C,$B$6)</f>
        <v>0</v>
      </c>
      <c r="S42" s="242">
        <f>SUMIFS('caseload data'!U:U,'caseload data'!$D:$D,"PO",'caseload data'!$C:$C,$B$6)</f>
        <v>0</v>
      </c>
      <c r="T42" s="242">
        <f>SUM(C42:S42)</f>
        <v>0</v>
      </c>
    </row>
    <row r="43" spans="2:21" x14ac:dyDescent="0.15">
      <c r="B43" s="79" t="s">
        <v>1172</v>
      </c>
      <c r="C43" s="242">
        <f>SUMIFS('caseload data'!E:E,'caseload data'!$D:$D,"PSO",'caseload data'!$C:$C,$B$6)</f>
        <v>0</v>
      </c>
      <c r="D43" s="242">
        <f>SUMIFS('caseload data'!F:F,'caseload data'!$D:$D,"PSO",'caseload data'!$C:$C,$B$6)</f>
        <v>0</v>
      </c>
      <c r="E43" s="242">
        <f>SUMIFS('caseload data'!G:G,'caseload data'!$D:$D,"PSO",'caseload data'!$C:$C,$B$6)</f>
        <v>0</v>
      </c>
      <c r="F43" s="242">
        <f>SUMIFS('caseload data'!H:H,'caseload data'!$D:$D,"PSO",'caseload data'!$C:$C,$B$6)</f>
        <v>0</v>
      </c>
      <c r="G43" s="242">
        <f>SUMIFS('caseload data'!I:I,'caseload data'!$D:$D,"PSO",'caseload data'!$C:$C,$B$6)</f>
        <v>0</v>
      </c>
      <c r="H43" s="242">
        <f>SUMIFS('caseload data'!J:J,'caseload data'!$D:$D,"PSO",'caseload data'!$C:$C,$B$6)</f>
        <v>0</v>
      </c>
      <c r="I43" s="242">
        <f>SUMIFS('caseload data'!K:K,'caseload data'!$D:$D,"PSO",'caseload data'!$C:$C,$B$6)</f>
        <v>0</v>
      </c>
      <c r="J43" s="242">
        <f>SUMIFS('caseload data'!L:L,'caseload data'!$D:$D,"PSO",'caseload data'!$C:$C,$B$6)</f>
        <v>0</v>
      </c>
      <c r="K43" s="242">
        <f>SUMIFS('caseload data'!M:M,'caseload data'!$D:$D,"PSO",'caseload data'!$C:$C,$B$6)</f>
        <v>0</v>
      </c>
      <c r="L43" s="242">
        <f>SUMIFS('caseload data'!N:N,'caseload data'!$D:$D,"PSO",'caseload data'!$C:$C,$B$6)</f>
        <v>0</v>
      </c>
      <c r="M43" s="242">
        <f>SUMIFS('caseload data'!O:O,'caseload data'!$D:$D,"PSO",'caseload data'!$C:$C,$B$6)</f>
        <v>0</v>
      </c>
      <c r="N43" s="242">
        <f>SUMIFS('caseload data'!P:P,'caseload data'!$D:$D,"PSO",'caseload data'!$C:$C,$B$6)</f>
        <v>0</v>
      </c>
      <c r="O43" s="242">
        <f>SUMIFS('caseload data'!Q:Q,'caseload data'!$D:$D,"PSO",'caseload data'!$C:$C,$B$6)</f>
        <v>0</v>
      </c>
      <c r="P43" s="242">
        <f>SUMIFS('caseload data'!R:R,'caseload data'!$D:$D,"PSO",'caseload data'!$C:$C,$B$6)</f>
        <v>0</v>
      </c>
      <c r="Q43" s="242">
        <f>SUMIFS('caseload data'!S:S,'caseload data'!$D:$D,"PSO",'caseload data'!$C:$C,$B$6)</f>
        <v>0</v>
      </c>
      <c r="R43" s="242">
        <f>SUMIFS('caseload data'!T:T,'caseload data'!$D:$D,"PSO",'caseload data'!$C:$C,$B$6)</f>
        <v>0</v>
      </c>
      <c r="S43" s="242">
        <f>SUMIFS('caseload data'!U:U,'caseload data'!$D:$D,"PSO",'caseload data'!$C:$C,$B$6)</f>
        <v>0</v>
      </c>
      <c r="T43" s="242">
        <f t="shared" ref="T43:T66" si="4">SUM(C43:S43)</f>
        <v>0</v>
      </c>
    </row>
    <row r="44" spans="2:21" ht="14.25" customHeight="1" x14ac:dyDescent="0.15">
      <c r="B44" s="79" t="s">
        <v>1173</v>
      </c>
      <c r="C44" s="242">
        <f>SUMIFS('caseload data'!E:E,'caseload data'!$D:$D,"TPO",'caseload data'!$C:$C,$B$6)</f>
        <v>0</v>
      </c>
      <c r="D44" s="242">
        <f>SUMIFS('caseload data'!F:F,'caseload data'!$D:$D,"TPO",'caseload data'!$C:$C,$B$6)</f>
        <v>0</v>
      </c>
      <c r="E44" s="242">
        <f>SUMIFS('caseload data'!G:G,'caseload data'!$D:$D,"TPO",'caseload data'!$C:$C,$B$6)</f>
        <v>0</v>
      </c>
      <c r="F44" s="242">
        <f>SUMIFS('caseload data'!H:H,'caseload data'!$D:$D,"TPO",'caseload data'!$C:$C,$B$6)</f>
        <v>0</v>
      </c>
      <c r="G44" s="242">
        <f>SUMIFS('caseload data'!I:I,'caseload data'!$D:$D,"TPO",'caseload data'!$C:$C,$B$6)</f>
        <v>0</v>
      </c>
      <c r="H44" s="242">
        <f>SUMIFS('caseload data'!J:J,'caseload data'!$D:$D,"TPO",'caseload data'!$C:$C,$B$6)</f>
        <v>0</v>
      </c>
      <c r="I44" s="242">
        <f>SUMIFS('caseload data'!K:K,'caseload data'!$D:$D,"TPO",'caseload data'!$C:$C,$B$6)</f>
        <v>0</v>
      </c>
      <c r="J44" s="242">
        <f>SUMIFS('caseload data'!L:L,'caseload data'!$D:$D,"TPO",'caseload data'!$C:$C,$B$6)</f>
        <v>0</v>
      </c>
      <c r="K44" s="242">
        <f>SUMIFS('caseload data'!M:M,'caseload data'!$D:$D,"TPO",'caseload data'!$C:$C,$B$6)</f>
        <v>0</v>
      </c>
      <c r="L44" s="242">
        <f>SUMIFS('caseload data'!N:N,'caseload data'!$D:$D,"TPO",'caseload data'!$C:$C,$B$6)</f>
        <v>0</v>
      </c>
      <c r="M44" s="242">
        <f>SUMIFS('caseload data'!O:O,'caseload data'!$D:$D,"TPO",'caseload data'!$C:$C,$B$6)</f>
        <v>0</v>
      </c>
      <c r="N44" s="242">
        <f>SUMIFS('caseload data'!P:P,'caseload data'!$D:$D,"TPO",'caseload data'!$C:$C,$B$6)</f>
        <v>0</v>
      </c>
      <c r="O44" s="242">
        <f>SUMIFS('caseload data'!Q:Q,'caseload data'!$D:$D,"TPO",'caseload data'!$C:$C,$B$6)</f>
        <v>0</v>
      </c>
      <c r="P44" s="242">
        <f>SUMIFS('caseload data'!R:R,'caseload data'!$D:$D,"TPO",'caseload data'!$C:$C,$B$6)</f>
        <v>0</v>
      </c>
      <c r="Q44" s="242">
        <f>SUMIFS('caseload data'!S:S,'caseload data'!$D:$D,"TPO",'caseload data'!$C:$C,$B$6)</f>
        <v>0</v>
      </c>
      <c r="R44" s="242">
        <f>SUMIFS('caseload data'!T:T,'caseload data'!$D:$D,"TPO",'caseload data'!$C:$C,$B$6)</f>
        <v>0</v>
      </c>
      <c r="S44" s="242">
        <f>SUMIFS('caseload data'!U:U,'caseload data'!$D:$D,"TPO",'caseload data'!$C:$C,$B$6)</f>
        <v>0</v>
      </c>
      <c r="T44" s="242">
        <f t="shared" si="4"/>
        <v>0</v>
      </c>
    </row>
    <row r="45" spans="2:21" ht="14.25" customHeight="1" x14ac:dyDescent="0.15">
      <c r="B45" s="79" t="s">
        <v>1174</v>
      </c>
      <c r="C45" s="242">
        <f>SUMIFS('caseload data'!E:E,'caseload data'!$D:$D,"SPO",'caseload data'!$C:$C,$B$6)</f>
        <v>0</v>
      </c>
      <c r="D45" s="242">
        <f>SUMIFS('caseload data'!F:F,'caseload data'!$D:$D,"SPO",'caseload data'!$C:$C,$B$6)</f>
        <v>0</v>
      </c>
      <c r="E45" s="242">
        <f>SUMIFS('caseload data'!G:G,'caseload data'!$D:$D,"SPO",'caseload data'!$C:$C,$B$6)</f>
        <v>0</v>
      </c>
      <c r="F45" s="242">
        <f>SUMIFS('caseload data'!H:H,'caseload data'!$D:$D,"SPO",'caseload data'!$C:$C,$B$6)</f>
        <v>0</v>
      </c>
      <c r="G45" s="242">
        <f>SUMIFS('caseload data'!I:I,'caseload data'!$D:$D,"SPO",'caseload data'!$C:$C,$B$6)</f>
        <v>0</v>
      </c>
      <c r="H45" s="242">
        <f>SUMIFS('caseload data'!J:J,'caseload data'!$D:$D,"SPO",'caseload data'!$C:$C,$B$6)</f>
        <v>0</v>
      </c>
      <c r="I45" s="242">
        <f>SUMIFS('caseload data'!K:K,'caseload data'!$D:$D,"SPO",'caseload data'!$C:$C,$B$6)</f>
        <v>0</v>
      </c>
      <c r="J45" s="242">
        <f>SUMIFS('caseload data'!L:L,'caseload data'!$D:$D,"SPO",'caseload data'!$C:$C,$B$6)</f>
        <v>0</v>
      </c>
      <c r="K45" s="242">
        <f>SUMIFS('caseload data'!M:M,'caseload data'!$D:$D,"SPO",'caseload data'!$C:$C,$B$6)</f>
        <v>0</v>
      </c>
      <c r="L45" s="242">
        <f>SUMIFS('caseload data'!N:N,'caseload data'!$D:$D,"SPO",'caseload data'!$C:$C,$B$6)</f>
        <v>0</v>
      </c>
      <c r="M45" s="242">
        <f>SUMIFS('caseload data'!O:O,'caseload data'!$D:$D,"SPO",'caseload data'!$C:$C,$B$6)</f>
        <v>0</v>
      </c>
      <c r="N45" s="242">
        <f>SUMIFS('caseload data'!P:P,'caseload data'!$D:$D,"SPO",'caseload data'!$C:$C,$B$6)</f>
        <v>0</v>
      </c>
      <c r="O45" s="242">
        <f>SUMIFS('caseload data'!Q:Q,'caseload data'!$D:$D,"SPO",'caseload data'!$C:$C,$B$6)</f>
        <v>0</v>
      </c>
      <c r="P45" s="242">
        <f>SUMIFS('caseload data'!R:R,'caseload data'!$D:$D,"SPO",'caseload data'!$C:$C,$B$6)</f>
        <v>0</v>
      </c>
      <c r="Q45" s="242">
        <f>SUMIFS('caseload data'!S:S,'caseload data'!$D:$D,"SPO",'caseload data'!$C:$C,$B$6)</f>
        <v>0</v>
      </c>
      <c r="R45" s="242">
        <f>SUMIFS('caseload data'!T:T,'caseload data'!$D:$D,"SPO",'caseload data'!$C:$C,$B$6)</f>
        <v>0</v>
      </c>
      <c r="S45" s="242">
        <f>SUMIFS('caseload data'!U:U,'caseload data'!$D:$D,"SPO",'caseload data'!$C:$C,$B$6)</f>
        <v>0</v>
      </c>
      <c r="T45" s="242">
        <f t="shared" si="4"/>
        <v>0</v>
      </c>
      <c r="U45" s="247"/>
    </row>
    <row r="46" spans="2:21" ht="14.25" customHeight="1" x14ac:dyDescent="0.15">
      <c r="B46" s="179"/>
      <c r="C46" s="179"/>
      <c r="D46" s="179"/>
      <c r="E46" s="179"/>
      <c r="F46" s="179"/>
      <c r="G46" s="179"/>
      <c r="H46" s="179"/>
      <c r="I46" s="179"/>
      <c r="J46" s="179"/>
      <c r="K46" s="179"/>
      <c r="L46" s="179"/>
      <c r="M46" s="179"/>
      <c r="N46" s="179"/>
      <c r="O46" s="179"/>
      <c r="P46" s="179"/>
      <c r="Q46" s="179"/>
      <c r="R46" s="179"/>
    </row>
    <row r="47" spans="2:21" ht="36.75" customHeight="1" x14ac:dyDescent="0.15">
      <c r="B47" s="315" t="str">
        <f>$B$6</f>
        <v>Central Lancashire</v>
      </c>
      <c r="C47" s="386" t="s">
        <v>1210</v>
      </c>
      <c r="D47" s="387"/>
      <c r="E47" s="387"/>
      <c r="F47" s="387"/>
      <c r="G47" s="387"/>
      <c r="H47" s="387"/>
      <c r="I47" s="387"/>
      <c r="J47" s="387"/>
      <c r="K47" s="387"/>
      <c r="L47" s="387"/>
      <c r="M47" s="387"/>
      <c r="N47" s="387"/>
      <c r="O47" s="387"/>
      <c r="P47" s="387"/>
      <c r="Q47" s="387"/>
      <c r="R47" s="387"/>
      <c r="S47" s="387"/>
      <c r="T47" s="387"/>
    </row>
    <row r="48" spans="2:21" ht="18" customHeight="1" x14ac:dyDescent="0.15">
      <c r="B48" s="99" t="s">
        <v>1171</v>
      </c>
      <c r="C48" s="40" t="s">
        <v>1022</v>
      </c>
      <c r="D48" s="40" t="s">
        <v>1023</v>
      </c>
      <c r="E48" s="40" t="s">
        <v>1024</v>
      </c>
      <c r="F48" s="40" t="s">
        <v>1025</v>
      </c>
      <c r="G48" s="40" t="s">
        <v>1026</v>
      </c>
      <c r="H48" s="40" t="s">
        <v>1027</v>
      </c>
      <c r="I48" s="40" t="s">
        <v>1028</v>
      </c>
      <c r="J48" s="40" t="s">
        <v>1029</v>
      </c>
      <c r="K48" s="40" t="s">
        <v>1030</v>
      </c>
      <c r="L48" s="40" t="s">
        <v>1031</v>
      </c>
      <c r="M48" s="40" t="s">
        <v>1032</v>
      </c>
      <c r="N48" s="40" t="s">
        <v>1033</v>
      </c>
      <c r="O48" s="40" t="s">
        <v>1034</v>
      </c>
      <c r="P48" s="40" t="s">
        <v>1035</v>
      </c>
      <c r="Q48" s="40" t="s">
        <v>1036</v>
      </c>
      <c r="R48" s="40" t="s">
        <v>1037</v>
      </c>
      <c r="S48" s="40" t="s">
        <v>1196</v>
      </c>
      <c r="T48" s="40" t="s">
        <v>1127</v>
      </c>
    </row>
    <row r="49" spans="2:21" ht="14.25" customHeight="1" x14ac:dyDescent="0.15">
      <c r="B49" s="79" t="s">
        <v>1166</v>
      </c>
      <c r="C49" s="242">
        <f>SUMIFS('caseload data'!E:E,'caseload data'!$D:$D,"PO",'caseload data'!$C:$C,$B$6, 'caseload data'!$B:$B, "community")</f>
        <v>0</v>
      </c>
      <c r="D49" s="242">
        <f>SUMIFS('caseload data'!F:F,'caseload data'!$D:$D,"PO",'caseload data'!$C:$C,$B$6, 'caseload data'!$B:$B, "community")</f>
        <v>0</v>
      </c>
      <c r="E49" s="242">
        <f>SUMIFS('caseload data'!G:G,'caseload data'!$D:$D,"PO",'caseload data'!$C:$C,$B$6, 'caseload data'!$B:$B, "community")</f>
        <v>0</v>
      </c>
      <c r="F49" s="242">
        <f>SUMIFS('caseload data'!H:H,'caseload data'!$D:$D,"PO",'caseload data'!$C:$C,$B$6, 'caseload data'!$B:$B, "community")</f>
        <v>0</v>
      </c>
      <c r="G49" s="242">
        <f>SUMIFS('caseload data'!I:I,'caseload data'!$D:$D,"PO",'caseload data'!$C:$C,$B$6, 'caseload data'!$B:$B, "community")</f>
        <v>0</v>
      </c>
      <c r="H49" s="242">
        <f>SUMIFS('caseload data'!J:J,'caseload data'!$D:$D,"PO",'caseload data'!$C:$C,$B$6, 'caseload data'!$B:$B, "community")</f>
        <v>0</v>
      </c>
      <c r="I49" s="242">
        <f>SUMIFS('caseload data'!K:K,'caseload data'!$D:$D,"PO",'caseload data'!$C:$C,$B$6, 'caseload data'!$B:$B, "community")</f>
        <v>0</v>
      </c>
      <c r="J49" s="242">
        <f>SUMIFS('caseload data'!L:L,'caseload data'!$D:$D,"PO",'caseload data'!$C:$C,$B$6, 'caseload data'!$B:$B, "community")</f>
        <v>0</v>
      </c>
      <c r="K49" s="242">
        <f>SUMIFS('caseload data'!M:M,'caseload data'!$D:$D,"PO",'caseload data'!$C:$C,$B$6, 'caseload data'!$B:$B, "community")</f>
        <v>0</v>
      </c>
      <c r="L49" s="242">
        <f>SUMIFS('caseload data'!N:N,'caseload data'!$D:$D,"PO",'caseload data'!$C:$C,$B$6, 'caseload data'!$B:$B, "community")</f>
        <v>0</v>
      </c>
      <c r="M49" s="242">
        <f>SUMIFS('caseload data'!O:O,'caseload data'!$D:$D,"PO",'caseload data'!$C:$C,$B$6, 'caseload data'!$B:$B, "community")</f>
        <v>0</v>
      </c>
      <c r="N49" s="242">
        <f>SUMIFS('caseload data'!P:P,'caseload data'!$D:$D,"PO",'caseload data'!$C:$C,$B$6, 'caseload data'!$B:$B, "community")</f>
        <v>0</v>
      </c>
      <c r="O49" s="242">
        <f>SUMIFS('caseload data'!Q:Q,'caseload data'!$D:$D,"PO",'caseload data'!$C:$C,$B$6, 'caseload data'!$B:$B, "community")</f>
        <v>0</v>
      </c>
      <c r="P49" s="242">
        <f>SUMIFS('caseload data'!R:R,'caseload data'!$D:$D,"PO",'caseload data'!$C:$C,$B$6, 'caseload data'!$B:$B, "community")</f>
        <v>0</v>
      </c>
      <c r="Q49" s="242">
        <f>SUMIFS('caseload data'!S:S,'caseload data'!$D:$D,"PO",'caseload data'!$C:$C,$B$6, 'caseload data'!$B:$B, "community")</f>
        <v>0</v>
      </c>
      <c r="R49" s="242">
        <f>SUMIFS('caseload data'!T:T,'caseload data'!$D:$D,"PO",'caseload data'!$C:$C,$B$6, 'caseload data'!$B:$B, "community")</f>
        <v>0</v>
      </c>
      <c r="S49" s="242">
        <f>SUMIFS('caseload data'!U:U,'caseload data'!$D:$D,"PO",'caseload data'!$C:$C,$B$6, 'caseload data'!$B:$B, "community")</f>
        <v>0</v>
      </c>
      <c r="T49" s="242">
        <f t="shared" si="4"/>
        <v>0</v>
      </c>
    </row>
    <row r="50" spans="2:21" ht="14.25" customHeight="1" x14ac:dyDescent="0.15">
      <c r="B50" s="79" t="s">
        <v>1172</v>
      </c>
      <c r="C50" s="242">
        <f>SUMIFS('caseload data'!E:E,'caseload data'!$D:$D,"PSO",'caseload data'!$C:$C,$B$6, 'caseload data'!$B:$B, "community")</f>
        <v>0</v>
      </c>
      <c r="D50" s="242">
        <f>SUMIFS('caseload data'!F:F,'caseload data'!$D:$D,"PSO",'caseload data'!$C:$C,$B$6, 'caseload data'!$B:$B, "community")</f>
        <v>0</v>
      </c>
      <c r="E50" s="242">
        <f>SUMIFS('caseload data'!G:G,'caseload data'!$D:$D,"PSO",'caseload data'!$C:$C,$B$6, 'caseload data'!$B:$B, "community")</f>
        <v>0</v>
      </c>
      <c r="F50" s="242">
        <f>SUMIFS('caseload data'!H:H,'caseload data'!$D:$D,"PSO",'caseload data'!$C:$C,$B$6, 'caseload data'!$B:$B, "community")</f>
        <v>0</v>
      </c>
      <c r="G50" s="242">
        <f>SUMIFS('caseload data'!I:I,'caseload data'!$D:$D,"PSO",'caseload data'!$C:$C,$B$6, 'caseload data'!$B:$B, "community")</f>
        <v>0</v>
      </c>
      <c r="H50" s="242">
        <f>SUMIFS('caseload data'!J:J,'caseload data'!$D:$D,"PSO",'caseload data'!$C:$C,$B$6, 'caseload data'!$B:$B, "community")</f>
        <v>0</v>
      </c>
      <c r="I50" s="242">
        <f>SUMIFS('caseload data'!K:K,'caseload data'!$D:$D,"PSO",'caseload data'!$C:$C,$B$6, 'caseload data'!$B:$B, "community")</f>
        <v>0</v>
      </c>
      <c r="J50" s="242">
        <f>SUMIFS('caseload data'!L:L,'caseload data'!$D:$D,"PSO",'caseload data'!$C:$C,$B$6, 'caseload data'!$B:$B, "community")</f>
        <v>0</v>
      </c>
      <c r="K50" s="242">
        <f>SUMIFS('caseload data'!M:M,'caseload data'!$D:$D,"PSO",'caseload data'!$C:$C,$B$6, 'caseload data'!$B:$B, "community")</f>
        <v>0</v>
      </c>
      <c r="L50" s="242">
        <f>SUMIFS('caseload data'!N:N,'caseload data'!$D:$D,"PSO",'caseload data'!$C:$C,$B$6, 'caseload data'!$B:$B, "community")</f>
        <v>0</v>
      </c>
      <c r="M50" s="242">
        <f>SUMIFS('caseload data'!O:O,'caseload data'!$D:$D,"PSO",'caseload data'!$C:$C,$B$6, 'caseload data'!$B:$B, "community")</f>
        <v>0</v>
      </c>
      <c r="N50" s="242">
        <f>SUMIFS('caseload data'!P:P,'caseload data'!$D:$D,"PSO",'caseload data'!$C:$C,$B$6, 'caseload data'!$B:$B, "community")</f>
        <v>0</v>
      </c>
      <c r="O50" s="242">
        <f>SUMIFS('caseload data'!Q:Q,'caseload data'!$D:$D,"PSO",'caseload data'!$C:$C,$B$6, 'caseload data'!$B:$B, "community")</f>
        <v>0</v>
      </c>
      <c r="P50" s="242">
        <f>SUMIFS('caseload data'!R:R,'caseload data'!$D:$D,"PSO",'caseload data'!$C:$C,$B$6, 'caseload data'!$B:$B, "community")</f>
        <v>0</v>
      </c>
      <c r="Q50" s="242">
        <f>SUMIFS('caseload data'!S:S,'caseload data'!$D:$D,"PSO",'caseload data'!$C:$C,$B$6, 'caseload data'!$B:$B, "community")</f>
        <v>0</v>
      </c>
      <c r="R50" s="242">
        <f>SUMIFS('caseload data'!T:T,'caseload data'!$D:$D,"PSO",'caseload data'!$C:$C,$B$6, 'caseload data'!$B:$B, "community")</f>
        <v>0</v>
      </c>
      <c r="S50" s="242">
        <f>SUMIFS('caseload data'!U:U,'caseload data'!$D:$D,"PSO",'caseload data'!$C:$C,$B$6, 'caseload data'!$B:$B, "community")</f>
        <v>0</v>
      </c>
      <c r="T50" s="242">
        <f t="shared" si="4"/>
        <v>0</v>
      </c>
    </row>
    <row r="51" spans="2:21" ht="14.25" customHeight="1" x14ac:dyDescent="0.15">
      <c r="B51" s="79" t="s">
        <v>1173</v>
      </c>
      <c r="C51" s="242">
        <f>SUMIFS('caseload data'!E:E,'caseload data'!$D:$D,"TPO",'caseload data'!$C:$C,$B$6, 'caseload data'!$B:$B, "community")</f>
        <v>0</v>
      </c>
      <c r="D51" s="242">
        <f>SUMIFS('caseload data'!F:F,'caseload data'!$D:$D,"TPO",'caseload data'!$C:$C,$B$6, 'caseload data'!$B:$B, "community")</f>
        <v>0</v>
      </c>
      <c r="E51" s="242">
        <f>SUMIFS('caseload data'!G:G,'caseload data'!$D:$D,"TPO",'caseload data'!$C:$C,$B$6, 'caseload data'!$B:$B, "community")</f>
        <v>0</v>
      </c>
      <c r="F51" s="242">
        <f>SUMIFS('caseload data'!H:H,'caseload data'!$D:$D,"TPO",'caseload data'!$C:$C,$B$6, 'caseload data'!$B:$B, "community")</f>
        <v>0</v>
      </c>
      <c r="G51" s="242">
        <f>SUMIFS('caseload data'!I:I,'caseload data'!$D:$D,"TPO",'caseload data'!$C:$C,$B$6, 'caseload data'!$B:$B, "community")</f>
        <v>0</v>
      </c>
      <c r="H51" s="242">
        <f>SUMIFS('caseload data'!J:J,'caseload data'!$D:$D,"TPO",'caseload data'!$C:$C,$B$6, 'caseload data'!$B:$B, "community")</f>
        <v>0</v>
      </c>
      <c r="I51" s="242">
        <f>SUMIFS('caseload data'!K:K,'caseload data'!$D:$D,"TPO",'caseload data'!$C:$C,$B$6, 'caseload data'!$B:$B, "community")</f>
        <v>0</v>
      </c>
      <c r="J51" s="242">
        <f>SUMIFS('caseload data'!L:L,'caseload data'!$D:$D,"TPO",'caseload data'!$C:$C,$B$6, 'caseload data'!$B:$B, "community")</f>
        <v>0</v>
      </c>
      <c r="K51" s="242">
        <f>SUMIFS('caseload data'!M:M,'caseload data'!$D:$D,"TPO",'caseload data'!$C:$C,$B$6, 'caseload data'!$B:$B, "community")</f>
        <v>0</v>
      </c>
      <c r="L51" s="242">
        <f>SUMIFS('caseload data'!N:N,'caseload data'!$D:$D,"TPO",'caseload data'!$C:$C,$B$6, 'caseload data'!$B:$B, "community")</f>
        <v>0</v>
      </c>
      <c r="M51" s="242">
        <f>SUMIFS('caseload data'!O:O,'caseload data'!$D:$D,"TPO",'caseload data'!$C:$C,$B$6, 'caseload data'!$B:$B, "community")</f>
        <v>0</v>
      </c>
      <c r="N51" s="242">
        <f>SUMIFS('caseload data'!P:P,'caseload data'!$D:$D,"TPO",'caseload data'!$C:$C,$B$6, 'caseload data'!$B:$B, "community")</f>
        <v>0</v>
      </c>
      <c r="O51" s="242">
        <f>SUMIFS('caseload data'!Q:Q,'caseload data'!$D:$D,"TPO",'caseload data'!$C:$C,$B$6, 'caseload data'!$B:$B, "community")</f>
        <v>0</v>
      </c>
      <c r="P51" s="242">
        <f>SUMIFS('caseload data'!R:R,'caseload data'!$D:$D,"TPO",'caseload data'!$C:$C,$B$6, 'caseload data'!$B:$B, "community")</f>
        <v>0</v>
      </c>
      <c r="Q51" s="242">
        <f>SUMIFS('caseload data'!S:S,'caseload data'!$D:$D,"TPO",'caseload data'!$C:$C,$B$6, 'caseload data'!$B:$B, "community")</f>
        <v>0</v>
      </c>
      <c r="R51" s="242">
        <f>SUMIFS('caseload data'!T:T,'caseload data'!$D:$D,"TPO",'caseload data'!$C:$C,$B$6, 'caseload data'!$B:$B, "community")</f>
        <v>0</v>
      </c>
      <c r="S51" s="242">
        <f>SUMIFS('caseload data'!U:U,'caseload data'!$D:$D,"TPO",'caseload data'!$C:$C,$B$6, 'caseload data'!$B:$B, "community")</f>
        <v>0</v>
      </c>
      <c r="T51" s="242">
        <f t="shared" si="4"/>
        <v>0</v>
      </c>
    </row>
    <row r="52" spans="2:21" ht="14.25" customHeight="1" x14ac:dyDescent="0.15">
      <c r="B52" s="79" t="s">
        <v>1174</v>
      </c>
      <c r="C52" s="242">
        <f>SUMIFS('caseload data'!E:E,'caseload data'!$D:$D,"SPO",'caseload data'!$C:$C,$B$6, 'caseload data'!$B:$B, "community")</f>
        <v>0</v>
      </c>
      <c r="D52" s="242">
        <f>SUMIFS('caseload data'!F:F,'caseload data'!$D:$D,"SPO",'caseload data'!$C:$C,$B$6, 'caseload data'!$B:$B, "community")</f>
        <v>0</v>
      </c>
      <c r="E52" s="242">
        <f>SUMIFS('caseload data'!G:G,'caseload data'!$D:$D,"SPO",'caseload data'!$C:$C,$B$6, 'caseload data'!$B:$B, "community")</f>
        <v>0</v>
      </c>
      <c r="F52" s="242">
        <f>SUMIFS('caseload data'!H:H,'caseload data'!$D:$D,"SPO",'caseload data'!$C:$C,$B$6, 'caseload data'!$B:$B, "community")</f>
        <v>0</v>
      </c>
      <c r="G52" s="242">
        <f>SUMIFS('caseload data'!I:I,'caseload data'!$D:$D,"SPO",'caseload data'!$C:$C,$B$6, 'caseload data'!$B:$B, "community")</f>
        <v>0</v>
      </c>
      <c r="H52" s="242">
        <f>SUMIFS('caseload data'!J:J,'caseload data'!$D:$D,"SPO",'caseload data'!$C:$C,$B$6, 'caseload data'!$B:$B, "community")</f>
        <v>0</v>
      </c>
      <c r="I52" s="242">
        <f>SUMIFS('caseload data'!K:K,'caseload data'!$D:$D,"SPO",'caseload data'!$C:$C,$B$6, 'caseload data'!$B:$B, "community")</f>
        <v>0</v>
      </c>
      <c r="J52" s="242">
        <f>SUMIFS('caseload data'!L:L,'caseload data'!$D:$D,"SPO",'caseload data'!$C:$C,$B$6, 'caseload data'!$B:$B, "community")</f>
        <v>0</v>
      </c>
      <c r="K52" s="242">
        <f>SUMIFS('caseload data'!M:M,'caseload data'!$D:$D,"SPO",'caseload data'!$C:$C,$B$6, 'caseload data'!$B:$B, "community")</f>
        <v>0</v>
      </c>
      <c r="L52" s="242">
        <f>SUMIFS('caseload data'!N:N,'caseload data'!$D:$D,"SPO",'caseload data'!$C:$C,$B$6, 'caseload data'!$B:$B, "community")</f>
        <v>0</v>
      </c>
      <c r="M52" s="242">
        <f>SUMIFS('caseload data'!O:O,'caseload data'!$D:$D,"SPO",'caseload data'!$C:$C,$B$6, 'caseload data'!$B:$B, "community")</f>
        <v>0</v>
      </c>
      <c r="N52" s="242">
        <f>SUMIFS('caseload data'!P:P,'caseload data'!$D:$D,"SPO",'caseload data'!$C:$C,$B$6, 'caseload data'!$B:$B, "community")</f>
        <v>0</v>
      </c>
      <c r="O52" s="242">
        <f>SUMIFS('caseload data'!Q:Q,'caseload data'!$D:$D,"SPO",'caseload data'!$C:$C,$B$6, 'caseload data'!$B:$B, "community")</f>
        <v>0</v>
      </c>
      <c r="P52" s="242">
        <f>SUMIFS('caseload data'!R:R,'caseload data'!$D:$D,"SPO",'caseload data'!$C:$C,$B$6, 'caseload data'!$B:$B, "community")</f>
        <v>0</v>
      </c>
      <c r="Q52" s="242">
        <f>SUMIFS('caseload data'!S:S,'caseload data'!$D:$D,"SPO",'caseload data'!$C:$C,$B$6, 'caseload data'!$B:$B, "community")</f>
        <v>0</v>
      </c>
      <c r="R52" s="242">
        <f>SUMIFS('caseload data'!T:T,'caseload data'!$D:$D,"SPO",'caseload data'!$C:$C,$B$6, 'caseload data'!$B:$B, "community")</f>
        <v>0</v>
      </c>
      <c r="S52" s="242">
        <f>SUMIFS('caseload data'!U:U,'caseload data'!$D:$D,"SPO",'caseload data'!$C:$C,$B$6, 'caseload data'!$B:$B, "community")</f>
        <v>0</v>
      </c>
      <c r="T52" s="242">
        <f t="shared" si="4"/>
        <v>0</v>
      </c>
      <c r="U52" s="247"/>
    </row>
    <row r="53" spans="2:21" ht="14.25" customHeight="1" x14ac:dyDescent="0.15">
      <c r="B53" s="179"/>
      <c r="C53" s="179"/>
      <c r="D53" s="179"/>
      <c r="E53" s="179"/>
      <c r="F53" s="179"/>
      <c r="G53" s="179"/>
      <c r="H53" s="179"/>
      <c r="I53" s="179"/>
      <c r="J53" s="179"/>
      <c r="K53" s="179"/>
      <c r="L53" s="179"/>
      <c r="M53" s="179"/>
      <c r="N53" s="179"/>
      <c r="O53" s="179"/>
      <c r="P53" s="179"/>
      <c r="Q53" s="179"/>
      <c r="R53" s="179"/>
      <c r="T53" s="247"/>
    </row>
    <row r="54" spans="2:21" ht="44.25" customHeight="1" x14ac:dyDescent="0.15">
      <c r="B54" s="315" t="str">
        <f>$B$6</f>
        <v>Central Lancashire</v>
      </c>
      <c r="C54" s="386" t="s">
        <v>1211</v>
      </c>
      <c r="D54" s="387"/>
      <c r="E54" s="387"/>
      <c r="F54" s="387"/>
      <c r="G54" s="387"/>
      <c r="H54" s="387"/>
      <c r="I54" s="387"/>
      <c r="J54" s="387"/>
      <c r="K54" s="387"/>
      <c r="L54" s="387"/>
      <c r="M54" s="387"/>
      <c r="N54" s="387"/>
      <c r="O54" s="387"/>
      <c r="P54" s="387"/>
      <c r="Q54" s="387"/>
      <c r="R54" s="387"/>
      <c r="S54" s="387"/>
      <c r="T54" s="387"/>
    </row>
    <row r="55" spans="2:21" ht="21.75" customHeight="1" x14ac:dyDescent="0.15">
      <c r="B55" s="99" t="s">
        <v>1171</v>
      </c>
      <c r="C55" s="40" t="s">
        <v>1022</v>
      </c>
      <c r="D55" s="40" t="s">
        <v>1023</v>
      </c>
      <c r="E55" s="40" t="s">
        <v>1024</v>
      </c>
      <c r="F55" s="40" t="s">
        <v>1025</v>
      </c>
      <c r="G55" s="40" t="s">
        <v>1026</v>
      </c>
      <c r="H55" s="40" t="s">
        <v>1027</v>
      </c>
      <c r="I55" s="40" t="s">
        <v>1028</v>
      </c>
      <c r="J55" s="40" t="s">
        <v>1029</v>
      </c>
      <c r="K55" s="40" t="s">
        <v>1030</v>
      </c>
      <c r="L55" s="40" t="s">
        <v>1031</v>
      </c>
      <c r="M55" s="40" t="s">
        <v>1032</v>
      </c>
      <c r="N55" s="40" t="s">
        <v>1033</v>
      </c>
      <c r="O55" s="40" t="s">
        <v>1034</v>
      </c>
      <c r="P55" s="40" t="s">
        <v>1035</v>
      </c>
      <c r="Q55" s="40" t="s">
        <v>1036</v>
      </c>
      <c r="R55" s="40" t="s">
        <v>1037</v>
      </c>
      <c r="S55" s="40" t="s">
        <v>1196</v>
      </c>
      <c r="T55" s="40" t="s">
        <v>1127</v>
      </c>
    </row>
    <row r="56" spans="2:21" ht="14.25" customHeight="1" x14ac:dyDescent="0.15">
      <c r="B56" s="79" t="s">
        <v>1166</v>
      </c>
      <c r="C56" s="242">
        <f>SUMIFS('caseload data'!E:E,'caseload data'!$D:$D,"PO",'caseload data'!$C:$C,$B$6, 'caseload data'!$B:$B, "licence")</f>
        <v>0</v>
      </c>
      <c r="D56" s="242">
        <f>SUMIFS('caseload data'!F:F,'caseload data'!$D:$D,"PO",'caseload data'!$C:$C,$B$6, 'caseload data'!$B:$B, "licence")</f>
        <v>0</v>
      </c>
      <c r="E56" s="242">
        <f>SUMIFS('caseload data'!G:G,'caseload data'!$D:$D,"PO",'caseload data'!$C:$C,$B$6, 'caseload data'!$B:$B, "licence")</f>
        <v>0</v>
      </c>
      <c r="F56" s="242">
        <f>SUMIFS('caseload data'!H:H,'caseload data'!$D:$D,"PO",'caseload data'!$C:$C,$B$6, 'caseload data'!$B:$B, "licence")</f>
        <v>0</v>
      </c>
      <c r="G56" s="242">
        <f>SUMIFS('caseload data'!I:I,'caseload data'!$D:$D,"PO",'caseload data'!$C:$C,$B$6, 'caseload data'!$B:$B, "licence")</f>
        <v>0</v>
      </c>
      <c r="H56" s="242">
        <f>SUMIFS('caseload data'!J:J,'caseload data'!$D:$D,"PO",'caseload data'!$C:$C,$B$6, 'caseload data'!$B:$B, "licence")</f>
        <v>0</v>
      </c>
      <c r="I56" s="242">
        <f>SUMIFS('caseload data'!K:K,'caseload data'!$D:$D,"PO",'caseload data'!$C:$C,$B$6, 'caseload data'!$B:$B, "licence")</f>
        <v>0</v>
      </c>
      <c r="J56" s="242">
        <f>SUMIFS('caseload data'!L:L,'caseload data'!$D:$D,"PO",'caseload data'!$C:$C,$B$6, 'caseload data'!$B:$B, "licence")</f>
        <v>0</v>
      </c>
      <c r="K56" s="242">
        <f>SUMIFS('caseload data'!M:M,'caseload data'!$D:$D,"PO",'caseload data'!$C:$C,$B$6, 'caseload data'!$B:$B, "licence")</f>
        <v>0</v>
      </c>
      <c r="L56" s="242">
        <f>SUMIFS('caseload data'!N:N,'caseload data'!$D:$D,"PO",'caseload data'!$C:$C,$B$6, 'caseload data'!$B:$B, "licence")</f>
        <v>0</v>
      </c>
      <c r="M56" s="242">
        <f>SUMIFS('caseload data'!O:O,'caseload data'!$D:$D,"PO",'caseload data'!$C:$C,$B$6, 'caseload data'!$B:$B, "licence")</f>
        <v>0</v>
      </c>
      <c r="N56" s="242">
        <f>SUMIFS('caseload data'!P:P,'caseload data'!$D:$D,"PO",'caseload data'!$C:$C,$B$6, 'caseload data'!$B:$B, "licence")</f>
        <v>0</v>
      </c>
      <c r="O56" s="242">
        <f>SUMIFS('caseload data'!Q:Q,'caseload data'!$D:$D,"PO",'caseload data'!$C:$C,$B$6, 'caseload data'!$B:$B, "licence")</f>
        <v>0</v>
      </c>
      <c r="P56" s="242">
        <f>SUMIFS('caseload data'!R:R,'caseload data'!$D:$D,"PO",'caseload data'!$C:$C,$B$6, 'caseload data'!$B:$B, "licence")</f>
        <v>0</v>
      </c>
      <c r="Q56" s="242">
        <f>SUMIFS('caseload data'!S:S,'caseload data'!$D:$D,"PO",'caseload data'!$C:$C,$B$6, 'caseload data'!$B:$B, "licence")</f>
        <v>0</v>
      </c>
      <c r="R56" s="242">
        <f>SUMIFS('caseload data'!T:T,'caseload data'!$D:$D,"PO",'caseload data'!$C:$C,$B$6, 'caseload data'!$B:$B, "licence")</f>
        <v>0</v>
      </c>
      <c r="S56" s="242">
        <f>SUMIFS('caseload data'!U:U,'caseload data'!$D:$D,"PO",'caseload data'!$C:$C,$B$6, 'caseload data'!$B:$B, "licence")</f>
        <v>0</v>
      </c>
      <c r="T56" s="242">
        <f t="shared" si="4"/>
        <v>0</v>
      </c>
    </row>
    <row r="57" spans="2:21" ht="14.25" customHeight="1" x14ac:dyDescent="0.15">
      <c r="B57" s="79" t="s">
        <v>1172</v>
      </c>
      <c r="C57" s="242">
        <f>SUMIFS('caseload data'!E:E,'caseload data'!$D:$D,"PSO",'caseload data'!$C:$C,$B$6, 'caseload data'!$B:$B, "licence")</f>
        <v>0</v>
      </c>
      <c r="D57" s="242">
        <f>SUMIFS('caseload data'!F:F,'caseload data'!$D:$D,"PSO",'caseload data'!$C:$C,$B$6, 'caseload data'!$B:$B, "licence")</f>
        <v>0</v>
      </c>
      <c r="E57" s="242">
        <f>SUMIFS('caseload data'!G:G,'caseload data'!$D:$D,"PSO",'caseload data'!$C:$C,$B$6, 'caseload data'!$B:$B, "licence")</f>
        <v>0</v>
      </c>
      <c r="F57" s="242">
        <f>SUMIFS('caseload data'!H:H,'caseload data'!$D:$D,"PSO",'caseload data'!$C:$C,$B$6, 'caseload data'!$B:$B, "licence")</f>
        <v>0</v>
      </c>
      <c r="G57" s="242">
        <f>SUMIFS('caseload data'!I:I,'caseload data'!$D:$D,"PSO",'caseload data'!$C:$C,$B$6, 'caseload data'!$B:$B, "licence")</f>
        <v>0</v>
      </c>
      <c r="H57" s="242">
        <f>SUMIFS('caseload data'!J:J,'caseload data'!$D:$D,"PSO",'caseload data'!$C:$C,$B$6, 'caseload data'!$B:$B, "licence")</f>
        <v>0</v>
      </c>
      <c r="I57" s="242">
        <f>SUMIFS('caseload data'!K:K,'caseload data'!$D:$D,"PSO",'caseload data'!$C:$C,$B$6, 'caseload data'!$B:$B, "licence")</f>
        <v>0</v>
      </c>
      <c r="J57" s="242">
        <f>SUMIFS('caseload data'!L:L,'caseload data'!$D:$D,"PSO",'caseload data'!$C:$C,$B$6, 'caseload data'!$B:$B, "licence")</f>
        <v>0</v>
      </c>
      <c r="K57" s="242">
        <f>SUMIFS('caseload data'!M:M,'caseload data'!$D:$D,"PSO",'caseload data'!$C:$C,$B$6, 'caseload data'!$B:$B, "licence")</f>
        <v>0</v>
      </c>
      <c r="L57" s="242">
        <f>SUMIFS('caseload data'!N:N,'caseload data'!$D:$D,"PSO",'caseload data'!$C:$C,$B$6, 'caseload data'!$B:$B, "licence")</f>
        <v>0</v>
      </c>
      <c r="M57" s="242">
        <f>SUMIFS('caseload data'!O:O,'caseload data'!$D:$D,"PSO",'caseload data'!$C:$C,$B$6, 'caseload data'!$B:$B, "licence")</f>
        <v>0</v>
      </c>
      <c r="N57" s="242">
        <f>SUMIFS('caseload data'!P:P,'caseload data'!$D:$D,"PSO",'caseload data'!$C:$C,$B$6, 'caseload data'!$B:$B, "licence")</f>
        <v>0</v>
      </c>
      <c r="O57" s="242">
        <f>SUMIFS('caseload data'!Q:Q,'caseload data'!$D:$D,"PSO",'caseload data'!$C:$C,$B$6, 'caseload data'!$B:$B, "licence")</f>
        <v>0</v>
      </c>
      <c r="P57" s="242">
        <f>SUMIFS('caseload data'!R:R,'caseload data'!$D:$D,"PSO",'caseload data'!$C:$C,$B$6, 'caseload data'!$B:$B, "licence")</f>
        <v>0</v>
      </c>
      <c r="Q57" s="242">
        <f>SUMIFS('caseload data'!S:S,'caseload data'!$D:$D,"PSO",'caseload data'!$C:$C,$B$6, 'caseload data'!$B:$B, "licence")</f>
        <v>0</v>
      </c>
      <c r="R57" s="242">
        <f>SUMIFS('caseload data'!T:T,'caseload data'!$D:$D,"PSO",'caseload data'!$C:$C,$B$6, 'caseload data'!$B:$B, "licence")</f>
        <v>0</v>
      </c>
      <c r="S57" s="242">
        <f>SUMIFS('caseload data'!U:U,'caseload data'!$D:$D,"PSO",'caseload data'!$C:$C,$B$6, 'caseload data'!$B:$B, "licence")</f>
        <v>0</v>
      </c>
      <c r="T57" s="242">
        <f t="shared" si="4"/>
        <v>0</v>
      </c>
    </row>
    <row r="58" spans="2:21" ht="14.25" customHeight="1" x14ac:dyDescent="0.15">
      <c r="B58" s="79" t="s">
        <v>1173</v>
      </c>
      <c r="C58" s="242">
        <f>SUMIFS('caseload data'!E:E,'caseload data'!$D:$D,"TPO",'caseload data'!$C:$C,$B$6, 'caseload data'!$B:$B, "licence")</f>
        <v>0</v>
      </c>
      <c r="D58" s="242">
        <f>SUMIFS('caseload data'!F:F,'caseload data'!$D:$D,"TPO",'caseload data'!$C:$C,$B$6, 'caseload data'!$B:$B, "licence")</f>
        <v>0</v>
      </c>
      <c r="E58" s="242">
        <f>SUMIFS('caseload data'!G:G,'caseload data'!$D:$D,"TPO",'caseload data'!$C:$C,$B$6, 'caseload data'!$B:$B, "licence")</f>
        <v>0</v>
      </c>
      <c r="F58" s="242">
        <f>SUMIFS('caseload data'!H:H,'caseload data'!$D:$D,"TPO",'caseload data'!$C:$C,$B$6, 'caseload data'!$B:$B, "licence")</f>
        <v>0</v>
      </c>
      <c r="G58" s="242">
        <f>SUMIFS('caseload data'!I:I,'caseload data'!$D:$D,"TPO",'caseload data'!$C:$C,$B$6, 'caseload data'!$B:$B, "licence")</f>
        <v>0</v>
      </c>
      <c r="H58" s="242">
        <f>SUMIFS('caseload data'!J:J,'caseload data'!$D:$D,"TPO",'caseload data'!$C:$C,$B$6, 'caseload data'!$B:$B, "licence")</f>
        <v>0</v>
      </c>
      <c r="I58" s="242">
        <f>SUMIFS('caseload data'!K:K,'caseload data'!$D:$D,"TPO",'caseload data'!$C:$C,$B$6, 'caseload data'!$B:$B, "licence")</f>
        <v>0</v>
      </c>
      <c r="J58" s="242">
        <f>SUMIFS('caseload data'!L:L,'caseload data'!$D:$D,"TPO",'caseload data'!$C:$C,$B$6, 'caseload data'!$B:$B, "licence")</f>
        <v>0</v>
      </c>
      <c r="K58" s="242">
        <f>SUMIFS('caseload data'!M:M,'caseload data'!$D:$D,"TPO",'caseload data'!$C:$C,$B$6, 'caseload data'!$B:$B, "licence")</f>
        <v>0</v>
      </c>
      <c r="L58" s="242">
        <f>SUMIFS('caseload data'!N:N,'caseload data'!$D:$D,"TPO",'caseload data'!$C:$C,$B$6, 'caseload data'!$B:$B, "licence")</f>
        <v>0</v>
      </c>
      <c r="M58" s="242">
        <f>SUMIFS('caseload data'!O:O,'caseload data'!$D:$D,"TPO",'caseload data'!$C:$C,$B$6, 'caseload data'!$B:$B, "licence")</f>
        <v>0</v>
      </c>
      <c r="N58" s="242">
        <f>SUMIFS('caseload data'!P:P,'caseload data'!$D:$D,"TPO",'caseload data'!$C:$C,$B$6, 'caseload data'!$B:$B, "licence")</f>
        <v>0</v>
      </c>
      <c r="O58" s="242">
        <f>SUMIFS('caseload data'!Q:Q,'caseload data'!$D:$D,"TPO",'caseload data'!$C:$C,$B$6, 'caseload data'!$B:$B, "licence")</f>
        <v>0</v>
      </c>
      <c r="P58" s="242">
        <f>SUMIFS('caseload data'!R:R,'caseload data'!$D:$D,"TPO",'caseload data'!$C:$C,$B$6, 'caseload data'!$B:$B, "licence")</f>
        <v>0</v>
      </c>
      <c r="Q58" s="242">
        <f>SUMIFS('caseload data'!S:S,'caseload data'!$D:$D,"TPO",'caseload data'!$C:$C,$B$6, 'caseload data'!$B:$B, "licence")</f>
        <v>0</v>
      </c>
      <c r="R58" s="242">
        <f>SUMIFS('caseload data'!T:T,'caseload data'!$D:$D,"TPO",'caseload data'!$C:$C,$B$6, 'caseload data'!$B:$B, "licence")</f>
        <v>0</v>
      </c>
      <c r="S58" s="242">
        <f>SUMIFS('caseload data'!U:U,'caseload data'!$D:$D,"TPO",'caseload data'!$C:$C,$B$6, 'caseload data'!$B:$B, "licence")</f>
        <v>0</v>
      </c>
      <c r="T58" s="242">
        <f t="shared" si="4"/>
        <v>0</v>
      </c>
    </row>
    <row r="59" spans="2:21" ht="14.25" customHeight="1" x14ac:dyDescent="0.15">
      <c r="B59" s="79" t="s">
        <v>1174</v>
      </c>
      <c r="C59" s="242">
        <f>SUMIFS('caseload data'!E:E,'caseload data'!$D:$D,"SPO",'caseload data'!$C:$C,$B$6, 'caseload data'!$B:$B, "licence")</f>
        <v>0</v>
      </c>
      <c r="D59" s="242">
        <f>SUMIFS('caseload data'!F:F,'caseload data'!$D:$D,"SPO",'caseload data'!$C:$C,$B$6, 'caseload data'!$B:$B, "licence")</f>
        <v>0</v>
      </c>
      <c r="E59" s="242">
        <f>SUMIFS('caseload data'!G:G,'caseload data'!$D:$D,"SPO",'caseload data'!$C:$C,$B$6, 'caseload data'!$B:$B, "licence")</f>
        <v>0</v>
      </c>
      <c r="F59" s="242">
        <f>SUMIFS('caseload data'!H:H,'caseload data'!$D:$D,"SPO",'caseload data'!$C:$C,$B$6, 'caseload data'!$B:$B, "licence")</f>
        <v>0</v>
      </c>
      <c r="G59" s="242">
        <f>SUMIFS('caseload data'!I:I,'caseload data'!$D:$D,"SPO",'caseload data'!$C:$C,$B$6, 'caseload data'!$B:$B, "licence")</f>
        <v>0</v>
      </c>
      <c r="H59" s="242">
        <f>SUMIFS('caseload data'!J:J,'caseload data'!$D:$D,"SPO",'caseload data'!$C:$C,$B$6, 'caseload data'!$B:$B, "licence")</f>
        <v>0</v>
      </c>
      <c r="I59" s="242">
        <f>SUMIFS('caseload data'!K:K,'caseload data'!$D:$D,"SPO",'caseload data'!$C:$C,$B$6, 'caseload data'!$B:$B, "licence")</f>
        <v>0</v>
      </c>
      <c r="J59" s="242">
        <f>SUMIFS('caseload data'!L:L,'caseload data'!$D:$D,"SPO",'caseload data'!$C:$C,$B$6, 'caseload data'!$B:$B, "licence")</f>
        <v>0</v>
      </c>
      <c r="K59" s="242">
        <f>SUMIFS('caseload data'!M:M,'caseload data'!$D:$D,"SPO",'caseload data'!$C:$C,$B$6, 'caseload data'!$B:$B, "licence")</f>
        <v>0</v>
      </c>
      <c r="L59" s="242">
        <f>SUMIFS('caseload data'!N:N,'caseload data'!$D:$D,"SPO",'caseload data'!$C:$C,$B$6, 'caseload data'!$B:$B, "licence")</f>
        <v>0</v>
      </c>
      <c r="M59" s="242">
        <f>SUMIFS('caseload data'!O:O,'caseload data'!$D:$D,"SPO",'caseload data'!$C:$C,$B$6, 'caseload data'!$B:$B, "licence")</f>
        <v>0</v>
      </c>
      <c r="N59" s="242">
        <f>SUMIFS('caseload data'!P:P,'caseload data'!$D:$D,"SPO",'caseload data'!$C:$C,$B$6, 'caseload data'!$B:$B, "licence")</f>
        <v>0</v>
      </c>
      <c r="O59" s="242">
        <f>SUMIFS('caseload data'!Q:Q,'caseload data'!$D:$D,"SPO",'caseload data'!$C:$C,$B$6, 'caseload data'!$B:$B, "licence")</f>
        <v>0</v>
      </c>
      <c r="P59" s="242">
        <f>SUMIFS('caseload data'!R:R,'caseload data'!$D:$D,"SPO",'caseload data'!$C:$C,$B$6, 'caseload data'!$B:$B, "licence")</f>
        <v>0</v>
      </c>
      <c r="Q59" s="242">
        <f>SUMIFS('caseload data'!S:S,'caseload data'!$D:$D,"SPO",'caseload data'!$C:$C,$B$6, 'caseload data'!$B:$B, "licence")</f>
        <v>0</v>
      </c>
      <c r="R59" s="242">
        <f>SUMIFS('caseload data'!T:T,'caseload data'!$D:$D,"SPO",'caseload data'!$C:$C,$B$6, 'caseload data'!$B:$B, "licence")</f>
        <v>0</v>
      </c>
      <c r="S59" s="242">
        <f>SUMIFS('caseload data'!U:U,'caseload data'!$D:$D,"SPO",'caseload data'!$C:$C,$B$6, 'caseload data'!$B:$B, "licence")</f>
        <v>0</v>
      </c>
      <c r="T59" s="242">
        <f t="shared" si="4"/>
        <v>0</v>
      </c>
      <c r="U59" s="247"/>
    </row>
    <row r="60" spans="2:21" ht="14.25" customHeight="1" x14ac:dyDescent="0.15">
      <c r="B60" s="179"/>
      <c r="C60" s="179"/>
      <c r="D60" s="179"/>
      <c r="E60" s="179"/>
      <c r="F60" s="179"/>
      <c r="G60" s="179"/>
      <c r="H60" s="179"/>
      <c r="I60" s="179"/>
      <c r="J60" s="179"/>
      <c r="K60" s="179"/>
      <c r="L60" s="179"/>
      <c r="M60" s="179"/>
      <c r="N60" s="179"/>
      <c r="O60" s="179"/>
      <c r="P60" s="179"/>
      <c r="Q60" s="179"/>
      <c r="R60" s="179"/>
      <c r="S60" s="179"/>
      <c r="T60" s="247"/>
    </row>
    <row r="61" spans="2:21" ht="45" customHeight="1" x14ac:dyDescent="0.15">
      <c r="B61" s="315" t="str">
        <f>$B$6</f>
        <v>Central Lancashire</v>
      </c>
      <c r="C61" s="386" t="s">
        <v>1212</v>
      </c>
      <c r="D61" s="387"/>
      <c r="E61" s="387"/>
      <c r="F61" s="387"/>
      <c r="G61" s="387"/>
      <c r="H61" s="387"/>
      <c r="I61" s="387"/>
      <c r="J61" s="387"/>
      <c r="K61" s="387"/>
      <c r="L61" s="387"/>
      <c r="M61" s="387"/>
      <c r="N61" s="387"/>
      <c r="O61" s="387"/>
      <c r="P61" s="387"/>
      <c r="Q61" s="387"/>
      <c r="R61" s="387"/>
      <c r="S61" s="387"/>
      <c r="T61" s="387"/>
    </row>
    <row r="62" spans="2:21" ht="19.5" customHeight="1" x14ac:dyDescent="0.15">
      <c r="B62" s="99" t="s">
        <v>1171</v>
      </c>
      <c r="C62" s="40" t="s">
        <v>1022</v>
      </c>
      <c r="D62" s="40" t="s">
        <v>1023</v>
      </c>
      <c r="E62" s="40" t="s">
        <v>1024</v>
      </c>
      <c r="F62" s="40" t="s">
        <v>1025</v>
      </c>
      <c r="G62" s="40" t="s">
        <v>1026</v>
      </c>
      <c r="H62" s="40" t="s">
        <v>1027</v>
      </c>
      <c r="I62" s="40" t="s">
        <v>1028</v>
      </c>
      <c r="J62" s="40" t="s">
        <v>1029</v>
      </c>
      <c r="K62" s="40" t="s">
        <v>1030</v>
      </c>
      <c r="L62" s="40" t="s">
        <v>1031</v>
      </c>
      <c r="M62" s="40" t="s">
        <v>1032</v>
      </c>
      <c r="N62" s="40" t="s">
        <v>1033</v>
      </c>
      <c r="O62" s="40" t="s">
        <v>1034</v>
      </c>
      <c r="P62" s="40" t="s">
        <v>1035</v>
      </c>
      <c r="Q62" s="40" t="s">
        <v>1036</v>
      </c>
      <c r="R62" s="40" t="s">
        <v>1037</v>
      </c>
      <c r="S62" s="40" t="s">
        <v>1196</v>
      </c>
      <c r="T62" s="40" t="s">
        <v>1127</v>
      </c>
    </row>
    <row r="63" spans="2:21" ht="14.25" customHeight="1" x14ac:dyDescent="0.15">
      <c r="B63" s="79" t="s">
        <v>1166</v>
      </c>
      <c r="C63" s="242">
        <f>SUMIFS('caseload data'!E:E,'caseload data'!$D:$D,"PO",'caseload data'!$C:$C,$B$6, 'caseload data'!$B:$B, "custody")</f>
        <v>0</v>
      </c>
      <c r="D63" s="242">
        <f>SUMIFS('caseload data'!F:F,'caseload data'!$D:$D,"PO",'caseload data'!$C:$C,$B$6, 'caseload data'!$B:$B, "custody")</f>
        <v>0</v>
      </c>
      <c r="E63" s="242">
        <f>SUMIFS('caseload data'!G:G,'caseload data'!$D:$D,"PO",'caseload data'!$C:$C,$B$6, 'caseload data'!$B:$B, "custody")</f>
        <v>0</v>
      </c>
      <c r="F63" s="242">
        <f>SUMIFS('caseload data'!H:H,'caseload data'!$D:$D,"PO",'caseload data'!$C:$C,$B$6, 'caseload data'!$B:$B, "custody")</f>
        <v>0</v>
      </c>
      <c r="G63" s="242">
        <f>SUMIFS('caseload data'!I:I,'caseload data'!$D:$D,"PO",'caseload data'!$C:$C,$B$6, 'caseload data'!$B:$B, "custody")</f>
        <v>0</v>
      </c>
      <c r="H63" s="242">
        <f>SUMIFS('caseload data'!J:J,'caseload data'!$D:$D,"PO",'caseload data'!$C:$C,$B$6, 'caseload data'!$B:$B, "custody")</f>
        <v>0</v>
      </c>
      <c r="I63" s="242">
        <f>SUMIFS('caseload data'!K:K,'caseload data'!$D:$D,"PO",'caseload data'!$C:$C,$B$6, 'caseload data'!$B:$B, "custody")</f>
        <v>0</v>
      </c>
      <c r="J63" s="242">
        <f>SUMIFS('caseload data'!L:L,'caseload data'!$D:$D,"PO",'caseload data'!$C:$C,$B$6, 'caseload data'!$B:$B, "custody")</f>
        <v>0</v>
      </c>
      <c r="K63" s="242">
        <f>SUMIFS('caseload data'!M:M,'caseload data'!$D:$D,"PO",'caseload data'!$C:$C,$B$6, 'caseload data'!$B:$B, "custody")</f>
        <v>0</v>
      </c>
      <c r="L63" s="242">
        <f>SUMIFS('caseload data'!N:N,'caseload data'!$D:$D,"PO",'caseload data'!$C:$C,$B$6, 'caseload data'!$B:$B, "custody")</f>
        <v>0</v>
      </c>
      <c r="M63" s="242">
        <f>SUMIFS('caseload data'!O:O,'caseload data'!$D:$D,"PO",'caseload data'!$C:$C,$B$6, 'caseload data'!$B:$B, "custody")</f>
        <v>0</v>
      </c>
      <c r="N63" s="242">
        <f>SUMIFS('caseload data'!P:P,'caseload data'!$D:$D,"PO",'caseload data'!$C:$C,$B$6, 'caseload data'!$B:$B, "custody")</f>
        <v>0</v>
      </c>
      <c r="O63" s="242">
        <f>SUMIFS('caseload data'!Q:Q,'caseload data'!$D:$D,"PO",'caseload data'!$C:$C,$B$6, 'caseload data'!$B:$B, "custody")</f>
        <v>0</v>
      </c>
      <c r="P63" s="242">
        <f>SUMIFS('caseload data'!R:R,'caseload data'!$D:$D,"PO",'caseload data'!$C:$C,$B$6, 'caseload data'!$B:$B, "custody")</f>
        <v>0</v>
      </c>
      <c r="Q63" s="242">
        <f>SUMIFS('caseload data'!S:S,'caseload data'!$D:$D,"PO",'caseload data'!$C:$C,$B$6, 'caseload data'!$B:$B, "custody")</f>
        <v>0</v>
      </c>
      <c r="R63" s="242">
        <f>SUMIFS('caseload data'!T:T,'caseload data'!$D:$D,"PO",'caseload data'!$C:$C,$B$6, 'caseload data'!$B:$B, "custody")</f>
        <v>0</v>
      </c>
      <c r="S63" s="242">
        <f>SUMIFS('caseload data'!U:U,'caseload data'!$D:$D,"PO",'caseload data'!$C:$C,$B$6, 'caseload data'!$B:$B, "custody")</f>
        <v>0</v>
      </c>
      <c r="T63" s="242">
        <f t="shared" si="4"/>
        <v>0</v>
      </c>
    </row>
    <row r="64" spans="2:21" ht="14.25" customHeight="1" x14ac:dyDescent="0.15">
      <c r="B64" s="79" t="s">
        <v>1172</v>
      </c>
      <c r="C64" s="242">
        <f>SUMIFS('caseload data'!E:E,'caseload data'!$D:$D,"PSO",'caseload data'!$C:$C,$B$6, 'caseload data'!$B:$B, "custody")</f>
        <v>0</v>
      </c>
      <c r="D64" s="242">
        <f>SUMIFS('caseload data'!F:F,'caseload data'!$D:$D,"PSO",'caseload data'!$C:$C,$B$6, 'caseload data'!$B:$B, "custody")</f>
        <v>0</v>
      </c>
      <c r="E64" s="242">
        <f>SUMIFS('caseload data'!G:G,'caseload data'!$D:$D,"PSO",'caseload data'!$C:$C,$B$6, 'caseload data'!$B:$B, "custody")</f>
        <v>0</v>
      </c>
      <c r="F64" s="242">
        <f>SUMIFS('caseload data'!H:H,'caseload data'!$D:$D,"PSO",'caseload data'!$C:$C,$B$6, 'caseload data'!$B:$B, "custody")</f>
        <v>0</v>
      </c>
      <c r="G64" s="242">
        <f>SUMIFS('caseload data'!I:I,'caseload data'!$D:$D,"PSO",'caseload data'!$C:$C,$B$6, 'caseload data'!$B:$B, "custody")</f>
        <v>0</v>
      </c>
      <c r="H64" s="242">
        <f>SUMIFS('caseload data'!J:J,'caseload data'!$D:$D,"PSO",'caseload data'!$C:$C,$B$6, 'caseload data'!$B:$B, "custody")</f>
        <v>0</v>
      </c>
      <c r="I64" s="242">
        <f>SUMIFS('caseload data'!K:K,'caseload data'!$D:$D,"PSO",'caseload data'!$C:$C,$B$6, 'caseload data'!$B:$B, "custody")</f>
        <v>0</v>
      </c>
      <c r="J64" s="242">
        <f>SUMIFS('caseload data'!L:L,'caseload data'!$D:$D,"PSO",'caseload data'!$C:$C,$B$6, 'caseload data'!$B:$B, "custody")</f>
        <v>0</v>
      </c>
      <c r="K64" s="242">
        <f>SUMIFS('caseload data'!M:M,'caseload data'!$D:$D,"PSO",'caseload data'!$C:$C,$B$6, 'caseload data'!$B:$B, "custody")</f>
        <v>0</v>
      </c>
      <c r="L64" s="242">
        <f>SUMIFS('caseload data'!N:N,'caseload data'!$D:$D,"PSO",'caseload data'!$C:$C,$B$6, 'caseload data'!$B:$B, "custody")</f>
        <v>0</v>
      </c>
      <c r="M64" s="242">
        <f>SUMIFS('caseload data'!O:O,'caseload data'!$D:$D,"PSO",'caseload data'!$C:$C,$B$6, 'caseload data'!$B:$B, "custody")</f>
        <v>0</v>
      </c>
      <c r="N64" s="242">
        <f>SUMIFS('caseload data'!P:P,'caseload data'!$D:$D,"PSO",'caseload data'!$C:$C,$B$6, 'caseload data'!$B:$B, "custody")</f>
        <v>0</v>
      </c>
      <c r="O64" s="242">
        <f>SUMIFS('caseload data'!Q:Q,'caseload data'!$D:$D,"PSO",'caseload data'!$C:$C,$B$6, 'caseload data'!$B:$B, "custody")</f>
        <v>0</v>
      </c>
      <c r="P64" s="242">
        <f>SUMIFS('caseload data'!R:R,'caseload data'!$D:$D,"PSO",'caseload data'!$C:$C,$B$6, 'caseload data'!$B:$B, "custody")</f>
        <v>0</v>
      </c>
      <c r="Q64" s="242">
        <f>SUMIFS('caseload data'!S:S,'caseload data'!$D:$D,"PSO",'caseload data'!$C:$C,$B$6, 'caseload data'!$B:$B, "custody")</f>
        <v>0</v>
      </c>
      <c r="R64" s="242">
        <f>SUMIFS('caseload data'!T:T,'caseload data'!$D:$D,"PSO",'caseload data'!$C:$C,$B$6, 'caseload data'!$B:$B, "custody")</f>
        <v>0</v>
      </c>
      <c r="S64" s="242">
        <f>SUMIFS('caseload data'!U:U,'caseload data'!$D:$D,"PSO",'caseload data'!$C:$C,$B$6, 'caseload data'!$B:$B, "custody")</f>
        <v>0</v>
      </c>
      <c r="T64" s="242">
        <f t="shared" si="4"/>
        <v>0</v>
      </c>
    </row>
    <row r="65" spans="2:21" ht="14.25" customHeight="1" x14ac:dyDescent="0.15">
      <c r="B65" s="79" t="s">
        <v>1173</v>
      </c>
      <c r="C65" s="242">
        <f>SUMIFS('caseload data'!E:E,'caseload data'!$D:$D,"TPO",'caseload data'!$C:$C,$B$6, 'caseload data'!$B:$B, "custody")</f>
        <v>0</v>
      </c>
      <c r="D65" s="242">
        <f>SUMIFS('caseload data'!F:F,'caseload data'!$D:$D,"TPO",'caseload data'!$C:$C,$B$6, 'caseload data'!$B:$B, "custody")</f>
        <v>0</v>
      </c>
      <c r="E65" s="242">
        <f>SUMIFS('caseload data'!G:G,'caseload data'!$D:$D,"TPO",'caseload data'!$C:$C,$B$6, 'caseload data'!$B:$B, "custody")</f>
        <v>0</v>
      </c>
      <c r="F65" s="242">
        <f>SUMIFS('caseload data'!H:H,'caseload data'!$D:$D,"TPO",'caseload data'!$C:$C,$B$6, 'caseload data'!$B:$B, "custody")</f>
        <v>0</v>
      </c>
      <c r="G65" s="242">
        <f>SUMIFS('caseload data'!I:I,'caseload data'!$D:$D,"TPO",'caseload data'!$C:$C,$B$6, 'caseload data'!$B:$B, "custody")</f>
        <v>0</v>
      </c>
      <c r="H65" s="242">
        <f>SUMIFS('caseload data'!J:J,'caseload data'!$D:$D,"TPO",'caseload data'!$C:$C,$B$6, 'caseload data'!$B:$B, "custody")</f>
        <v>0</v>
      </c>
      <c r="I65" s="242">
        <f>SUMIFS('caseload data'!K:K,'caseload data'!$D:$D,"TPO",'caseload data'!$C:$C,$B$6, 'caseload data'!$B:$B, "custody")</f>
        <v>0</v>
      </c>
      <c r="J65" s="242">
        <f>SUMIFS('caseload data'!L:L,'caseload data'!$D:$D,"TPO",'caseload data'!$C:$C,$B$6, 'caseload data'!$B:$B, "custody")</f>
        <v>0</v>
      </c>
      <c r="K65" s="242">
        <f>SUMIFS('caseload data'!M:M,'caseload data'!$D:$D,"TPO",'caseload data'!$C:$C,$B$6, 'caseload data'!$B:$B, "custody")</f>
        <v>0</v>
      </c>
      <c r="L65" s="242">
        <f>SUMIFS('caseload data'!N:N,'caseload data'!$D:$D,"TPO",'caseload data'!$C:$C,$B$6, 'caseload data'!$B:$B, "custody")</f>
        <v>0</v>
      </c>
      <c r="M65" s="242">
        <f>SUMIFS('caseload data'!O:O,'caseload data'!$D:$D,"TPO",'caseload data'!$C:$C,$B$6, 'caseload data'!$B:$B, "custody")</f>
        <v>0</v>
      </c>
      <c r="N65" s="242">
        <f>SUMIFS('caseload data'!P:P,'caseload data'!$D:$D,"TPO",'caseload data'!$C:$C,$B$6, 'caseload data'!$B:$B, "custody")</f>
        <v>0</v>
      </c>
      <c r="O65" s="242">
        <f>SUMIFS('caseload data'!Q:Q,'caseload data'!$D:$D,"TPO",'caseload data'!$C:$C,$B$6, 'caseload data'!$B:$B, "custody")</f>
        <v>0</v>
      </c>
      <c r="P65" s="242">
        <f>SUMIFS('caseload data'!R:R,'caseload data'!$D:$D,"TPO",'caseload data'!$C:$C,$B$6, 'caseload data'!$B:$B, "custody")</f>
        <v>0</v>
      </c>
      <c r="Q65" s="242">
        <f>SUMIFS('caseload data'!S:S,'caseload data'!$D:$D,"TPO",'caseload data'!$C:$C,$B$6, 'caseload data'!$B:$B, "custody")</f>
        <v>0</v>
      </c>
      <c r="R65" s="242">
        <f>SUMIFS('caseload data'!T:T,'caseload data'!$D:$D,"TPO",'caseload data'!$C:$C,$B$6, 'caseload data'!$B:$B, "custody")</f>
        <v>0</v>
      </c>
      <c r="S65" s="242">
        <f>SUMIFS('caseload data'!U:U,'caseload data'!$D:$D,"TPO",'caseload data'!$C:$C,$B$6, 'caseload data'!$B:$B, "custody")</f>
        <v>0</v>
      </c>
      <c r="T65" s="242">
        <f t="shared" si="4"/>
        <v>0</v>
      </c>
    </row>
    <row r="66" spans="2:21" ht="14.25" customHeight="1" x14ac:dyDescent="0.15">
      <c r="B66" s="79" t="s">
        <v>1174</v>
      </c>
      <c r="C66" s="242">
        <f>SUMIFS('caseload data'!E:E,'caseload data'!$D:$D,"SPO",'caseload data'!$C:$C,$B$6, 'caseload data'!$B:$B, "custody")</f>
        <v>0</v>
      </c>
      <c r="D66" s="242">
        <f>SUMIFS('caseload data'!F:F,'caseload data'!$D:$D,"SPO",'caseload data'!$C:$C,$B$6, 'caseload data'!$B:$B, "custody")</f>
        <v>0</v>
      </c>
      <c r="E66" s="242">
        <f>SUMIFS('caseload data'!G:G,'caseload data'!$D:$D,"SPO",'caseload data'!$C:$C,$B$6, 'caseload data'!$B:$B, "custody")</f>
        <v>0</v>
      </c>
      <c r="F66" s="242">
        <f>SUMIFS('caseload data'!H:H,'caseload data'!$D:$D,"SPO",'caseload data'!$C:$C,$B$6, 'caseload data'!$B:$B, "custody")</f>
        <v>0</v>
      </c>
      <c r="G66" s="242">
        <f>SUMIFS('caseload data'!I:I,'caseload data'!$D:$D,"SPO",'caseload data'!$C:$C,$B$6, 'caseload data'!$B:$B, "custody")</f>
        <v>0</v>
      </c>
      <c r="H66" s="242">
        <f>SUMIFS('caseload data'!J:J,'caseload data'!$D:$D,"SPO",'caseload data'!$C:$C,$B$6, 'caseload data'!$B:$B, "custody")</f>
        <v>0</v>
      </c>
      <c r="I66" s="242">
        <f>SUMIFS('caseload data'!K:K,'caseload data'!$D:$D,"SPO",'caseload data'!$C:$C,$B$6, 'caseload data'!$B:$B, "custody")</f>
        <v>0</v>
      </c>
      <c r="J66" s="242">
        <f>SUMIFS('caseload data'!L:L,'caseload data'!$D:$D,"SPO",'caseload data'!$C:$C,$B$6, 'caseload data'!$B:$B, "custody")</f>
        <v>0</v>
      </c>
      <c r="K66" s="242">
        <f>SUMIFS('caseload data'!M:M,'caseload data'!$D:$D,"SPO",'caseload data'!$C:$C,$B$6, 'caseload data'!$B:$B, "custody")</f>
        <v>0</v>
      </c>
      <c r="L66" s="242">
        <f>SUMIFS('caseload data'!N:N,'caseload data'!$D:$D,"SPO",'caseload data'!$C:$C,$B$6, 'caseload data'!$B:$B, "custody")</f>
        <v>0</v>
      </c>
      <c r="M66" s="242">
        <f>SUMIFS('caseload data'!O:O,'caseload data'!$D:$D,"SPO",'caseload data'!$C:$C,$B$6, 'caseload data'!$B:$B, "custody")</f>
        <v>0</v>
      </c>
      <c r="N66" s="242">
        <f>SUMIFS('caseload data'!P:P,'caseload data'!$D:$D,"SPO",'caseload data'!$C:$C,$B$6, 'caseload data'!$B:$B, "custody")</f>
        <v>0</v>
      </c>
      <c r="O66" s="242">
        <f>SUMIFS('caseload data'!Q:Q,'caseload data'!$D:$D,"SPO",'caseload data'!$C:$C,$B$6, 'caseload data'!$B:$B, "custody")</f>
        <v>0</v>
      </c>
      <c r="P66" s="242">
        <f>SUMIFS('caseload data'!R:R,'caseload data'!$D:$D,"SPO",'caseload data'!$C:$C,$B$6, 'caseload data'!$B:$B, "custody")</f>
        <v>0</v>
      </c>
      <c r="Q66" s="242">
        <f>SUMIFS('caseload data'!S:S,'caseload data'!$D:$D,"SPO",'caseload data'!$C:$C,$B$6, 'caseload data'!$B:$B, "custody")</f>
        <v>0</v>
      </c>
      <c r="R66" s="242">
        <f>SUMIFS('caseload data'!T:T,'caseload data'!$D:$D,"SPO",'caseload data'!$C:$C,$B$6, 'caseload data'!$B:$B, "custody")</f>
        <v>0</v>
      </c>
      <c r="S66" s="242">
        <f>SUMIFS('caseload data'!U:U,'caseload data'!$D:$D,"SPO",'caseload data'!$C:$C,$B$6, 'caseload data'!$B:$B, "custody")</f>
        <v>0</v>
      </c>
      <c r="T66" s="242">
        <f t="shared" si="4"/>
        <v>0</v>
      </c>
      <c r="U66" s="247"/>
    </row>
    <row r="67" spans="2:21" ht="14.25" customHeight="1" x14ac:dyDescent="0.15">
      <c r="T67" s="247"/>
    </row>
    <row r="68" spans="2:21" ht="39" customHeight="1" x14ac:dyDescent="0.15">
      <c r="B68" s="315" t="str">
        <f>$B$6</f>
        <v>Central Lancashire</v>
      </c>
      <c r="C68" s="386" t="s">
        <v>1200</v>
      </c>
      <c r="D68" s="387"/>
      <c r="E68" s="387"/>
      <c r="F68" s="387"/>
      <c r="G68" s="387"/>
      <c r="H68" s="387"/>
      <c r="I68" s="387"/>
      <c r="J68" s="387"/>
      <c r="K68" s="387"/>
      <c r="L68" s="387"/>
      <c r="M68" s="387"/>
      <c r="N68" s="387"/>
      <c r="O68" s="387"/>
      <c r="P68" s="387"/>
      <c r="Q68" s="387"/>
      <c r="R68" s="387"/>
      <c r="S68" s="387"/>
    </row>
    <row r="69" spans="2:21" ht="23.25" customHeight="1" x14ac:dyDescent="0.15">
      <c r="B69" s="99" t="s">
        <v>1171</v>
      </c>
      <c r="C69" s="40" t="s">
        <v>1022</v>
      </c>
      <c r="D69" s="40" t="s">
        <v>1023</v>
      </c>
      <c r="E69" s="40" t="s">
        <v>1024</v>
      </c>
      <c r="F69" s="40" t="s">
        <v>1025</v>
      </c>
      <c r="G69" s="40" t="s">
        <v>1026</v>
      </c>
      <c r="H69" s="40" t="s">
        <v>1027</v>
      </c>
      <c r="I69" s="40" t="s">
        <v>1028</v>
      </c>
      <c r="J69" s="40" t="s">
        <v>1029</v>
      </c>
      <c r="K69" s="40" t="s">
        <v>1030</v>
      </c>
      <c r="L69" s="40" t="s">
        <v>1031</v>
      </c>
      <c r="M69" s="40" t="s">
        <v>1032</v>
      </c>
      <c r="N69" s="40" t="s">
        <v>1033</v>
      </c>
      <c r="O69" s="40" t="s">
        <v>1034</v>
      </c>
      <c r="P69" s="40" t="s">
        <v>1035</v>
      </c>
      <c r="Q69" s="40" t="s">
        <v>1036</v>
      </c>
      <c r="R69" s="40" t="s">
        <v>1037</v>
      </c>
      <c r="S69" s="40" t="s">
        <v>1196</v>
      </c>
    </row>
    <row r="70" spans="2:21" x14ac:dyDescent="0.15">
      <c r="B70" s="79" t="s">
        <v>1166</v>
      </c>
      <c r="C70" s="241" t="e">
        <f>AVERAGEIFS('caseload data'!E:E,'caseload data'!$D:$D,"PO",'caseload data'!$C:$C,$B$6)</f>
        <v>#DIV/0!</v>
      </c>
      <c r="D70" s="241" t="e">
        <f>AVERAGEIFS('caseload data'!F:F,'caseload data'!$D:$D,"PO",'caseload data'!$C:$C,$B$6)</f>
        <v>#DIV/0!</v>
      </c>
      <c r="E70" s="241" t="e">
        <f>AVERAGEIFS('caseload data'!G:G,'caseload data'!$D:$D,"PO",'caseload data'!$C:$C,$B$6)</f>
        <v>#DIV/0!</v>
      </c>
      <c r="F70" s="241" t="e">
        <f>AVERAGEIFS('caseload data'!H:H,'caseload data'!$D:$D,"PO",'caseload data'!$C:$C,$B$6)</f>
        <v>#DIV/0!</v>
      </c>
      <c r="G70" s="241" t="e">
        <f>AVERAGEIFS('caseload data'!I:I,'caseload data'!$D:$D,"PO",'caseload data'!$C:$C,$B$6)</f>
        <v>#DIV/0!</v>
      </c>
      <c r="H70" s="241" t="e">
        <f>AVERAGEIFS('caseload data'!J:J,'caseload data'!$D:$D,"PO",'caseload data'!$C:$C,$B$6)</f>
        <v>#DIV/0!</v>
      </c>
      <c r="I70" s="241" t="e">
        <f>AVERAGEIFS('caseload data'!K:K,'caseload data'!$D:$D,"PO",'caseload data'!$C:$C,$B$6)</f>
        <v>#DIV/0!</v>
      </c>
      <c r="J70" s="241" t="e">
        <f>AVERAGEIFS('caseload data'!L:L,'caseload data'!$D:$D,"PO",'caseload data'!$C:$C,$B$6)</f>
        <v>#DIV/0!</v>
      </c>
      <c r="K70" s="241" t="e">
        <f>AVERAGEIFS('caseload data'!M:M,'caseload data'!$D:$D,"PO",'caseload data'!$C:$C,$B$6)</f>
        <v>#DIV/0!</v>
      </c>
      <c r="L70" s="241" t="e">
        <f>AVERAGEIFS('caseload data'!N:N,'caseload data'!$D:$D,"PO",'caseload data'!$C:$C,$B$6)</f>
        <v>#DIV/0!</v>
      </c>
      <c r="M70" s="241" t="e">
        <f>AVERAGEIFS('caseload data'!O:O,'caseload data'!$D:$D,"PO",'caseload data'!$C:$C,$B$6)</f>
        <v>#DIV/0!</v>
      </c>
      <c r="N70" s="241" t="e">
        <f>AVERAGEIFS('caseload data'!P:P,'caseload data'!$D:$D,"PO",'caseload data'!$C:$C,$B$6)</f>
        <v>#DIV/0!</v>
      </c>
      <c r="O70" s="241" t="e">
        <f>AVERAGEIFS('caseload data'!Q:Q,'caseload data'!$D:$D,"PO",'caseload data'!$C:$C,$B$6)</f>
        <v>#DIV/0!</v>
      </c>
      <c r="P70" s="241" t="e">
        <f>AVERAGEIFS('caseload data'!R:R,'caseload data'!$D:$D,"PO",'caseload data'!$C:$C,$B$6)</f>
        <v>#DIV/0!</v>
      </c>
      <c r="Q70" s="241" t="e">
        <f>AVERAGEIFS('caseload data'!S:S,'caseload data'!$D:$D,"PO",'caseload data'!$C:$C,$B$6)</f>
        <v>#DIV/0!</v>
      </c>
      <c r="R70" s="241" t="e">
        <f>AVERAGEIFS('caseload data'!T:T,'caseload data'!$D:$D,"PO",'caseload data'!$C:$C,$B$6)</f>
        <v>#DIV/0!</v>
      </c>
      <c r="S70" s="241" t="e">
        <f>AVERAGEIFS('caseload data'!U:U,'caseload data'!$D:$D,"PO",'caseload data'!$C:$C,$B$6)</f>
        <v>#DIV/0!</v>
      </c>
    </row>
    <row r="71" spans="2:21" x14ac:dyDescent="0.15">
      <c r="B71" s="79" t="s">
        <v>1172</v>
      </c>
      <c r="C71" s="241" t="e">
        <f>AVERAGEIFS('caseload data'!E:E,'caseload data'!$D:$D,"PSO",'caseload data'!$C:$C,$B$6)</f>
        <v>#DIV/0!</v>
      </c>
      <c r="D71" s="241" t="e">
        <f>AVERAGEIFS('caseload data'!F:F,'caseload data'!$D:$D,"PSO",'caseload data'!$C:$C,$B$6)</f>
        <v>#DIV/0!</v>
      </c>
      <c r="E71" s="241" t="e">
        <f>AVERAGEIFS('caseload data'!G:G,'caseload data'!$D:$D,"PSO",'caseload data'!$C:$C,$B$6)</f>
        <v>#DIV/0!</v>
      </c>
      <c r="F71" s="241" t="e">
        <f>AVERAGEIFS('caseload data'!H:H,'caseload data'!$D:$D,"PSO",'caseload data'!$C:$C,$B$6)</f>
        <v>#DIV/0!</v>
      </c>
      <c r="G71" s="241" t="e">
        <f>AVERAGEIFS('caseload data'!I:I,'caseload data'!$D:$D,"PSO",'caseload data'!$C:$C,$B$6)</f>
        <v>#DIV/0!</v>
      </c>
      <c r="H71" s="241" t="e">
        <f>AVERAGEIFS('caseload data'!J:J,'caseload data'!$D:$D,"PSO",'caseload data'!$C:$C,$B$6)</f>
        <v>#DIV/0!</v>
      </c>
      <c r="I71" s="241" t="e">
        <f>AVERAGEIFS('caseload data'!K:K,'caseload data'!$D:$D,"PSO",'caseload data'!$C:$C,$B$6)</f>
        <v>#DIV/0!</v>
      </c>
      <c r="J71" s="241" t="e">
        <f>AVERAGEIFS('caseload data'!L:L,'caseload data'!$D:$D,"PSO",'caseload data'!$C:$C,$B$6)</f>
        <v>#DIV/0!</v>
      </c>
      <c r="K71" s="241" t="e">
        <f>AVERAGEIFS('caseload data'!M:M,'caseload data'!$D:$D,"PSO",'caseload data'!$C:$C,$B$6)</f>
        <v>#DIV/0!</v>
      </c>
      <c r="L71" s="241" t="e">
        <f>AVERAGEIFS('caseload data'!N:N,'caseload data'!$D:$D,"PSO",'caseload data'!$C:$C,$B$6)</f>
        <v>#DIV/0!</v>
      </c>
      <c r="M71" s="241" t="e">
        <f>AVERAGEIFS('caseload data'!O:O,'caseload data'!$D:$D,"PSO",'caseload data'!$C:$C,$B$6)</f>
        <v>#DIV/0!</v>
      </c>
      <c r="N71" s="241" t="e">
        <f>AVERAGEIFS('caseload data'!P:P,'caseload data'!$D:$D,"PSO",'caseload data'!$C:$C,$B$6)</f>
        <v>#DIV/0!</v>
      </c>
      <c r="O71" s="241" t="e">
        <f>AVERAGEIFS('caseload data'!Q:Q,'caseload data'!$D:$D,"PSO",'caseload data'!$C:$C,$B$6)</f>
        <v>#DIV/0!</v>
      </c>
      <c r="P71" s="241" t="e">
        <f>AVERAGEIFS('caseload data'!R:R,'caseload data'!$D:$D,"PSO",'caseload data'!$C:$C,$B$6)</f>
        <v>#DIV/0!</v>
      </c>
      <c r="Q71" s="241" t="e">
        <f>AVERAGEIFS('caseload data'!S:S,'caseload data'!$D:$D,"PSO",'caseload data'!$C:$C,$B$6)</f>
        <v>#DIV/0!</v>
      </c>
      <c r="R71" s="241" t="e">
        <f>AVERAGEIFS('caseload data'!T:T,'caseload data'!$D:$D,"PSO",'caseload data'!$C:$C,$B$6)</f>
        <v>#DIV/0!</v>
      </c>
      <c r="S71" s="241" t="e">
        <f>AVERAGEIFS('caseload data'!U:U,'caseload data'!$D:$D,"PSO",'caseload data'!$C:$C,$B$6)</f>
        <v>#DIV/0!</v>
      </c>
    </row>
    <row r="72" spans="2:21" x14ac:dyDescent="0.15">
      <c r="B72" s="79" t="s">
        <v>1173</v>
      </c>
      <c r="C72" s="241" t="e">
        <f>AVERAGEIFS('caseload data'!E:E,'caseload data'!$D:$D,"TPO",'caseload data'!$C:$C,$B$6)</f>
        <v>#DIV/0!</v>
      </c>
      <c r="D72" s="241" t="e">
        <f>AVERAGEIFS('caseload data'!F:F,'caseload data'!$D:$D,"TPO",'caseload data'!$C:$C,$B$6)</f>
        <v>#DIV/0!</v>
      </c>
      <c r="E72" s="241" t="e">
        <f>AVERAGEIFS('caseload data'!G:G,'caseload data'!$D:$D,"TPO",'caseload data'!$C:$C,$B$6)</f>
        <v>#DIV/0!</v>
      </c>
      <c r="F72" s="241" t="e">
        <f>AVERAGEIFS('caseload data'!H:H,'caseload data'!$D:$D,"TPO",'caseload data'!$C:$C,$B$6)</f>
        <v>#DIV/0!</v>
      </c>
      <c r="G72" s="241" t="e">
        <f>AVERAGEIFS('caseload data'!I:I,'caseload data'!$D:$D,"TPO",'caseload data'!$C:$C,$B$6)</f>
        <v>#DIV/0!</v>
      </c>
      <c r="H72" s="241" t="e">
        <f>AVERAGEIFS('caseload data'!J:J,'caseload data'!$D:$D,"TPO",'caseload data'!$C:$C,$B$6)</f>
        <v>#DIV/0!</v>
      </c>
      <c r="I72" s="241" t="e">
        <f>AVERAGEIFS('caseload data'!K:K,'caseload data'!$D:$D,"TPO",'caseload data'!$C:$C,$B$6)</f>
        <v>#DIV/0!</v>
      </c>
      <c r="J72" s="241" t="e">
        <f>AVERAGEIFS('caseload data'!L:L,'caseload data'!$D:$D,"TPO",'caseload data'!$C:$C,$B$6)</f>
        <v>#DIV/0!</v>
      </c>
      <c r="K72" s="241" t="e">
        <f>AVERAGEIFS('caseload data'!M:M,'caseload data'!$D:$D,"TPO",'caseload data'!$C:$C,$B$6)</f>
        <v>#DIV/0!</v>
      </c>
      <c r="L72" s="241" t="e">
        <f>AVERAGEIFS('caseload data'!N:N,'caseload data'!$D:$D,"TPO",'caseload data'!$C:$C,$B$6)</f>
        <v>#DIV/0!</v>
      </c>
      <c r="M72" s="241" t="e">
        <f>AVERAGEIFS('caseload data'!O:O,'caseload data'!$D:$D,"TPO",'caseload data'!$C:$C,$B$6)</f>
        <v>#DIV/0!</v>
      </c>
      <c r="N72" s="241" t="e">
        <f>AVERAGEIFS('caseload data'!P:P,'caseload data'!$D:$D,"TPO",'caseload data'!$C:$C,$B$6)</f>
        <v>#DIV/0!</v>
      </c>
      <c r="O72" s="241" t="e">
        <f>AVERAGEIFS('caseload data'!Q:Q,'caseload data'!$D:$D,"TPO",'caseload data'!$C:$C,$B$6)</f>
        <v>#DIV/0!</v>
      </c>
      <c r="P72" s="241" t="e">
        <f>AVERAGEIFS('caseload data'!R:R,'caseload data'!$D:$D,"TPO",'caseload data'!$C:$C,$B$6)</f>
        <v>#DIV/0!</v>
      </c>
      <c r="Q72" s="241" t="e">
        <f>AVERAGEIFS('caseload data'!S:S,'caseload data'!$D:$D,"TPO",'caseload data'!$C:$C,$B$6)</f>
        <v>#DIV/0!</v>
      </c>
      <c r="R72" s="241" t="e">
        <f>AVERAGEIFS('caseload data'!T:T,'caseload data'!$D:$D,"TPO",'caseload data'!$C:$C,$B$6)</f>
        <v>#DIV/0!</v>
      </c>
      <c r="S72" s="241" t="e">
        <f>AVERAGEIFS('caseload data'!U:U,'caseload data'!$D:$D,"TPO",'caseload data'!$C:$C,$B$6)</f>
        <v>#DIV/0!</v>
      </c>
    </row>
    <row r="73" spans="2:21" x14ac:dyDescent="0.15">
      <c r="B73" s="79" t="s">
        <v>1174</v>
      </c>
      <c r="C73" s="241" t="e">
        <f>AVERAGEIFS('caseload data'!E:E,'caseload data'!$D:$D,"SPO",'caseload data'!$C:$C,$B$6)</f>
        <v>#DIV/0!</v>
      </c>
      <c r="D73" s="241" t="e">
        <f>AVERAGEIFS('caseload data'!F:F,'caseload data'!$D:$D,"SPO",'caseload data'!$C:$C,$B$6)</f>
        <v>#DIV/0!</v>
      </c>
      <c r="E73" s="241" t="e">
        <f>AVERAGEIFS('caseload data'!G:G,'caseload data'!$D:$D,"SPO",'caseload data'!$C:$C,$B$6)</f>
        <v>#DIV/0!</v>
      </c>
      <c r="F73" s="241" t="e">
        <f>AVERAGEIFS('caseload data'!H:H,'caseload data'!$D:$D,"SPO",'caseload data'!$C:$C,$B$6)</f>
        <v>#DIV/0!</v>
      </c>
      <c r="G73" s="241" t="e">
        <f>AVERAGEIFS('caseload data'!I:I,'caseload data'!$D:$D,"SPO",'caseload data'!$C:$C,$B$6)</f>
        <v>#DIV/0!</v>
      </c>
      <c r="H73" s="241" t="e">
        <f>AVERAGEIFS('caseload data'!J:J,'caseload data'!$D:$D,"SPO",'caseload data'!$C:$C,$B$6)</f>
        <v>#DIV/0!</v>
      </c>
      <c r="I73" s="241" t="e">
        <f>AVERAGEIFS('caseload data'!K:K,'caseload data'!$D:$D,"SPO",'caseload data'!$C:$C,$B$6)</f>
        <v>#DIV/0!</v>
      </c>
      <c r="J73" s="241" t="e">
        <f>AVERAGEIFS('caseload data'!L:L,'caseload data'!$D:$D,"SPO",'caseload data'!$C:$C,$B$6)</f>
        <v>#DIV/0!</v>
      </c>
      <c r="K73" s="241" t="e">
        <f>AVERAGEIFS('caseload data'!M:M,'caseload data'!$D:$D,"SPO",'caseload data'!$C:$C,$B$6)</f>
        <v>#DIV/0!</v>
      </c>
      <c r="L73" s="241" t="e">
        <f>AVERAGEIFS('caseload data'!N:N,'caseload data'!$D:$D,"SPO",'caseload data'!$C:$C,$B$6)</f>
        <v>#DIV/0!</v>
      </c>
      <c r="M73" s="241" t="e">
        <f>AVERAGEIFS('caseload data'!O:O,'caseload data'!$D:$D,"SPO",'caseload data'!$C:$C,$B$6)</f>
        <v>#DIV/0!</v>
      </c>
      <c r="N73" s="241" t="e">
        <f>AVERAGEIFS('caseload data'!P:P,'caseload data'!$D:$D,"SPO",'caseload data'!$C:$C,$B$6)</f>
        <v>#DIV/0!</v>
      </c>
      <c r="O73" s="241" t="e">
        <f>AVERAGEIFS('caseload data'!Q:Q,'caseload data'!$D:$D,"SPO",'caseload data'!$C:$C,$B$6)</f>
        <v>#DIV/0!</v>
      </c>
      <c r="P73" s="241" t="e">
        <f>AVERAGEIFS('caseload data'!R:R,'caseload data'!$D:$D,"SPO",'caseload data'!$C:$C,$B$6)</f>
        <v>#DIV/0!</v>
      </c>
      <c r="Q73" s="241" t="e">
        <f>AVERAGEIFS('caseload data'!S:S,'caseload data'!$D:$D,"SPO",'caseload data'!$C:$C,$B$6)</f>
        <v>#DIV/0!</v>
      </c>
      <c r="R73" s="241" t="e">
        <f>AVERAGEIFS('caseload data'!T:T,'caseload data'!$D:$D,"SPO",'caseload data'!$C:$C,$B$6)</f>
        <v>#DIV/0!</v>
      </c>
      <c r="S73" s="241" t="e">
        <f>AVERAGEIFS('caseload data'!U:U,'caseload data'!$D:$D,"SPO",'caseload data'!$C:$C,$B$6)</f>
        <v>#DIV/0!</v>
      </c>
    </row>
  </sheetData>
  <mergeCells count="9">
    <mergeCell ref="A1:M1"/>
    <mergeCell ref="C61:T61"/>
    <mergeCell ref="C68:S68"/>
    <mergeCell ref="C40:T40"/>
    <mergeCell ref="C47:T47"/>
    <mergeCell ref="C54:T54"/>
    <mergeCell ref="A2:M2"/>
    <mergeCell ref="H9:M9"/>
    <mergeCell ref="H16:L16"/>
  </mergeCells>
  <conditionalFormatting sqref="I11:L12">
    <cfRule type="cellIs" dxfId="6611" priority="3" operator="lessThan">
      <formula>0.9</formula>
    </cfRule>
    <cfRule type="cellIs" dxfId="6610" priority="4" operator="greaterThanOrEqual">
      <formula>1.1</formula>
    </cfRule>
  </conditionalFormatting>
  <conditionalFormatting sqref="M11:M12">
    <cfRule type="cellIs" dxfId="6609" priority="2" operator="greaterThan">
      <formula>1.1</formula>
    </cfRule>
  </conditionalFormatting>
  <conditionalFormatting sqref="N11:N12">
    <cfRule type="cellIs" dxfId="6608"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topLeftCell="A46" zoomScaleNormal="100" workbookViewId="0">
      <selection activeCell="D52" sqref="D52"/>
    </sheetView>
  </sheetViews>
  <sheetFormatPr baseColWidth="10" defaultColWidth="8.83203125" defaultRowHeight="14" x14ac:dyDescent="0.15"/>
  <cols>
    <col min="2" max="2" width="42.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11.1640625" bestFit="1" customWidth="1"/>
  </cols>
  <sheetData>
    <row r="1" spans="1:19" ht="45.75" customHeight="1" x14ac:dyDescent="0.3">
      <c r="A1" s="381" t="s">
        <v>1213</v>
      </c>
      <c r="B1" s="381"/>
      <c r="C1" s="381"/>
      <c r="D1" s="381"/>
      <c r="E1" s="381"/>
      <c r="F1" s="381"/>
      <c r="G1" s="381"/>
      <c r="H1" s="381"/>
      <c r="I1" s="381"/>
      <c r="J1" s="381"/>
      <c r="K1" s="381"/>
      <c r="L1" s="381"/>
      <c r="M1" s="381"/>
      <c r="N1" s="291"/>
      <c r="O1" s="291"/>
      <c r="P1" s="291"/>
      <c r="Q1" s="291"/>
      <c r="R1" s="291"/>
      <c r="S1" s="291"/>
    </row>
    <row r="2" spans="1:19" ht="37.5" customHeight="1" x14ac:dyDescent="0.15">
      <c r="A2" s="374"/>
      <c r="B2" s="374"/>
      <c r="C2" s="374"/>
      <c r="D2" s="374"/>
      <c r="E2" s="374"/>
      <c r="F2" s="374"/>
      <c r="G2" s="374"/>
      <c r="H2" s="374"/>
      <c r="I2" s="374"/>
      <c r="J2" s="374"/>
      <c r="K2" s="374"/>
      <c r="L2" s="374"/>
      <c r="M2" s="374"/>
      <c r="N2" s="250"/>
      <c r="O2" s="250"/>
      <c r="P2" s="250"/>
      <c r="Q2" s="250"/>
      <c r="R2" s="250"/>
      <c r="S2" s="250"/>
    </row>
    <row r="4" spans="1:19" ht="57" customHeight="1" x14ac:dyDescent="0.15">
      <c r="B4" s="38" t="s">
        <v>1214</v>
      </c>
    </row>
    <row r="5" spans="1:19" ht="24" customHeight="1" x14ac:dyDescent="0.15">
      <c r="B5" s="57" t="s">
        <v>27</v>
      </c>
      <c r="F5" s="42"/>
    </row>
    <row r="6" spans="1:19" ht="24" customHeight="1" x14ac:dyDescent="0.15">
      <c r="B6" s="58" t="s">
        <v>269</v>
      </c>
    </row>
    <row r="8" spans="1:19" ht="23" x14ac:dyDescent="0.15">
      <c r="B8" s="394" t="s">
        <v>1104</v>
      </c>
      <c r="C8" s="395"/>
      <c r="D8" s="395"/>
      <c r="E8" s="395"/>
      <c r="F8" s="396"/>
    </row>
    <row r="9" spans="1:19" ht="56" x14ac:dyDescent="0.15">
      <c r="B9" s="66"/>
      <c r="C9" s="227" t="s">
        <v>1105</v>
      </c>
      <c r="D9" s="67" t="s">
        <v>1106</v>
      </c>
      <c r="E9" s="67" t="s">
        <v>1107</v>
      </c>
      <c r="F9" s="67" t="s">
        <v>1215</v>
      </c>
      <c r="H9" s="227" t="s">
        <v>1216</v>
      </c>
      <c r="I9" s="227" t="s">
        <v>1110</v>
      </c>
      <c r="J9" s="68"/>
      <c r="K9" s="227" t="s">
        <v>1111</v>
      </c>
      <c r="L9" s="227" t="s">
        <v>1112</v>
      </c>
    </row>
    <row r="10" spans="1:19" x14ac:dyDescent="0.15">
      <c r="B10" s="69" t="str">
        <f>B6</f>
        <v>Hammersmith, Fulham, Kensington, Chelsea and Westminster</v>
      </c>
      <c r="C10" s="126" t="str">
        <f>IFERROR(SUM((SUMIFS('capacity data'!$G:$G,'capacity data'!$E:$E,"PO",'capacity data'!$B:$B,B6))-SUMIFS('capacity data'!$H:$H,'capacity data'!$E:$E,"PO",'capacity data'!$B:$B,B6))/SUMIFS('capacity data'!$G:$G,'capacity data'!$E:$E,"PO",'capacity data'!$B:$B,B6),"")</f>
        <v/>
      </c>
      <c r="D10" s="127" t="str">
        <f>IFERROR(SUM((SUMIFS('capacity data'!$G:$G,'capacity data'!$E:$E,"PSO",'capacity data'!$B:$B,B6))-SUMIFS('capacity data'!$H:$H,'capacity data'!$E:$E,"PSO",'capacity data'!$B:$B,B6))/SUMIFS('capacity data'!$G:$G,'capacity data'!$E:$E,"PSO",'capacity data'!$B:$B,B6),"")</f>
        <v/>
      </c>
      <c r="E10" s="127" t="str">
        <f>IFERROR(SUM((SUMIFS('capacity data'!$G:$G,'capacity data'!$E:$E,"TPO",'capacity data'!$B:$B,B6))-SUMIFS('capacity data'!$H:$H,'capacity data'!$E:$E,"TPO",'capacity data'!$B:$B,B6))/SUMIFS('capacity data'!$G:$G,'capacity data'!$E:$E,"TPO",'capacity data'!$B:$B,B6),"")</f>
        <v/>
      </c>
      <c r="F10" s="127" t="str">
        <f>IFERROR(SUM((SUMIFS('capacity data'!G:G,'capacity data'!B:B,'cluster overview'!B6))-SUMIFS('capacity data'!H:H,'capacity data'!B:B,'cluster overview'!B6))/SUMIFS('capacity data'!G:G,'capacity data'!B:B,'cluster overview'!B6),"")</f>
        <v/>
      </c>
      <c r="H10" s="70" t="e">
        <f>SUMIFS('capacity data'!$L:$L,'capacity data'!$B:$B,$B$6,'capacity data'!$E:$E,"PSO")/SUM((SUMIFS('capacity data'!$G:$G,'capacity data'!$E:$E,"PSO",'capacity data'!$B:$B,$B$6))-SUMIFS('capacity data'!$H:$H,'capacity data'!$E:$E,"PSO",'capacity data'!$B:$B,$B$6))</f>
        <v>#DIV/0!</v>
      </c>
      <c r="I10" s="219" t="e">
        <f>SUMIFS('capacity data'!$L:$L,'capacity data'!$B:$B,$B$6,'capacity data'!$E:$E,"PSO")/SUMIFS('capacity data'!$G:$G,'capacity data'!$E:$E,"PSO",'capacity data'!$B:$B,$B$6)</f>
        <v>#DIV/0!</v>
      </c>
      <c r="J10" s="68"/>
      <c r="K10" s="70" t="e">
        <f>SUMIFS('capacity data'!$L:$L,'capacity data'!$B:$B,$B$6,'capacity data'!$E:$E,"TPO")/SUM((SUMIFS('capacity data'!$G:$G,'capacity data'!$E:$E,"TPO",'capacity data'!$B:$B,$B$6))-SUMIFS('capacity data'!$H:$H,'capacity data'!$E:$E,"TPO",'capacity data'!$B:$B,$B$6))</f>
        <v>#DIV/0!</v>
      </c>
      <c r="L10" s="219" t="e">
        <f>SUMIFS('capacity data'!$L:$L,'capacity data'!$B:$B,$B$6,'capacity data'!$E:$E,"TPO")/SUMIFS('capacity data'!$G:$G,'capacity data'!$E:$E,"TPO",'capacity data'!$B:$B,$B$6)</f>
        <v>#DIV/0!</v>
      </c>
    </row>
    <row r="11" spans="1:19" x14ac:dyDescent="0.15">
      <c r="B11" s="110" t="s">
        <v>1113</v>
      </c>
      <c r="C11" s="111" t="e">
        <f>SUM((SUMIF('capacity data'!E:E,"PO",'capacity data'!G:G))-SUMIF('capacity data'!E:E,"PO",'capacity data'!H:H))/SUMIF('capacity data'!E:E,"PO",'capacity data'!G:G)</f>
        <v>#DIV/0!</v>
      </c>
      <c r="D11" s="111" t="e">
        <f>SUM((SUMIF('capacity data'!E:E,"PSO",'capacity data'!G:G))-SUMIF('capacity data'!E:E,"PSO",'capacity data'!H:H))/SUMIF('capacity data'!E:E,"PSO",'capacity data'!G:G)</f>
        <v>#DIV/0!</v>
      </c>
      <c r="E11" s="111" t="e">
        <f>SUM((SUMIF('capacity data'!E:E,"TPO",'capacity data'!G:G))-SUMIF('capacity data'!E:E,"TPO",'capacity data'!H:H))/SUMIF('capacity data'!E:E,"TPO",'capacity data'!G:G)</f>
        <v>#DIV/0!</v>
      </c>
      <c r="F11" s="86" t="e">
        <f>SUM((SUM('capacity data'!G:G)-SUM('capacity data'!H:H))/SUM('capacity data'!G:G))</f>
        <v>#DIV/0!</v>
      </c>
      <c r="H11" s="121" t="e">
        <f>SUMIF('capacity data'!$E:$E,"PSO",'capacity data'!$L:$L)/SUM(SUMIF('capacity data'!$E:$E,"PSO",'capacity data'!$G:$G)-SUMIF('capacity data'!$E:$E,"PSO",'capacity data'!$H:$H))</f>
        <v>#DIV/0!</v>
      </c>
      <c r="I11" s="122" t="e">
        <f>SUMIF('capacity data'!$E:$E,"PSO",'capacity data'!$L:$L)/SUMIF('capacity data'!$E:$E,"PSO",'capacity data'!$G:$G)</f>
        <v>#DIV/0!</v>
      </c>
      <c r="J11" s="68"/>
      <c r="K11" s="121" t="e">
        <f>SUMIF('capacity data'!$E:$E,"TPO",'capacity data'!$L:$L)/SUM(SUMIF('capacity data'!$E:$E,"TPO",'capacity data'!$G:$G)-SUMIF('capacity data'!$E:$E,"TPO",'capacity data'!$H:$H))</f>
        <v>#DIV/0!</v>
      </c>
      <c r="L11" s="122" t="e">
        <f>SUMIF('capacity data'!$E:$E,"TPO",'capacity data'!$L:$L)/SUMIF('capacity data'!$E:$E,"TPO",'capacity data'!$G:$G)</f>
        <v>#DIV/0!</v>
      </c>
    </row>
    <row r="12" spans="1:19" x14ac:dyDescent="0.15">
      <c r="B12" s="123" t="s">
        <v>1206</v>
      </c>
      <c r="C12" s="124" t="e">
        <f>+C10-C11</f>
        <v>#VALUE!</v>
      </c>
      <c r="D12" s="107" t="str">
        <f>IFERROR(+D10-D11,"N/A")</f>
        <v>N/A</v>
      </c>
      <c r="E12" s="107" t="str">
        <f>IFERROR(+E10-E11,"N/A")</f>
        <v>N/A</v>
      </c>
      <c r="F12" s="107" t="e">
        <f>+F10-F11</f>
        <v>#VALUE!</v>
      </c>
      <c r="H12" s="103" t="e">
        <f>+H10-H11</f>
        <v>#DIV/0!</v>
      </c>
      <c r="I12" s="125" t="e">
        <f>+I10-I11</f>
        <v>#DIV/0!</v>
      </c>
      <c r="J12" s="68"/>
      <c r="K12" s="103" t="e">
        <f>+K10-K11</f>
        <v>#DIV/0!</v>
      </c>
      <c r="L12" s="125" t="e">
        <f>+L10-L11</f>
        <v>#DIV/0!</v>
      </c>
    </row>
    <row r="14" spans="1:19" ht="63.75" customHeight="1" x14ac:dyDescent="0.15">
      <c r="B14" s="73"/>
      <c r="C14" s="74" t="s">
        <v>1116</v>
      </c>
      <c r="D14" s="74" t="s">
        <v>1117</v>
      </c>
      <c r="E14" s="74" t="s">
        <v>1118</v>
      </c>
      <c r="F14" s="74" t="s">
        <v>1119</v>
      </c>
      <c r="G14" s="74" t="s">
        <v>1120</v>
      </c>
      <c r="H14" s="74" t="s">
        <v>1121</v>
      </c>
      <c r="I14" s="74" t="s">
        <v>1122</v>
      </c>
      <c r="J14" s="75" t="s">
        <v>1123</v>
      </c>
      <c r="K14" s="74" t="s">
        <v>1124</v>
      </c>
      <c r="L14" s="74" t="s">
        <v>1125</v>
      </c>
      <c r="M14" s="74" t="s">
        <v>1126</v>
      </c>
    </row>
    <row r="15" spans="1:19" ht="20.25" customHeight="1" x14ac:dyDescent="0.15">
      <c r="B15" s="76" t="str">
        <f>B6</f>
        <v>Hammersmith, Fulham, Kensington, Chelsea and Westminster</v>
      </c>
      <c r="C15" s="221">
        <f>COUNTIFS('capacity data'!B:B,'cluster overview'!B6,'capacity data'!E:E,"PO")</f>
        <v>0</v>
      </c>
      <c r="D15" s="221">
        <f>COUNTIFS('capacity data'!B:B,B6,'capacity data'!E:E,"PO",'capacity data'!F:F,"&gt;110%")</f>
        <v>0</v>
      </c>
      <c r="E15" s="77" t="e">
        <f>D15/C15</f>
        <v>#DIV/0!</v>
      </c>
      <c r="F15" s="221">
        <f>COUNTIFS('capacity data'!B:B,'cluster overview'!B6,'capacity data'!E:E,"PSO")</f>
        <v>0</v>
      </c>
      <c r="G15" s="221">
        <f>COUNTIFS('capacity data'!B:B,B6,'capacity data'!E:E,"PSO",'capacity data'!F:F,"&gt;110%")</f>
        <v>0</v>
      </c>
      <c r="H15" s="78" t="str">
        <f>IFERROR(G15/F15,"N/A")</f>
        <v>N/A</v>
      </c>
      <c r="I15" s="221">
        <f>COUNTIFS('capacity data'!B:B,B6,'capacity data'!E:E,"PSO",'capacity data'!F:F,"&lt;910%")</f>
        <v>0</v>
      </c>
      <c r="J15" s="78" t="str">
        <f>IFERROR(I15/F15,"")</f>
        <v/>
      </c>
      <c r="K15" s="221">
        <f>COUNTIFS('capacity data'!B:B,'cluster overview'!B6,'capacity data'!E:E,"TPO")</f>
        <v>0</v>
      </c>
      <c r="L15" s="221">
        <f>COUNTIFS('capacity data'!B:B,B6,'capacity data'!E:E,"TPO",'capacity data'!F:F,"&gt;110%")</f>
        <v>0</v>
      </c>
      <c r="M15" s="71" t="str">
        <f>IFERROR(L15/K15,"N/A")</f>
        <v>N/A</v>
      </c>
    </row>
    <row r="16" spans="1:19" x14ac:dyDescent="0.15">
      <c r="B16" s="110" t="s">
        <v>1217</v>
      </c>
      <c r="C16" s="84">
        <f>COUNTIF('capacity data'!E:E,"PO")</f>
        <v>0</v>
      </c>
      <c r="D16" s="84">
        <f>COUNTIFS('capacity data'!E:E,"PO",'capacity data'!F:F,"&gt;110%")</f>
        <v>0</v>
      </c>
      <c r="E16" s="111" t="e">
        <f>D16/C16</f>
        <v>#DIV/0!</v>
      </c>
      <c r="F16" s="84">
        <f>COUNTIF('capacity data'!E:E,"PSO")</f>
        <v>0</v>
      </c>
      <c r="G16" s="84">
        <f>COUNTIFS('capacity data'!E:E,"PSO",'capacity data'!F:F,"&gt;110%")</f>
        <v>0</v>
      </c>
      <c r="H16" s="111" t="e">
        <f>G16/F16</f>
        <v>#DIV/0!</v>
      </c>
      <c r="I16" s="84">
        <f>COUNTIFS('capacity data'!E:E,"PSO",'capacity data'!F:F,"&lt;90%")</f>
        <v>0</v>
      </c>
      <c r="J16" s="111" t="e">
        <f>I16/F16</f>
        <v>#DIV/0!</v>
      </c>
      <c r="K16" s="84">
        <f>COUNTIF('capacity data'!E:E,"TPO")</f>
        <v>0</v>
      </c>
      <c r="L16" s="84">
        <f>COUNTIFS('capacity data'!E:E,"TPO",'capacity data'!F:F,"&gt;110%")</f>
        <v>0</v>
      </c>
      <c r="M16" s="111" t="e">
        <f>L16/K16</f>
        <v>#DIV/0!</v>
      </c>
    </row>
    <row r="17" spans="2:13" x14ac:dyDescent="0.15">
      <c r="B17" s="109" t="s">
        <v>1206</v>
      </c>
      <c r="C17" s="104" t="s">
        <v>1128</v>
      </c>
      <c r="D17" s="104" t="s">
        <v>1128</v>
      </c>
      <c r="E17" s="105" t="e">
        <f>+E15-E16</f>
        <v>#DIV/0!</v>
      </c>
      <c r="F17" s="104" t="s">
        <v>1128</v>
      </c>
      <c r="G17" s="104" t="s">
        <v>1128</v>
      </c>
      <c r="H17" s="105" t="str">
        <f>IFERROR(+H15-H16,"N/A")</f>
        <v>N/A</v>
      </c>
      <c r="I17" s="104" t="s">
        <v>1128</v>
      </c>
      <c r="J17" s="105" t="str">
        <f>IFERROR(+J15-J16,"N/A")</f>
        <v>N/A</v>
      </c>
      <c r="K17" s="104" t="s">
        <v>1128</v>
      </c>
      <c r="L17" s="104" t="s">
        <v>1128</v>
      </c>
      <c r="M17" s="105" t="str">
        <f>IFERROR(+M15-M16,"N/A")</f>
        <v>N/A</v>
      </c>
    </row>
    <row r="19" spans="2:13" ht="23" x14ac:dyDescent="0.15">
      <c r="B19" s="394" t="s">
        <v>1129</v>
      </c>
      <c r="C19" s="395"/>
      <c r="D19" s="395"/>
      <c r="E19" s="395"/>
      <c r="F19" s="396"/>
      <c r="G19" s="397"/>
      <c r="H19" s="398"/>
    </row>
    <row r="20" spans="2:13" ht="66" customHeight="1" x14ac:dyDescent="0.15">
      <c r="B20" s="80"/>
      <c r="C20" s="67" t="s">
        <v>1218</v>
      </c>
      <c r="D20" s="67" t="s">
        <v>1219</v>
      </c>
      <c r="E20" s="67" t="s">
        <v>1220</v>
      </c>
      <c r="F20" s="67" t="s">
        <v>1133</v>
      </c>
      <c r="G20" s="227" t="s">
        <v>1221</v>
      </c>
      <c r="H20" s="227" t="s">
        <v>1222</v>
      </c>
    </row>
    <row r="21" spans="2:13" x14ac:dyDescent="0.15">
      <c r="B21" s="66" t="str">
        <f>B6</f>
        <v>Hammersmith, Fulham, Kensington, Chelsea and Westminster</v>
      </c>
      <c r="C21" s="79">
        <f>SUMIFS('capacity data'!K:K,'capacity data'!B:B,'cluster overview'!B6,'capacity data'!E:E,"SPO")</f>
        <v>0</v>
      </c>
      <c r="D21" s="79">
        <f>SUMIFS('capacity data'!K:K,'capacity data'!B:B,'cluster overview'!B6,'capacity data'!E:E,"DMY")</f>
        <v>0</v>
      </c>
      <c r="E21" s="79">
        <f>SUM(C21:D21)</f>
        <v>0</v>
      </c>
      <c r="F21" s="81">
        <f>SUMIF('capacity data'!B:B,'cluster overview'!B6,'capacity data'!K:K)</f>
        <v>0</v>
      </c>
      <c r="G21" s="70" t="e">
        <f>E21/F21</f>
        <v>#DIV/0!</v>
      </c>
      <c r="H21" s="82">
        <f>SUMIF('caseload data'!C:C,'cluster overview'!B108,'caseload data'!U:U)</f>
        <v>0</v>
      </c>
    </row>
    <row r="22" spans="2:13" x14ac:dyDescent="0.15">
      <c r="B22" s="83" t="s">
        <v>1217</v>
      </c>
      <c r="C22" s="84">
        <f>SUMIF('capacity data'!E:E,"SPO",'capacity data'!K:K)</f>
        <v>0</v>
      </c>
      <c r="D22" s="84">
        <f>SUMIF('capacity data'!E:E,"DMY",'capacity data'!K:K)</f>
        <v>0</v>
      </c>
      <c r="E22" s="84">
        <f>SUM(C22:D22)</f>
        <v>0</v>
      </c>
      <c r="F22" s="85">
        <f>SUM('capacity data'!K:K)</f>
        <v>0</v>
      </c>
      <c r="G22" s="86" t="e">
        <f>E22/F22</f>
        <v>#DIV/0!</v>
      </c>
      <c r="H22" s="84">
        <f>SUM('caseload data'!U:U)</f>
        <v>0</v>
      </c>
    </row>
    <row r="23" spans="2:13" x14ac:dyDescent="0.15">
      <c r="B23" s="120" t="s">
        <v>1206</v>
      </c>
      <c r="C23" s="104" t="s">
        <v>1128</v>
      </c>
      <c r="D23" s="104" t="s">
        <v>1128</v>
      </c>
      <c r="E23" s="104" t="s">
        <v>1128</v>
      </c>
      <c r="F23" s="108" t="s">
        <v>1128</v>
      </c>
      <c r="G23" s="108" t="e">
        <f>+G21-G22</f>
        <v>#DIV/0!</v>
      </c>
      <c r="H23" s="104" t="s">
        <v>1128</v>
      </c>
    </row>
    <row r="26" spans="2:13" ht="23" x14ac:dyDescent="0.15">
      <c r="B26" s="394" t="s">
        <v>1136</v>
      </c>
      <c r="C26" s="395"/>
      <c r="D26" s="395"/>
      <c r="E26" s="395"/>
      <c r="F26" s="396"/>
      <c r="G26" s="397"/>
      <c r="H26" s="398"/>
      <c r="I26" s="397"/>
      <c r="J26" s="398"/>
      <c r="K26" s="398"/>
    </row>
    <row r="27" spans="2:13" ht="83.25" customHeight="1" x14ac:dyDescent="0.15">
      <c r="B27" s="88"/>
      <c r="C27" s="227" t="s">
        <v>1137</v>
      </c>
      <c r="D27" s="227" t="s">
        <v>1138</v>
      </c>
      <c r="E27" s="227" t="s">
        <v>1139</v>
      </c>
      <c r="F27" s="227" t="s">
        <v>1140</v>
      </c>
      <c r="G27" s="227" t="s">
        <v>1141</v>
      </c>
      <c r="H27" s="227" t="s">
        <v>1142</v>
      </c>
      <c r="I27" s="227" t="s">
        <v>1143</v>
      </c>
      <c r="J27" s="227" t="s">
        <v>1144</v>
      </c>
      <c r="K27" s="227" t="s">
        <v>1145</v>
      </c>
    </row>
    <row r="28" spans="2:13" x14ac:dyDescent="0.15">
      <c r="B28" s="66" t="str">
        <f>B6</f>
        <v>Hammersmith, Fulham, Kensington, Chelsea and Westminster</v>
      </c>
      <c r="C28" s="89">
        <f>SUMIFS('capacity data'!I:I,'capacity data'!B:B,'cluster overview'!B6,'capacity data'!E:E,"PO")</f>
        <v>0</v>
      </c>
      <c r="D28" s="90">
        <f>SUMIFS('capacity data'!J:J,'capacity data'!B:B,'cluster overview'!B6,'capacity data'!E:E,"PO")</f>
        <v>0</v>
      </c>
      <c r="E28" s="91" t="e">
        <f>D28/C28</f>
        <v>#DIV/0!</v>
      </c>
      <c r="F28" s="90">
        <f>SUMIFS('capacity data'!I:I,'capacity data'!B:B,'cluster overview'!B6,'capacity data'!E:E,"PSO")</f>
        <v>0</v>
      </c>
      <c r="G28" s="90">
        <f>SUMIFS('capacity data'!J:J,'capacity data'!B:B,'cluster overview'!B6,'capacity data'!E:E,"PSO")</f>
        <v>0</v>
      </c>
      <c r="H28" s="91" t="str">
        <f>IFERROR(G28/F28,"N/A")</f>
        <v>N/A</v>
      </c>
      <c r="I28" s="90">
        <f>SUMIFS('capacity data'!I:I,'capacity data'!B:B,'cluster overview'!B6,'capacity data'!E:E,"TPO")</f>
        <v>0</v>
      </c>
      <c r="J28" s="92">
        <f>SUMIFS('capacity data'!J:J,'capacity data'!B:B,'cluster overview'!B6,'capacity data'!E:E,"TPO")</f>
        <v>0</v>
      </c>
      <c r="K28" s="91" t="str">
        <f>IFERROR(J28/I28,"N/A")</f>
        <v>N/A</v>
      </c>
    </row>
    <row r="29" spans="2:13" x14ac:dyDescent="0.15">
      <c r="B29" s="110" t="s">
        <v>1223</v>
      </c>
      <c r="C29" s="112">
        <f>SUMIF('capacity data'!E:E,"PO",'capacity data'!I:I)</f>
        <v>0</v>
      </c>
      <c r="D29" s="112">
        <f>SUMIF('capacity data'!E:E,"PO",'capacity data'!J:J)</f>
        <v>0</v>
      </c>
      <c r="E29" s="113" t="e">
        <f>D29/C29</f>
        <v>#DIV/0!</v>
      </c>
      <c r="F29" s="112">
        <f>SUMIF('capacity data'!E:E,"PSO",'capacity data'!I:I)</f>
        <v>0</v>
      </c>
      <c r="G29" s="112">
        <f>SUMIF('capacity data'!E:E,"PSO",'capacity data'!J:J)</f>
        <v>0</v>
      </c>
      <c r="H29" s="113" t="e">
        <f>G29/F29</f>
        <v>#DIV/0!</v>
      </c>
      <c r="I29" s="112">
        <f>SUMIF('capacity data'!E:E,"TPO",'capacity data'!I:I)</f>
        <v>0</v>
      </c>
      <c r="J29" s="112">
        <f>SUMIF('capacity data'!E:E,"TPO",'capacity data'!J:J)</f>
        <v>0</v>
      </c>
      <c r="K29" s="113" t="e">
        <f>J29/I29</f>
        <v>#DIV/0!</v>
      </c>
    </row>
    <row r="30" spans="2:13" x14ac:dyDescent="0.15">
      <c r="B30" s="109" t="s">
        <v>1206</v>
      </c>
      <c r="C30" s="104" t="s">
        <v>1128</v>
      </c>
      <c r="D30" s="104" t="s">
        <v>1128</v>
      </c>
      <c r="E30" s="103" t="e">
        <f>+E28-E29</f>
        <v>#DIV/0!</v>
      </c>
      <c r="F30" s="104" t="s">
        <v>1128</v>
      </c>
      <c r="G30" s="104" t="s">
        <v>1128</v>
      </c>
      <c r="H30" s="103" t="str">
        <f>IFERROR(+H28-H29,"N/A")</f>
        <v>N/A</v>
      </c>
      <c r="I30" s="104" t="s">
        <v>1128</v>
      </c>
      <c r="J30" s="104" t="s">
        <v>1128</v>
      </c>
      <c r="K30" s="103" t="str">
        <f>IFERROR(+K28-K29,"N/A")</f>
        <v>N/A</v>
      </c>
    </row>
    <row r="32" spans="2:13" ht="37.5" customHeight="1" x14ac:dyDescent="0.15">
      <c r="B32" s="407" t="s">
        <v>1224</v>
      </c>
      <c r="C32" s="408"/>
      <c r="D32" s="408"/>
      <c r="F32" s="409" t="s">
        <v>1225</v>
      </c>
      <c r="G32" s="410"/>
    </row>
    <row r="33" spans="1:7" ht="60.75" customHeight="1" x14ac:dyDescent="0.15">
      <c r="B33" s="80" t="s">
        <v>1226</v>
      </c>
      <c r="C33" s="227" t="s">
        <v>1227</v>
      </c>
      <c r="D33" s="227" t="s">
        <v>1228</v>
      </c>
      <c r="E33" s="68"/>
      <c r="F33" s="223" t="s">
        <v>1229</v>
      </c>
      <c r="G33" s="222">
        <f>COUNTIFS('reductions data'!B:B,'cluster overview'!B6,'reductions data'!K:K,"ACTIVE")</f>
        <v>0</v>
      </c>
    </row>
    <row r="34" spans="1:7" x14ac:dyDescent="0.15">
      <c r="B34" s="116" t="s">
        <v>1050</v>
      </c>
      <c r="C34" s="93">
        <f>COUNTIFS('reductions data'!B:B,'cluster overview'!$B$6,'reductions data'!G:G,'cluster overview'!B34)</f>
        <v>0</v>
      </c>
      <c r="D34" s="94">
        <f>SUMIFS('reductions data'!H:H,'reductions data'!B:B,'cluster overview'!$B$6,'reductions data'!$G:$G,'cluster overview'!B34)</f>
        <v>0</v>
      </c>
      <c r="E34" s="68"/>
      <c r="F34" s="405" t="s">
        <v>1230</v>
      </c>
      <c r="G34" s="406">
        <f>SUMIF('reductions data'!B:B,'cluster overview'!B6,'reductions data'!H:H)</f>
        <v>0</v>
      </c>
    </row>
    <row r="35" spans="1:7" x14ac:dyDescent="0.15">
      <c r="B35" s="117" t="s">
        <v>1052</v>
      </c>
      <c r="C35" s="93">
        <f>COUNTIFS('reductions data'!B:B,'cluster overview'!$B$6,'reductions data'!G:G,'cluster overview'!B35)</f>
        <v>0</v>
      </c>
      <c r="D35" s="94">
        <f>SUMIFS('reductions data'!H:H,'reductions data'!B:B,'cluster overview'!$B$6,'reductions data'!$G:$G,'cluster overview'!B35)</f>
        <v>0</v>
      </c>
      <c r="E35" s="68"/>
      <c r="F35" s="368"/>
      <c r="G35" s="368"/>
    </row>
    <row r="36" spans="1:7" x14ac:dyDescent="0.15">
      <c r="B36" s="117" t="s">
        <v>1051</v>
      </c>
      <c r="C36" s="93">
        <f>COUNTIFS('reductions data'!B:B,'cluster overview'!$B$6,'reductions data'!G:G,'cluster overview'!B36)</f>
        <v>0</v>
      </c>
      <c r="D36" s="94">
        <f>SUMIFS('reductions data'!H:H,'reductions data'!B:B,'cluster overview'!$B$6,'reductions data'!$G:$G,'cluster overview'!B36)</f>
        <v>0</v>
      </c>
      <c r="E36" s="95"/>
      <c r="F36" s="368"/>
      <c r="G36" s="368"/>
    </row>
    <row r="37" spans="1:7" x14ac:dyDescent="0.15">
      <c r="B37" s="117" t="s">
        <v>1053</v>
      </c>
      <c r="C37" s="93">
        <f>COUNTIFS('reductions data'!B:B,'cluster overview'!$B$6,'reductions data'!G:G,'cluster overview'!B37)</f>
        <v>0</v>
      </c>
      <c r="D37" s="94">
        <f>SUMIFS('reductions data'!H:H,'reductions data'!B:B,'cluster overview'!$B$6,'reductions data'!$G:$G,'cluster overview'!B37)</f>
        <v>0</v>
      </c>
      <c r="E37" s="95"/>
      <c r="F37" s="411" t="s">
        <v>1231</v>
      </c>
      <c r="G37" s="406">
        <f>SUMIF('capacity data'!B:B,'cluster overview'!B6,'capacity data'!I:I)</f>
        <v>0</v>
      </c>
    </row>
    <row r="38" spans="1:7" x14ac:dyDescent="0.15">
      <c r="B38" s="117" t="s">
        <v>1054</v>
      </c>
      <c r="C38" s="93">
        <f>COUNTIFS('reductions data'!B:B,'cluster overview'!$B$6,'reductions data'!G:G,'cluster overview'!B38)</f>
        <v>0</v>
      </c>
      <c r="D38" s="94">
        <f>SUMIFS('reductions data'!H:H,'reductions data'!B:B,'cluster overview'!$B$6,'reductions data'!$G:$G,'cluster overview'!B38)</f>
        <v>0</v>
      </c>
      <c r="E38" s="95"/>
      <c r="F38" s="368"/>
      <c r="G38" s="368"/>
    </row>
    <row r="39" spans="1:7" x14ac:dyDescent="0.15">
      <c r="B39" s="117" t="s">
        <v>1055</v>
      </c>
      <c r="C39" s="93">
        <f>COUNTIFS('reductions data'!B:B,'cluster overview'!$B$6,'reductions data'!G:G,'cluster overview'!B39)</f>
        <v>0</v>
      </c>
      <c r="D39" s="94">
        <f>SUMIFS('reductions data'!H:H,'reductions data'!B:B,'cluster overview'!$B$6,'reductions data'!$G:$G,'cluster overview'!B39)</f>
        <v>0</v>
      </c>
      <c r="E39" s="95"/>
      <c r="F39" s="368"/>
      <c r="G39" s="368"/>
    </row>
    <row r="40" spans="1:7" x14ac:dyDescent="0.15">
      <c r="B40" s="117" t="s">
        <v>1056</v>
      </c>
      <c r="C40" s="93">
        <f>COUNTIFS('reductions data'!B:B,'cluster overview'!$B$6,'reductions data'!G:G,'cluster overview'!B40)</f>
        <v>0</v>
      </c>
      <c r="D40" s="94">
        <f>SUMIFS('reductions data'!H:H,'reductions data'!B:B,'cluster overview'!$B$6,'reductions data'!$G:$G,'cluster overview'!B40)</f>
        <v>0</v>
      </c>
      <c r="E40" s="95"/>
      <c r="F40" s="232"/>
      <c r="G40" s="232"/>
    </row>
    <row r="41" spans="1:7" ht="15.75" customHeight="1" x14ac:dyDescent="0.15">
      <c r="A41" s="95"/>
      <c r="B41" s="117" t="s">
        <v>1057</v>
      </c>
      <c r="C41" s="93">
        <f>COUNTIFS('reductions data'!B:B,'cluster overview'!$B$6,'reductions data'!G:G,'cluster overview'!B41)</f>
        <v>0</v>
      </c>
      <c r="D41" s="94">
        <f>SUMIFS('reductions data'!H:H,'reductions data'!B:B,'cluster overview'!$B$6,'reductions data'!$G:$G,'cluster overview'!B41)</f>
        <v>0</v>
      </c>
      <c r="E41" s="95"/>
      <c r="F41" s="412" t="s">
        <v>1232</v>
      </c>
      <c r="G41" s="414" t="e">
        <f>G34/G37</f>
        <v>#DIV/0!</v>
      </c>
    </row>
    <row r="42" spans="1:7" ht="15.75" customHeight="1" x14ac:dyDescent="0.15">
      <c r="A42" s="95"/>
      <c r="B42" s="117" t="s">
        <v>1444</v>
      </c>
      <c r="C42" s="93">
        <f>COUNTIFS('reductions data'!B:B,'cluster overview'!$B$6,'reductions data'!G:G,'cluster overview'!B42)</f>
        <v>0</v>
      </c>
      <c r="D42" s="94">
        <f>SUMIFS('reductions data'!H:H,'reductions data'!B:B,'cluster overview'!$B$6,'reductions data'!$G:$G,'cluster overview'!B42)</f>
        <v>0</v>
      </c>
      <c r="E42" s="95"/>
      <c r="F42" s="413"/>
      <c r="G42" s="415"/>
    </row>
    <row r="43" spans="1:7" x14ac:dyDescent="0.15">
      <c r="B43" s="117" t="s">
        <v>1058</v>
      </c>
      <c r="C43" s="93">
        <f>COUNTIFS('reductions data'!B:B,'cluster overview'!$B$6,'reductions data'!G:G,'cluster overview'!B43)</f>
        <v>0</v>
      </c>
      <c r="D43" s="94">
        <f>SUMIFS('reductions data'!H:H,'reductions data'!B:B,'cluster overview'!$B$6,'reductions data'!$G:$G,'cluster overview'!B43)</f>
        <v>0</v>
      </c>
      <c r="E43" s="95"/>
      <c r="F43" s="400"/>
      <c r="G43" s="403"/>
    </row>
    <row r="44" spans="1:7" x14ac:dyDescent="0.15">
      <c r="B44" s="117" t="s">
        <v>1059</v>
      </c>
      <c r="C44" s="93">
        <f>COUNTIFS('reductions data'!B:B,'cluster overview'!$B$6,'reductions data'!G:G,'cluster overview'!B44)</f>
        <v>0</v>
      </c>
      <c r="D44" s="94">
        <f>SUMIFS('reductions data'!H:H,'reductions data'!B:B,'cluster overview'!$B$6,'reductions data'!$G:$G,'cluster overview'!B44)</f>
        <v>0</v>
      </c>
      <c r="E44" s="95"/>
      <c r="F44" s="400"/>
      <c r="G44" s="403"/>
    </row>
    <row r="45" spans="1:7" x14ac:dyDescent="0.15">
      <c r="B45" s="117" t="s">
        <v>1060</v>
      </c>
      <c r="C45" s="93">
        <f>COUNTIFS('reductions data'!B:B,'cluster overview'!$B$6,'reductions data'!G:G,'cluster overview'!B45)</f>
        <v>0</v>
      </c>
      <c r="D45" s="94">
        <f>SUMIFS('reductions data'!H:H,'reductions data'!B:B,'cluster overview'!$B$6,'reductions data'!$G:$G,'cluster overview'!B45)</f>
        <v>0</v>
      </c>
      <c r="E45" s="95"/>
      <c r="F45" s="400"/>
      <c r="G45" s="403"/>
    </row>
    <row r="46" spans="1:7" x14ac:dyDescent="0.15">
      <c r="B46" s="117" t="s">
        <v>1061</v>
      </c>
      <c r="C46" s="93">
        <f>COUNTIFS('reductions data'!B:B,'cluster overview'!$B$6,'reductions data'!G:G,'cluster overview'!B46)</f>
        <v>0</v>
      </c>
      <c r="D46" s="94">
        <f>SUMIFS('reductions data'!H:H,'reductions data'!B:B,'cluster overview'!$B$6,'reductions data'!$G:$G,'cluster overview'!B46)</f>
        <v>0</v>
      </c>
      <c r="E46" s="95"/>
      <c r="F46" s="401"/>
      <c r="G46" s="404"/>
    </row>
    <row r="47" spans="1:7" ht="15.75" customHeight="1" x14ac:dyDescent="0.15">
      <c r="B47" s="117" t="s">
        <v>1063</v>
      </c>
      <c r="C47" s="93">
        <f>COUNTIFS('reductions data'!B:B,'cluster overview'!$B$6,'reductions data'!G:G,'cluster overview'!B47)</f>
        <v>0</v>
      </c>
      <c r="D47" s="94">
        <f>SUMIFS('reductions data'!H:H,'reductions data'!B:B,'cluster overview'!$B$6,'reductions data'!$G:$G,'cluster overview'!B47)</f>
        <v>0</v>
      </c>
      <c r="E47" s="95"/>
      <c r="F47" s="399" t="s">
        <v>1233</v>
      </c>
      <c r="G47" s="402" t="e">
        <f>+G41-'div &amp; regional reduction hours'!N18</f>
        <v>#DIV/0!</v>
      </c>
    </row>
    <row r="48" spans="1:7" x14ac:dyDescent="0.15">
      <c r="B48" s="117" t="s">
        <v>1066</v>
      </c>
      <c r="C48" s="93">
        <f>COUNTIFS('reductions data'!B:B,'cluster overview'!$B$6,'reductions data'!G:G,'cluster overview'!B48)</f>
        <v>0</v>
      </c>
      <c r="D48" s="94">
        <f>SUMIFS('reductions data'!H:H,'reductions data'!B:B,'cluster overview'!$B$6,'reductions data'!$G:$G,'cluster overview'!B48)</f>
        <v>0</v>
      </c>
      <c r="E48" s="95"/>
      <c r="F48" s="400"/>
      <c r="G48" s="403"/>
    </row>
    <row r="49" spans="2:7" x14ac:dyDescent="0.15">
      <c r="B49" s="117" t="s">
        <v>1062</v>
      </c>
      <c r="C49" s="93">
        <f>COUNTIFS('reductions data'!B:B,'cluster overview'!$B$6,'reductions data'!G:G,'cluster overview'!B49)</f>
        <v>0</v>
      </c>
      <c r="D49" s="94">
        <f>SUMIFS('reductions data'!H:H,'reductions data'!B:B,'cluster overview'!$B$6,'reductions data'!$G:$G,'cluster overview'!B49)</f>
        <v>0</v>
      </c>
      <c r="E49" s="95"/>
      <c r="F49" s="400"/>
      <c r="G49" s="403"/>
    </row>
    <row r="50" spans="2:7" x14ac:dyDescent="0.15">
      <c r="B50" s="117" t="s">
        <v>1157</v>
      </c>
      <c r="C50" s="93">
        <f>COUNTIFS('reductions data'!B:B,'cluster overview'!$B$6,'reductions data'!G:G,'cluster overview'!B50)</f>
        <v>0</v>
      </c>
      <c r="D50" s="94">
        <f>SUMIFS('reductions data'!H:H,'reductions data'!B:B,'cluster overview'!$B$6,'reductions data'!$G:$G,'cluster overview'!B50)</f>
        <v>0</v>
      </c>
      <c r="E50" s="95"/>
      <c r="F50" s="400"/>
      <c r="G50" s="403"/>
    </row>
    <row r="51" spans="2:7" x14ac:dyDescent="0.15">
      <c r="B51" s="117" t="s">
        <v>1067</v>
      </c>
      <c r="C51" s="93">
        <f>COUNTIFS('reductions data'!B:B,'cluster overview'!$B$6,'reductions data'!G:G,'cluster overview'!B51)</f>
        <v>0</v>
      </c>
      <c r="D51" s="94">
        <f>SUMIFS('reductions data'!H:H,'reductions data'!B:B,'cluster overview'!$B$6,'reductions data'!$G:$G,'cluster overview'!B51)</f>
        <v>0</v>
      </c>
      <c r="E51" s="95"/>
      <c r="F51" s="401"/>
      <c r="G51" s="404"/>
    </row>
    <row r="52" spans="2:7" x14ac:dyDescent="0.15">
      <c r="B52" s="117" t="s">
        <v>1068</v>
      </c>
      <c r="C52" s="93">
        <f>COUNTIFS('reductions data'!B:B,'cluster overview'!$B$6,'reductions data'!G:G,'cluster overview'!B52)</f>
        <v>0</v>
      </c>
      <c r="D52" s="94">
        <f>SUMIFS('reductions data'!H:H,'reductions data'!B:B,'cluster overview'!$B$6,'reductions data'!$G:$G,'cluster overview'!B52)</f>
        <v>0</v>
      </c>
      <c r="E52" s="95"/>
      <c r="F52" s="95"/>
      <c r="G52" s="68"/>
    </row>
    <row r="53" spans="2:7" x14ac:dyDescent="0.15">
      <c r="B53" s="117" t="s">
        <v>1069</v>
      </c>
      <c r="C53" s="93">
        <f>COUNTIFS('reductions data'!B:B,'cluster overview'!$B$6,'reductions data'!G:G,'cluster overview'!B53)</f>
        <v>0</v>
      </c>
      <c r="D53" s="94">
        <f>SUMIFS('reductions data'!H:H,'reductions data'!B:B,'cluster overview'!$B$6,'reductions data'!$G:$G,'cluster overview'!B53)</f>
        <v>0</v>
      </c>
      <c r="E53" s="95"/>
      <c r="F53" s="95"/>
      <c r="G53" s="68"/>
    </row>
    <row r="54" spans="2:7" x14ac:dyDescent="0.15">
      <c r="B54" s="117" t="s">
        <v>1070</v>
      </c>
      <c r="C54" s="93">
        <f>COUNTIFS('reductions data'!B:B,'cluster overview'!$B$6,'reductions data'!G:G,'cluster overview'!B54)</f>
        <v>0</v>
      </c>
      <c r="D54" s="94">
        <f>SUMIFS('reductions data'!H:H,'reductions data'!B:B,'cluster overview'!$B$6,'reductions data'!$G:$G,'cluster overview'!B54)</f>
        <v>0</v>
      </c>
      <c r="E54" s="95"/>
      <c r="F54" s="95"/>
      <c r="G54" s="68"/>
    </row>
    <row r="55" spans="2:7" x14ac:dyDescent="0.15">
      <c r="B55" s="117" t="s">
        <v>1071</v>
      </c>
      <c r="C55" s="93">
        <f>COUNTIFS('reductions data'!B:B,'cluster overview'!$B$6,'reductions data'!G:G,'cluster overview'!B55)</f>
        <v>0</v>
      </c>
      <c r="D55" s="94">
        <f>SUMIFS('reductions data'!H:H,'reductions data'!B:B,'cluster overview'!$B$6,'reductions data'!$G:$G,'cluster overview'!B55)</f>
        <v>0</v>
      </c>
      <c r="E55" s="95"/>
      <c r="F55" s="95"/>
      <c r="G55" s="68"/>
    </row>
    <row r="56" spans="2:7" x14ac:dyDescent="0.15">
      <c r="B56" s="117" t="s">
        <v>1072</v>
      </c>
      <c r="C56" s="93">
        <f>COUNTIFS('reductions data'!B:B,'cluster overview'!$B$6,'reductions data'!G:G,'cluster overview'!B56)</f>
        <v>0</v>
      </c>
      <c r="D56" s="94">
        <f>SUMIFS('reductions data'!H:H,'reductions data'!B:B,'cluster overview'!$B$6,'reductions data'!$G:$G,'cluster overview'!B56)</f>
        <v>0</v>
      </c>
      <c r="E56" s="95"/>
      <c r="F56" s="95"/>
      <c r="G56" s="68"/>
    </row>
    <row r="57" spans="2:7" x14ac:dyDescent="0.15">
      <c r="B57" s="117" t="s">
        <v>1073</v>
      </c>
      <c r="C57" s="93">
        <f>COUNTIFS('reductions data'!B:B,'cluster overview'!$B$6,'reductions data'!G:G,'cluster overview'!B57)</f>
        <v>0</v>
      </c>
      <c r="D57" s="94">
        <f>SUMIFS('reductions data'!H:H,'reductions data'!B:B,'cluster overview'!$B$6,'reductions data'!$G:$G,'cluster overview'!B57)</f>
        <v>0</v>
      </c>
      <c r="E57" s="95"/>
      <c r="F57" s="95"/>
      <c r="G57" s="68"/>
    </row>
    <row r="58" spans="2:7" ht="16.5" customHeight="1" x14ac:dyDescent="0.15">
      <c r="B58" s="117" t="s">
        <v>1075</v>
      </c>
      <c r="C58" s="93">
        <f>COUNTIFS('reductions data'!B:B,'cluster overview'!$B$6,'reductions data'!G:G,'cluster overview'!B58)</f>
        <v>0</v>
      </c>
      <c r="D58" s="94">
        <f>SUMIFS('reductions data'!H:H,'reductions data'!B:B,'cluster overview'!$B$6,'reductions data'!$G:$G,'cluster overview'!B58)</f>
        <v>0</v>
      </c>
      <c r="E58" s="95"/>
      <c r="F58" s="95"/>
      <c r="G58" s="68"/>
    </row>
    <row r="59" spans="2:7" x14ac:dyDescent="0.15">
      <c r="B59" s="117" t="s">
        <v>1077</v>
      </c>
      <c r="C59" s="93">
        <f>COUNTIFS('reductions data'!B:B,'cluster overview'!$B$6,'reductions data'!G:G,'cluster overview'!B59)</f>
        <v>0</v>
      </c>
      <c r="D59" s="94">
        <f>SUMIFS('reductions data'!H:H,'reductions data'!B:B,'cluster overview'!$B$6,'reductions data'!$G:$G,'cluster overview'!B59)</f>
        <v>0</v>
      </c>
      <c r="E59" s="95"/>
      <c r="F59" s="95"/>
      <c r="G59" s="68"/>
    </row>
    <row r="60" spans="2:7" x14ac:dyDescent="0.15">
      <c r="B60" s="117" t="s">
        <v>1079</v>
      </c>
      <c r="C60" s="93">
        <f>COUNTIFS('reductions data'!B:B,'cluster overview'!$B$6,'reductions data'!G:G,'cluster overview'!B60)</f>
        <v>0</v>
      </c>
      <c r="D60" s="94">
        <f>SUMIFS('reductions data'!H:H,'reductions data'!B:B,'cluster overview'!$B$6,'reductions data'!$G:$G,'cluster overview'!B60)</f>
        <v>0</v>
      </c>
      <c r="E60" s="95"/>
      <c r="F60" s="95"/>
      <c r="G60" s="68"/>
    </row>
    <row r="61" spans="2:7" x14ac:dyDescent="0.15">
      <c r="B61" s="117" t="s">
        <v>1437</v>
      </c>
      <c r="C61" s="93">
        <f>COUNTIFS('reductions data'!B:B,'cluster overview'!$B$6,'reductions data'!G:G,'cluster overview'!B61)</f>
        <v>0</v>
      </c>
      <c r="D61" s="94">
        <f>SUMIFS('reductions data'!H:H,'reductions data'!B:B,'cluster overview'!$B$6,'reductions data'!$G:$G,'cluster overview'!B61)</f>
        <v>0</v>
      </c>
      <c r="E61" s="95"/>
      <c r="F61" s="95"/>
      <c r="G61" s="68"/>
    </row>
    <row r="62" spans="2:7" x14ac:dyDescent="0.15">
      <c r="B62" s="117" t="s">
        <v>1438</v>
      </c>
      <c r="C62" s="93">
        <f>COUNTIFS('reductions data'!B:B,'cluster overview'!$B$6,'reductions data'!G:G,'cluster overview'!B62)</f>
        <v>0</v>
      </c>
      <c r="D62" s="94">
        <f>SUMIFS('reductions data'!H:H,'reductions data'!B:B,'cluster overview'!$B$6,'reductions data'!$G:$G,'cluster overview'!B62)</f>
        <v>0</v>
      </c>
      <c r="E62" s="95"/>
      <c r="F62" s="95"/>
      <c r="G62" s="68"/>
    </row>
    <row r="63" spans="2:7" x14ac:dyDescent="0.15">
      <c r="B63" s="342" t="s">
        <v>1434</v>
      </c>
      <c r="C63" s="93">
        <f>COUNTIFS('reductions data'!B:B,'cluster overview'!$B$6,'reductions data'!G:G,'cluster overview'!B63)</f>
        <v>0</v>
      </c>
      <c r="D63" s="94">
        <f>SUMIFS('reductions data'!H:H,'reductions data'!B:B,'cluster overview'!$B$6,'reductions data'!$G:$G,'cluster overview'!B63)</f>
        <v>0</v>
      </c>
      <c r="E63" s="95"/>
      <c r="F63" s="95"/>
      <c r="G63" s="68"/>
    </row>
    <row r="64" spans="2:7" x14ac:dyDescent="0.15">
      <c r="B64" s="342" t="s">
        <v>1435</v>
      </c>
      <c r="C64" s="93">
        <f>COUNTIFS('reductions data'!B:B,'cluster overview'!$B$6,'reductions data'!G:G,'cluster overview'!B64)</f>
        <v>0</v>
      </c>
      <c r="D64" s="94">
        <f>SUMIFS('reductions data'!H:H,'reductions data'!B:B,'cluster overview'!$B$6,'reductions data'!$G:$G,'cluster overview'!B64)</f>
        <v>0</v>
      </c>
      <c r="E64" s="95"/>
      <c r="F64" s="95"/>
      <c r="G64" s="68"/>
    </row>
    <row r="65" spans="2:7" x14ac:dyDescent="0.15">
      <c r="B65" s="342" t="s">
        <v>1445</v>
      </c>
      <c r="C65" s="93">
        <f>COUNTIFS('reductions data'!B:B,'cluster overview'!$B$6,'reductions data'!G:G,'cluster overview'!B65)</f>
        <v>0</v>
      </c>
      <c r="D65" s="94">
        <f>SUMIFS('reductions data'!H:H,'reductions data'!B:B,'cluster overview'!$B$6,'reductions data'!$G:$G,'cluster overview'!B65)</f>
        <v>0</v>
      </c>
      <c r="E65" s="95"/>
      <c r="F65" s="95"/>
      <c r="G65" s="68"/>
    </row>
    <row r="66" spans="2:7" x14ac:dyDescent="0.15">
      <c r="B66" s="117" t="s">
        <v>1076</v>
      </c>
      <c r="C66" s="93">
        <f>COUNTIFS('reductions data'!B:B,'cluster overview'!$B$6,'reductions data'!G:G,'cluster overview'!B66)</f>
        <v>0</v>
      </c>
      <c r="D66" s="94">
        <f>SUMIFS('reductions data'!H:H,'reductions data'!B:B,'cluster overview'!$B$6,'reductions data'!$G:$G,'cluster overview'!B66)</f>
        <v>0</v>
      </c>
      <c r="E66" s="95"/>
      <c r="F66" s="95"/>
      <c r="G66" s="68"/>
    </row>
    <row r="67" spans="2:7" x14ac:dyDescent="0.15">
      <c r="B67" s="117" t="s">
        <v>1081</v>
      </c>
      <c r="C67" s="93">
        <f>COUNTIFS('reductions data'!B:B,'cluster overview'!$B$6,'reductions data'!G:G,'cluster overview'!B67)</f>
        <v>0</v>
      </c>
      <c r="D67" s="94">
        <f>SUMIFS('reductions data'!H:H,'reductions data'!B:B,'cluster overview'!$B$6,'reductions data'!$G:$G,'cluster overview'!B67)</f>
        <v>0</v>
      </c>
      <c r="E67" s="95"/>
      <c r="F67" s="95"/>
      <c r="G67" s="68"/>
    </row>
    <row r="68" spans="2:7" x14ac:dyDescent="0.15">
      <c r="B68" s="117" t="s">
        <v>1078</v>
      </c>
      <c r="C68" s="93">
        <f>COUNTIFS('reductions data'!B:B,'cluster overview'!$B$6,'reductions data'!G:G,'cluster overview'!B68)</f>
        <v>0</v>
      </c>
      <c r="D68" s="94">
        <f>SUMIFS('reductions data'!H:H,'reductions data'!B:B,'cluster overview'!$B$6,'reductions data'!$G:$G,'cluster overview'!B68)</f>
        <v>0</v>
      </c>
      <c r="E68" s="95"/>
      <c r="F68" s="95"/>
      <c r="G68" s="68"/>
    </row>
    <row r="69" spans="2:7" ht="15" thickBot="1" x14ac:dyDescent="0.2">
      <c r="B69" s="346" t="s">
        <v>1441</v>
      </c>
      <c r="C69" s="93">
        <f>COUNTIFS('reductions data'!B:B,'cluster overview'!$B$6,'reductions data'!G:G,'cluster overview'!B69)</f>
        <v>0</v>
      </c>
      <c r="D69" s="94">
        <f>SUMIFS('reductions data'!H:H,'reductions data'!B:B,'cluster overview'!$B$6,'reductions data'!$G:$G,'cluster overview'!B69)</f>
        <v>0</v>
      </c>
      <c r="E69" s="95"/>
      <c r="F69" s="95"/>
      <c r="G69" s="68"/>
    </row>
    <row r="70" spans="2:7" ht="15" thickBot="1" x14ac:dyDescent="0.2">
      <c r="B70" s="346" t="s">
        <v>1442</v>
      </c>
      <c r="C70" s="93">
        <f>COUNTIFS('reductions data'!B:B,'cluster overview'!$B$6,'reductions data'!G:G,'cluster overview'!B70)</f>
        <v>0</v>
      </c>
      <c r="D70" s="94">
        <f>SUMIFS('reductions data'!H:H,'reductions data'!B:B,'cluster overview'!$B$6,'reductions data'!$G:$G,'cluster overview'!B70)</f>
        <v>0</v>
      </c>
      <c r="E70" s="95"/>
      <c r="F70" s="95"/>
      <c r="G70" s="68"/>
    </row>
    <row r="71" spans="2:7" ht="15" thickBot="1" x14ac:dyDescent="0.2">
      <c r="B71" s="346" t="s">
        <v>1446</v>
      </c>
      <c r="C71" s="93">
        <f>COUNTIFS('reductions data'!B:B,'cluster overview'!$B$6,'reductions data'!G:G,'cluster overview'!B71)</f>
        <v>0</v>
      </c>
      <c r="D71" s="94">
        <f>SUMIFS('reductions data'!H:H,'reductions data'!B:B,'cluster overview'!$B$6,'reductions data'!$G:$G,'cluster overview'!B71)</f>
        <v>0</v>
      </c>
      <c r="E71" s="95"/>
      <c r="F71" s="95"/>
      <c r="G71" s="68"/>
    </row>
    <row r="72" spans="2:7" x14ac:dyDescent="0.15">
      <c r="B72" s="116" t="s">
        <v>1439</v>
      </c>
      <c r="C72" s="93">
        <f>COUNTIFS('reductions data'!B:B,'cluster overview'!$B$6,'reductions data'!G:G,'cluster overview'!B72)</f>
        <v>0</v>
      </c>
      <c r="D72" s="94">
        <f>SUMIFS('reductions data'!H:H,'reductions data'!B:B,'cluster overview'!$B$6,'reductions data'!$G:$G,'cluster overview'!B72)</f>
        <v>0</v>
      </c>
      <c r="E72" s="95"/>
      <c r="F72" s="95"/>
      <c r="G72" s="68"/>
    </row>
    <row r="73" spans="2:7" x14ac:dyDescent="0.15">
      <c r="B73" s="117" t="s">
        <v>1440</v>
      </c>
      <c r="C73" s="93">
        <f>COUNTIFS('reductions data'!B:B,'cluster overview'!$B$6,'reductions data'!G:G,'cluster overview'!B73)</f>
        <v>0</v>
      </c>
      <c r="D73" s="94">
        <f>SUMIFS('reductions data'!H:H,'reductions data'!B:B,'cluster overview'!$B$6,'reductions data'!$G:$G,'cluster overview'!B73)</f>
        <v>0</v>
      </c>
      <c r="E73" s="95"/>
      <c r="F73" s="95"/>
      <c r="G73" s="68"/>
    </row>
    <row r="74" spans="2:7" x14ac:dyDescent="0.15">
      <c r="B74" s="117" t="s">
        <v>1082</v>
      </c>
      <c r="C74" s="93">
        <f>COUNTIFS('reductions data'!B:B,'cluster overview'!$B$6,'reductions data'!G:G,'cluster overview'!B74)</f>
        <v>0</v>
      </c>
      <c r="D74" s="94">
        <f>SUMIFS('reductions data'!H:H,'reductions data'!B:B,'cluster overview'!$B$6,'reductions data'!$G:$G,'cluster overview'!B74)</f>
        <v>0</v>
      </c>
      <c r="E74" s="95"/>
      <c r="F74" s="95"/>
      <c r="G74" s="68"/>
    </row>
    <row r="75" spans="2:7" x14ac:dyDescent="0.15">
      <c r="B75" s="117" t="s">
        <v>1083</v>
      </c>
      <c r="C75" s="93">
        <f>COUNTIFS('reductions data'!B:B,'cluster overview'!$B$6,'reductions data'!G:G,'cluster overview'!B75)</f>
        <v>0</v>
      </c>
      <c r="D75" s="94">
        <f>SUMIFS('reductions data'!H:H,'reductions data'!B:B,'cluster overview'!$B$6,'reductions data'!$G:$G,'cluster overview'!B75)</f>
        <v>0</v>
      </c>
      <c r="E75" s="95"/>
      <c r="F75" s="95"/>
      <c r="G75" s="68"/>
    </row>
    <row r="76" spans="2:7" x14ac:dyDescent="0.15">
      <c r="B76" s="117" t="s">
        <v>1084</v>
      </c>
      <c r="C76" s="93">
        <f>COUNTIFS('reductions data'!B:B,'cluster overview'!$B$6,'reductions data'!G:G,'cluster overview'!B76)</f>
        <v>0</v>
      </c>
      <c r="D76" s="94">
        <f>SUMIFS('reductions data'!H:H,'reductions data'!B:B,'cluster overview'!$B$6,'reductions data'!$G:$G,'cluster overview'!B76)</f>
        <v>0</v>
      </c>
      <c r="E76" s="95"/>
      <c r="F76" s="95"/>
      <c r="G76" s="68"/>
    </row>
    <row r="77" spans="2:7" x14ac:dyDescent="0.15">
      <c r="B77" s="117" t="s">
        <v>1085</v>
      </c>
      <c r="C77" s="93">
        <f>COUNTIFS('reductions data'!B:B,'cluster overview'!$B$6,'reductions data'!G:G,'cluster overview'!B77)</f>
        <v>0</v>
      </c>
      <c r="D77" s="94">
        <f>SUMIFS('reductions data'!H:H,'reductions data'!B:B,'cluster overview'!$B$6,'reductions data'!$G:$G,'cluster overview'!B77)</f>
        <v>0</v>
      </c>
      <c r="E77" s="95"/>
      <c r="F77" s="95"/>
      <c r="G77" s="68"/>
    </row>
    <row r="78" spans="2:7" x14ac:dyDescent="0.15">
      <c r="B78" s="117" t="s">
        <v>1086</v>
      </c>
      <c r="C78" s="93">
        <f>COUNTIFS('reductions data'!B:B,'cluster overview'!$B$6,'reductions data'!G:G,'cluster overview'!B78)</f>
        <v>0</v>
      </c>
      <c r="D78" s="94">
        <f>SUMIFS('reductions data'!H:H,'reductions data'!B:B,'cluster overview'!$B$6,'reductions data'!$G:$G,'cluster overview'!B78)</f>
        <v>0</v>
      </c>
      <c r="E78" s="95"/>
      <c r="F78" s="95"/>
      <c r="G78" s="68"/>
    </row>
    <row r="79" spans="2:7" x14ac:dyDescent="0.15">
      <c r="B79" s="117" t="s">
        <v>1087</v>
      </c>
      <c r="C79" s="93">
        <f>COUNTIFS('reductions data'!B:B,'cluster overview'!$B$6,'reductions data'!G:G,'cluster overview'!B79)</f>
        <v>0</v>
      </c>
      <c r="D79" s="94">
        <f>SUMIFS('reductions data'!H:H,'reductions data'!B:B,'cluster overview'!$B$6,'reductions data'!$G:$G,'cluster overview'!B79)</f>
        <v>0</v>
      </c>
      <c r="E79" s="95"/>
      <c r="F79" s="95"/>
      <c r="G79" s="68"/>
    </row>
    <row r="80" spans="2:7" x14ac:dyDescent="0.15">
      <c r="B80" s="117" t="s">
        <v>1074</v>
      </c>
      <c r="C80" s="93">
        <f>COUNTIFS('reductions data'!B:B,'cluster overview'!$B$6,'reductions data'!G:G,'cluster overview'!B80)</f>
        <v>0</v>
      </c>
      <c r="D80" s="94">
        <f>SUMIFS('reductions data'!H:H,'reductions data'!B:B,'cluster overview'!$B$6,'reductions data'!$G:$G,'cluster overview'!B80)</f>
        <v>0</v>
      </c>
      <c r="E80" s="95"/>
      <c r="F80" s="95"/>
      <c r="G80" s="68"/>
    </row>
    <row r="81" spans="2:19" x14ac:dyDescent="0.15">
      <c r="B81" s="117" t="s">
        <v>1091</v>
      </c>
      <c r="C81" s="93">
        <f>COUNTIFS('reductions data'!B:B,'cluster overview'!$B$6,'reductions data'!G:G,'cluster overview'!B81)</f>
        <v>0</v>
      </c>
      <c r="D81" s="94">
        <f>SUMIFS('reductions data'!H:H,'reductions data'!B:B,'cluster overview'!$B$6,'reductions data'!$G:$G,'cluster overview'!B81)</f>
        <v>0</v>
      </c>
      <c r="E81" s="95"/>
      <c r="F81" s="95"/>
      <c r="G81" s="68"/>
    </row>
    <row r="82" spans="2:19" x14ac:dyDescent="0.15">
      <c r="B82" s="117" t="s">
        <v>1092</v>
      </c>
      <c r="C82" s="93">
        <f>COUNTIFS('reductions data'!B:B,'cluster overview'!$B$6,'reductions data'!G:G,'cluster overview'!B82)</f>
        <v>0</v>
      </c>
      <c r="D82" s="94">
        <f>SUMIFS('reductions data'!H:H,'reductions data'!B:B,'cluster overview'!$B$6,'reductions data'!$G:$G,'cluster overview'!B82)</f>
        <v>0</v>
      </c>
      <c r="E82" s="95"/>
      <c r="F82" s="95"/>
      <c r="G82" s="68"/>
    </row>
    <row r="83" spans="2:19" x14ac:dyDescent="0.15">
      <c r="B83" s="117" t="s">
        <v>1093</v>
      </c>
      <c r="C83" s="93">
        <f>COUNTIFS('reductions data'!B:B,'cluster overview'!$B$6,'reductions data'!G:G,'cluster overview'!B83)</f>
        <v>0</v>
      </c>
      <c r="D83" s="94">
        <f>SUMIFS('reductions data'!H:H,'reductions data'!B:B,'cluster overview'!$B$6,'reductions data'!$G:$G,'cluster overview'!B83)</f>
        <v>0</v>
      </c>
      <c r="E83" s="95"/>
      <c r="F83" s="95"/>
      <c r="G83" s="68"/>
    </row>
    <row r="84" spans="2:19" x14ac:dyDescent="0.15">
      <c r="B84" s="117" t="s">
        <v>1094</v>
      </c>
      <c r="C84" s="93">
        <f>COUNTIFS('reductions data'!B:B,'cluster overview'!$B$6,'reductions data'!G:G,'cluster overview'!B84)</f>
        <v>0</v>
      </c>
      <c r="D84" s="94">
        <f>SUMIFS('reductions data'!H:H,'reductions data'!B:B,'cluster overview'!$B$6,'reductions data'!$G:$G,'cluster overview'!B84)</f>
        <v>0</v>
      </c>
      <c r="E84" s="95"/>
      <c r="F84" s="95"/>
      <c r="G84" s="68"/>
    </row>
    <row r="85" spans="2:19" x14ac:dyDescent="0.15">
      <c r="B85" s="117" t="s">
        <v>1095</v>
      </c>
      <c r="C85" s="93">
        <f>COUNTIFS('reductions data'!B:B,'cluster overview'!$B$6,'reductions data'!G:G,'cluster overview'!B85)</f>
        <v>0</v>
      </c>
      <c r="D85" s="94">
        <f>SUMIFS('reductions data'!H:H,'reductions data'!B:B,'cluster overview'!$B$6,'reductions data'!$G:$G,'cluster overview'!B85)</f>
        <v>0</v>
      </c>
      <c r="E85" s="95"/>
      <c r="F85" s="95"/>
      <c r="G85" s="68"/>
    </row>
    <row r="86" spans="2:19" x14ac:dyDescent="0.15">
      <c r="B86" s="117" t="s">
        <v>1096</v>
      </c>
      <c r="C86" s="93">
        <f>COUNTIFS('reductions data'!B:B,'cluster overview'!$B$6,'reductions data'!G:G,'cluster overview'!B86)</f>
        <v>0</v>
      </c>
      <c r="D86" s="94">
        <f>SUMIFS('reductions data'!H:H,'reductions data'!B:B,'cluster overview'!$B$6,'reductions data'!$G:$G,'cluster overview'!B86)</f>
        <v>0</v>
      </c>
      <c r="E86" s="95"/>
      <c r="F86" s="95"/>
      <c r="G86" s="68"/>
    </row>
    <row r="87" spans="2:19" x14ac:dyDescent="0.15">
      <c r="B87" s="117" t="s">
        <v>1097</v>
      </c>
      <c r="C87" s="93">
        <f>COUNTIFS('reductions data'!B:B,'cluster overview'!$B$6,'reductions data'!G:G,'cluster overview'!B87)</f>
        <v>0</v>
      </c>
      <c r="D87" s="94">
        <f>SUMIFS('reductions data'!H:H,'reductions data'!B:B,'cluster overview'!$B$6,'reductions data'!$G:$G,'cluster overview'!B87)</f>
        <v>0</v>
      </c>
      <c r="E87" s="95"/>
      <c r="F87" s="95"/>
      <c r="G87" s="68"/>
    </row>
    <row r="88" spans="2:19" x14ac:dyDescent="0.15">
      <c r="B88" s="117" t="s">
        <v>1098</v>
      </c>
      <c r="C88" s="93">
        <f>COUNTIFS('reductions data'!B:B,'cluster overview'!$B$6,'reductions data'!G:G,'cluster overview'!B88)</f>
        <v>0</v>
      </c>
      <c r="D88" s="94">
        <f>SUMIFS('reductions data'!H:H,'reductions data'!B:B,'cluster overview'!$B$6,'reductions data'!$G:$G,'cluster overview'!B88)</f>
        <v>0</v>
      </c>
      <c r="E88" s="95"/>
      <c r="F88" s="95"/>
      <c r="G88" s="68"/>
    </row>
    <row r="89" spans="2:19" x14ac:dyDescent="0.15">
      <c r="B89" s="95"/>
      <c r="C89" s="95"/>
      <c r="D89" s="95"/>
      <c r="E89" s="95"/>
      <c r="F89" s="95"/>
      <c r="G89" s="68"/>
      <c r="S89" s="43"/>
    </row>
    <row r="90" spans="2:19" ht="16" x14ac:dyDescent="0.15">
      <c r="B90" s="62"/>
      <c r="C90" s="60"/>
      <c r="D90" s="61"/>
      <c r="E90" s="95"/>
      <c r="F90" s="95"/>
      <c r="G90" s="68"/>
    </row>
    <row r="91" spans="2:19" ht="16" x14ac:dyDescent="0.2">
      <c r="B91" s="62"/>
      <c r="C91" s="60"/>
      <c r="D91" s="61"/>
      <c r="E91" s="1"/>
      <c r="F91" s="1"/>
    </row>
    <row r="92" spans="2:19" ht="30" customHeight="1" x14ac:dyDescent="0.15">
      <c r="B92" s="22"/>
      <c r="C92" s="390" t="s">
        <v>1234</v>
      </c>
      <c r="D92" s="391"/>
      <c r="E92" s="391"/>
      <c r="F92" s="391"/>
      <c r="G92" s="391"/>
      <c r="H92" s="391"/>
      <c r="I92" s="391"/>
      <c r="J92" s="391"/>
      <c r="K92" s="391"/>
      <c r="L92" s="391"/>
      <c r="M92" s="391"/>
      <c r="N92" s="391"/>
      <c r="O92" s="391"/>
      <c r="P92" s="391"/>
      <c r="Q92" s="391"/>
      <c r="R92" s="391"/>
      <c r="S92" s="292"/>
    </row>
    <row r="93" spans="2:19" x14ac:dyDescent="0.15">
      <c r="B93" s="118" t="str">
        <f>B6</f>
        <v>Hammersmith, Fulham, Kensington, Chelsea and Westminster</v>
      </c>
      <c r="C93" s="40" t="s">
        <v>1022</v>
      </c>
      <c r="D93" s="40" t="s">
        <v>1023</v>
      </c>
      <c r="E93" s="40" t="s">
        <v>1024</v>
      </c>
      <c r="F93" s="40" t="s">
        <v>1025</v>
      </c>
      <c r="G93" s="40" t="s">
        <v>1026</v>
      </c>
      <c r="H93" s="40" t="s">
        <v>1027</v>
      </c>
      <c r="I93" s="40" t="s">
        <v>1028</v>
      </c>
      <c r="J93" s="40" t="s">
        <v>1029</v>
      </c>
      <c r="K93" s="40" t="s">
        <v>1030</v>
      </c>
      <c r="L93" s="40" t="s">
        <v>1031</v>
      </c>
      <c r="M93" s="40" t="s">
        <v>1032</v>
      </c>
      <c r="N93" s="40" t="s">
        <v>1033</v>
      </c>
      <c r="O93" s="40" t="s">
        <v>1034</v>
      </c>
      <c r="P93" s="40" t="s">
        <v>1035</v>
      </c>
      <c r="Q93" s="40" t="s">
        <v>1036</v>
      </c>
      <c r="R93" s="40" t="s">
        <v>1037</v>
      </c>
      <c r="S93" s="40" t="s">
        <v>1162</v>
      </c>
    </row>
    <row r="94" spans="2:19" x14ac:dyDescent="0.15">
      <c r="B94" s="79" t="s">
        <v>1159</v>
      </c>
      <c r="C94" s="98">
        <f>SUMIFS('caseload data'!E:E,'caseload data'!$B:$B,"custody",'caseload data'!$C:$C,$B$93)</f>
        <v>0</v>
      </c>
      <c r="D94" s="98">
        <f>SUMIFS('caseload data'!F:F,'caseload data'!$B:$B,"custody",'caseload data'!$C:$C,$B$93)</f>
        <v>0</v>
      </c>
      <c r="E94" s="98">
        <f>SUMIFS('caseload data'!G:G,'caseload data'!$B:$B,"custody",'caseload data'!$C:$C,$B$93)</f>
        <v>0</v>
      </c>
      <c r="F94" s="98">
        <f>SUMIFS('caseload data'!H:H,'caseload data'!$B:$B,"custody",'caseload data'!$C:$C,$B$93)</f>
        <v>0</v>
      </c>
      <c r="G94" s="98">
        <f>SUMIFS('caseload data'!I:I,'caseload data'!$B:$B,"custody",'caseload data'!$C:$C,$B$93)</f>
        <v>0</v>
      </c>
      <c r="H94" s="98">
        <f>SUMIFS('caseload data'!J:J,'caseload data'!$B:$B,"custody",'caseload data'!$C:$C,$B$93)</f>
        <v>0</v>
      </c>
      <c r="I94" s="98">
        <f>SUMIFS('caseload data'!K:K,'caseload data'!$B:$B,"custody",'caseload data'!$C:$C,$B$93)</f>
        <v>0</v>
      </c>
      <c r="J94" s="98">
        <f>SUMIFS('caseload data'!L:L,'caseload data'!$B:$B,"custody",'caseload data'!$C:$C,$B$93)</f>
        <v>0</v>
      </c>
      <c r="K94" s="98">
        <f>SUMIFS('caseload data'!M:M,'caseload data'!$B:$B,"custody",'caseload data'!$C:$C,$B$93)</f>
        <v>0</v>
      </c>
      <c r="L94" s="98">
        <f>SUMIFS('caseload data'!N:N,'caseload data'!$B:$B,"custody",'caseload data'!$C:$C,$B$93)</f>
        <v>0</v>
      </c>
      <c r="M94" s="98">
        <f>SUMIFS('caseload data'!O:O,'caseload data'!$B:$B,"custody",'caseload data'!$C:$C,$B$93)</f>
        <v>0</v>
      </c>
      <c r="N94" s="98">
        <f>SUMIFS('caseload data'!P:P,'caseload data'!$B:$B,"custody",'caseload data'!$C:$C,$B$93)</f>
        <v>0</v>
      </c>
      <c r="O94" s="98">
        <f>SUMIFS('caseload data'!Q:Q,'caseload data'!$B:$B,"custody",'caseload data'!$C:$C,$B$93)</f>
        <v>0</v>
      </c>
      <c r="P94" s="98">
        <f>SUMIFS('caseload data'!R:R,'caseload data'!$B:$B,"custody",'caseload data'!$C:$C,$B$93)</f>
        <v>0</v>
      </c>
      <c r="Q94" s="98">
        <f>SUMIFS('caseload data'!S:S,'caseload data'!$B:$B,"custody",'caseload data'!$C:$C,$B$93)</f>
        <v>0</v>
      </c>
      <c r="R94" s="98">
        <f>SUMIFS('caseload data'!T:T,'caseload data'!$B:$B,"custody",'caseload data'!$C:$C,$B$93)</f>
        <v>0</v>
      </c>
      <c r="S94" s="98">
        <f>SUMIFS('caseload data'!$V:$V,'caseload data'!C:C,$B$93,'caseload data'!B:B,"custody")</f>
        <v>0</v>
      </c>
    </row>
    <row r="95" spans="2:19" x14ac:dyDescent="0.15">
      <c r="B95" s="79" t="s">
        <v>1160</v>
      </c>
      <c r="C95" s="79">
        <f>SUMIFS('caseload data'!E:E,'caseload data'!$B:$B,"licence",'caseload data'!$C:$C,$B$93)</f>
        <v>0</v>
      </c>
      <c r="D95" s="79">
        <f>SUMIFS('caseload data'!F:F,'caseload data'!$B:$B,"licence",'caseload data'!$C:$C,$B$93)</f>
        <v>0</v>
      </c>
      <c r="E95" s="79">
        <f>SUMIFS('caseload data'!G:G,'caseload data'!$B:$B,"licence",'caseload data'!$C:$C,$B$93)</f>
        <v>0</v>
      </c>
      <c r="F95" s="79">
        <f>SUMIFS('caseload data'!H:H,'caseload data'!$B:$B,"licence",'caseload data'!$C:$C,$B$93)</f>
        <v>0</v>
      </c>
      <c r="G95" s="79">
        <f>SUMIFS('caseload data'!I:I,'caseload data'!$B:$B,"licence",'caseload data'!$C:$C,$B$93)</f>
        <v>0</v>
      </c>
      <c r="H95" s="79">
        <f>SUMIFS('caseload data'!J:J,'caseload data'!$B:$B,"licence",'caseload data'!$C:$C,$B$93)</f>
        <v>0</v>
      </c>
      <c r="I95" s="79">
        <f>SUMIFS('caseload data'!K:K,'caseload data'!$B:$B,"licence",'caseload data'!$C:$C,$B$93)</f>
        <v>0</v>
      </c>
      <c r="J95" s="79">
        <f>SUMIFS('caseload data'!L:L,'caseload data'!$B:$B,"licence",'caseload data'!$C:$C,$B$93)</f>
        <v>0</v>
      </c>
      <c r="K95" s="79">
        <f>SUMIFS('caseload data'!M:M,'caseload data'!$B:$B,"licence",'caseload data'!$C:$C,$B$93)</f>
        <v>0</v>
      </c>
      <c r="L95" s="79">
        <f>SUMIFS('caseload data'!N:N,'caseload data'!$B:$B,"licence",'caseload data'!$C:$C,$B$93)</f>
        <v>0</v>
      </c>
      <c r="M95" s="79">
        <f>SUMIFS('caseload data'!O:O,'caseload data'!$B:$B,"licence",'caseload data'!$C:$C,$B$93)</f>
        <v>0</v>
      </c>
      <c r="N95" s="79">
        <f>SUMIFS('caseload data'!P:P,'caseload data'!$B:$B,"licence",'caseload data'!$C:$C,$B$93)</f>
        <v>0</v>
      </c>
      <c r="O95" s="79">
        <f>SUMIFS('caseload data'!Q:Q,'caseload data'!$B:$B,"licence",'caseload data'!$C:$C,$B$93)</f>
        <v>0</v>
      </c>
      <c r="P95" s="79">
        <f>SUMIFS('caseload data'!R:R,'caseload data'!$B:$B,"licence",'caseload data'!$C:$C,$B$93)</f>
        <v>0</v>
      </c>
      <c r="Q95" s="79">
        <f>SUMIFS('caseload data'!S:S,'caseload data'!$B:$B,"licence",'caseload data'!$C:$C,$B$93)</f>
        <v>0</v>
      </c>
      <c r="R95" s="79">
        <f>SUMIFS('caseload data'!T:T,'caseload data'!$B:$B,"licence",'caseload data'!$C:$C,$B$93)</f>
        <v>0</v>
      </c>
      <c r="S95" s="79">
        <f>SUMIFS('caseload data'!$V:$V,'caseload data'!C:C,$B$93,'caseload data'!B:B,"licence")</f>
        <v>0</v>
      </c>
    </row>
    <row r="96" spans="2:19" x14ac:dyDescent="0.15">
      <c r="B96" s="79" t="s">
        <v>1161</v>
      </c>
      <c r="C96" s="79">
        <f>SUMIFS('caseload data'!E:E,'caseload data'!$B:$B,"community",'caseload data'!$C:$C,$B$93)</f>
        <v>0</v>
      </c>
      <c r="D96" s="79">
        <f>SUMIFS('caseload data'!F:F,'caseload data'!$B:$B,"community",'caseload data'!$C:$C,$B$93)</f>
        <v>0</v>
      </c>
      <c r="E96" s="79">
        <f>SUMIFS('caseload data'!G:G,'caseload data'!$B:$B,"community",'caseload data'!$C:$C,$B$93)</f>
        <v>0</v>
      </c>
      <c r="F96" s="79">
        <f>SUMIFS('caseload data'!H:H,'caseload data'!$B:$B,"community",'caseload data'!$C:$C,$B$93)</f>
        <v>0</v>
      </c>
      <c r="G96" s="79">
        <f>SUMIFS('caseload data'!I:I,'caseload data'!$B:$B,"community",'caseload data'!$C:$C,$B$93)</f>
        <v>0</v>
      </c>
      <c r="H96" s="79">
        <f>SUMIFS('caseload data'!J:J,'caseload data'!$B:$B,"community",'caseload data'!$C:$C,$B$93)</f>
        <v>0</v>
      </c>
      <c r="I96" s="79">
        <f>SUMIFS('caseload data'!K:K,'caseload data'!$B:$B,"community",'caseload data'!$C:$C,$B$93)</f>
        <v>0</v>
      </c>
      <c r="J96" s="79">
        <f>SUMIFS('caseload data'!L:L,'caseload data'!$B:$B,"community",'caseload data'!$C:$C,$B$93)</f>
        <v>0</v>
      </c>
      <c r="K96" s="79">
        <f>SUMIFS('caseload data'!M:M,'caseload data'!$B:$B,"community",'caseload data'!$C:$C,$B$93)</f>
        <v>0</v>
      </c>
      <c r="L96" s="79">
        <f>SUMIFS('caseload data'!N:N,'caseload data'!$B:$B,"community",'caseload data'!$C:$C,$B$93)</f>
        <v>0</v>
      </c>
      <c r="M96" s="79">
        <f>SUMIFS('caseload data'!O:O,'caseload data'!$B:$B,"community",'caseload data'!$C:$C,$B$93)</f>
        <v>0</v>
      </c>
      <c r="N96" s="79">
        <f>SUMIFS('caseload data'!P:P,'caseload data'!$B:$B,"community",'caseload data'!$C:$C,$B$93)</f>
        <v>0</v>
      </c>
      <c r="O96" s="79">
        <f>SUMIFS('caseload data'!Q:Q,'caseload data'!$B:$B,"community",'caseload data'!$C:$C,$B$93)</f>
        <v>0</v>
      </c>
      <c r="P96" s="79">
        <f>SUMIFS('caseload data'!R:R,'caseload data'!$B:$B,"community",'caseload data'!$C:$C,$B$93)</f>
        <v>0</v>
      </c>
      <c r="Q96" s="79">
        <f>SUMIFS('caseload data'!S:S,'caseload data'!$B:$B,"community",'caseload data'!$C:$C,$B$93)</f>
        <v>0</v>
      </c>
      <c r="R96" s="79">
        <f>SUMIFS('caseload data'!T:T,'caseload data'!$B:$B,"community",'caseload data'!$C:$C,$B$93)</f>
        <v>0</v>
      </c>
      <c r="S96" s="79">
        <f>SUMIFS('caseload data'!$V:$V,'caseload data'!C:C,$B$93,'caseload data'!B:B,"community")</f>
        <v>0</v>
      </c>
    </row>
    <row r="97" spans="2:37" x14ac:dyDescent="0.15">
      <c r="B97" s="114" t="s">
        <v>1162</v>
      </c>
      <c r="C97" s="114">
        <f>SUMIF('caseload data'!$C:$C,$B$93,'caseload data'!E:E)</f>
        <v>0</v>
      </c>
      <c r="D97" s="114">
        <f>SUMIF('caseload data'!$C:$C,$B$93,'caseload data'!F:F)</f>
        <v>0</v>
      </c>
      <c r="E97" s="114">
        <f>SUMIF('caseload data'!$C:$C,$B$93,'caseload data'!G:G)</f>
        <v>0</v>
      </c>
      <c r="F97" s="114">
        <f>SUMIF('caseload data'!$C:$C,$B$93,'caseload data'!H:H)</f>
        <v>0</v>
      </c>
      <c r="G97" s="114">
        <f>SUMIF('caseload data'!$C:$C,$B$93,'caseload data'!I:I)</f>
        <v>0</v>
      </c>
      <c r="H97" s="114">
        <f>SUMIF('caseload data'!$C:$C,$B$93,'caseload data'!J:J)</f>
        <v>0</v>
      </c>
      <c r="I97" s="114">
        <f>SUMIF('caseload data'!$C:$C,$B$93,'caseload data'!K:K)</f>
        <v>0</v>
      </c>
      <c r="J97" s="114">
        <f>SUMIF('caseload data'!$C:$C,$B$93,'caseload data'!L:L)</f>
        <v>0</v>
      </c>
      <c r="K97" s="114">
        <f>SUMIF('caseload data'!$C:$C,$B$93,'caseload data'!M:M)</f>
        <v>0</v>
      </c>
      <c r="L97" s="114">
        <f>SUMIF('caseload data'!$C:$C,$B$93,'caseload data'!N:N)</f>
        <v>0</v>
      </c>
      <c r="M97" s="114">
        <f>SUMIF('caseload data'!$C:$C,$B$93,'caseload data'!O:O)</f>
        <v>0</v>
      </c>
      <c r="N97" s="114">
        <f>SUMIF('caseload data'!$C:$C,$B$93,'caseload data'!P:P)</f>
        <v>0</v>
      </c>
      <c r="O97" s="114">
        <f>SUMIF('caseload data'!$C:$C,$B$93,'caseload data'!Q:Q)</f>
        <v>0</v>
      </c>
      <c r="P97" s="114">
        <f>SUMIF('caseload data'!$C:$C,$B$93,'caseload data'!R:R)</f>
        <v>0</v>
      </c>
      <c r="Q97" s="114">
        <f>SUMIF('caseload data'!$C:$C,$B$93,'caseload data'!S:S)</f>
        <v>0</v>
      </c>
      <c r="R97" s="114">
        <f>SUMIF('caseload data'!$C:$C,$B$93,'caseload data'!T:T)</f>
        <v>0</v>
      </c>
      <c r="S97" s="114">
        <f>SUMIF('caseload data'!C:C,B93,'caseload data'!V:V)</f>
        <v>0</v>
      </c>
    </row>
    <row r="98" spans="2:37" ht="16" x14ac:dyDescent="0.2">
      <c r="E98" s="1"/>
      <c r="F98" s="1"/>
    </row>
    <row r="99" spans="2:37" ht="30.75" customHeight="1" x14ac:dyDescent="0.15">
      <c r="B99" s="22"/>
      <c r="C99" s="390" t="s">
        <v>1235</v>
      </c>
      <c r="D99" s="391"/>
      <c r="E99" s="391"/>
      <c r="F99" s="391"/>
      <c r="G99" s="391"/>
      <c r="H99" s="391"/>
      <c r="I99" s="391"/>
      <c r="J99" s="391"/>
      <c r="K99" s="391"/>
      <c r="L99" s="391"/>
      <c r="M99" s="391"/>
      <c r="N99" s="391"/>
      <c r="O99" s="391"/>
      <c r="P99" s="391"/>
      <c r="Q99" s="391"/>
      <c r="R99" s="391"/>
    </row>
    <row r="100" spans="2:37" x14ac:dyDescent="0.15">
      <c r="B100" s="118" t="str">
        <f>B6</f>
        <v>Hammersmith, Fulham, Kensington, Chelsea and Westminster</v>
      </c>
      <c r="C100" s="40" t="s">
        <v>1022</v>
      </c>
      <c r="D100" s="40" t="s">
        <v>1023</v>
      </c>
      <c r="E100" s="40" t="s">
        <v>1024</v>
      </c>
      <c r="F100" s="40" t="s">
        <v>1025</v>
      </c>
      <c r="G100" s="40" t="s">
        <v>1026</v>
      </c>
      <c r="H100" s="40" t="s">
        <v>1027</v>
      </c>
      <c r="I100" s="40" t="s">
        <v>1028</v>
      </c>
      <c r="J100" s="40" t="s">
        <v>1029</v>
      </c>
      <c r="K100" s="40" t="s">
        <v>1030</v>
      </c>
      <c r="L100" s="40" t="s">
        <v>1031</v>
      </c>
      <c r="M100" s="40" t="s">
        <v>1032</v>
      </c>
      <c r="N100" s="40" t="s">
        <v>1033</v>
      </c>
      <c r="O100" s="40" t="s">
        <v>1034</v>
      </c>
      <c r="P100" s="40" t="s">
        <v>1035</v>
      </c>
      <c r="Q100" s="40" t="s">
        <v>1036</v>
      </c>
      <c r="R100" s="40" t="s">
        <v>1037</v>
      </c>
    </row>
    <row r="101" spans="2:37" x14ac:dyDescent="0.15">
      <c r="B101" s="79" t="s">
        <v>1159</v>
      </c>
      <c r="C101" s="70" t="e">
        <f t="shared" ref="C101:P101" si="0">C94/$S$94</f>
        <v>#DIV/0!</v>
      </c>
      <c r="D101" s="70" t="e">
        <f t="shared" si="0"/>
        <v>#DIV/0!</v>
      </c>
      <c r="E101" s="70" t="e">
        <f t="shared" si="0"/>
        <v>#DIV/0!</v>
      </c>
      <c r="F101" s="70" t="e">
        <f t="shared" si="0"/>
        <v>#DIV/0!</v>
      </c>
      <c r="G101" s="70" t="e">
        <f t="shared" si="0"/>
        <v>#DIV/0!</v>
      </c>
      <c r="H101" s="70" t="e">
        <f t="shared" si="0"/>
        <v>#DIV/0!</v>
      </c>
      <c r="I101" s="70" t="e">
        <f t="shared" si="0"/>
        <v>#DIV/0!</v>
      </c>
      <c r="J101" s="70" t="e">
        <f t="shared" si="0"/>
        <v>#DIV/0!</v>
      </c>
      <c r="K101" s="70" t="e">
        <f t="shared" si="0"/>
        <v>#DIV/0!</v>
      </c>
      <c r="L101" s="70" t="e">
        <f t="shared" si="0"/>
        <v>#DIV/0!</v>
      </c>
      <c r="M101" s="70" t="e">
        <f t="shared" si="0"/>
        <v>#DIV/0!</v>
      </c>
      <c r="N101" s="70" t="e">
        <f t="shared" si="0"/>
        <v>#DIV/0!</v>
      </c>
      <c r="O101" s="70" t="e">
        <f t="shared" si="0"/>
        <v>#DIV/0!</v>
      </c>
      <c r="P101" s="70" t="e">
        <f t="shared" si="0"/>
        <v>#DIV/0!</v>
      </c>
      <c r="Q101" s="70" t="e">
        <f t="shared" ref="Q101:R101" si="1">Q94/$S$94</f>
        <v>#DIV/0!</v>
      </c>
      <c r="R101" s="70" t="e">
        <f t="shared" si="1"/>
        <v>#DIV/0!</v>
      </c>
    </row>
    <row r="102" spans="2:37" x14ac:dyDescent="0.15">
      <c r="B102" s="79" t="s">
        <v>1160</v>
      </c>
      <c r="C102" s="70" t="e">
        <f>C95/$S$94</f>
        <v>#DIV/0!</v>
      </c>
      <c r="D102" s="70" t="e">
        <f t="shared" ref="D102:P102" si="2">D95/$S$95</f>
        <v>#DIV/0!</v>
      </c>
      <c r="E102" s="70" t="e">
        <f t="shared" si="2"/>
        <v>#DIV/0!</v>
      </c>
      <c r="F102" s="70" t="e">
        <f t="shared" si="2"/>
        <v>#DIV/0!</v>
      </c>
      <c r="G102" s="70" t="e">
        <f t="shared" si="2"/>
        <v>#DIV/0!</v>
      </c>
      <c r="H102" s="70" t="e">
        <f t="shared" si="2"/>
        <v>#DIV/0!</v>
      </c>
      <c r="I102" s="70" t="e">
        <f t="shared" si="2"/>
        <v>#DIV/0!</v>
      </c>
      <c r="J102" s="70" t="e">
        <f t="shared" si="2"/>
        <v>#DIV/0!</v>
      </c>
      <c r="K102" s="70" t="e">
        <f t="shared" si="2"/>
        <v>#DIV/0!</v>
      </c>
      <c r="L102" s="70" t="e">
        <f t="shared" si="2"/>
        <v>#DIV/0!</v>
      </c>
      <c r="M102" s="70" t="e">
        <f t="shared" si="2"/>
        <v>#DIV/0!</v>
      </c>
      <c r="N102" s="70" t="e">
        <f t="shared" si="2"/>
        <v>#DIV/0!</v>
      </c>
      <c r="O102" s="70" t="e">
        <f t="shared" si="2"/>
        <v>#DIV/0!</v>
      </c>
      <c r="P102" s="70" t="e">
        <f t="shared" si="2"/>
        <v>#DIV/0!</v>
      </c>
      <c r="Q102" s="70" t="e">
        <f t="shared" ref="Q102:R102" si="3">Q95/$S$95</f>
        <v>#DIV/0!</v>
      </c>
      <c r="R102" s="70" t="e">
        <f t="shared" si="3"/>
        <v>#DIV/0!</v>
      </c>
    </row>
    <row r="103" spans="2:37" ht="15.75" customHeight="1" x14ac:dyDescent="0.15">
      <c r="B103" s="79" t="s">
        <v>1161</v>
      </c>
      <c r="C103" s="70" t="e">
        <f>C96/$S$94</f>
        <v>#DIV/0!</v>
      </c>
      <c r="D103" s="70" t="e">
        <f t="shared" ref="D103:P103" si="4">D96/$S$96</f>
        <v>#DIV/0!</v>
      </c>
      <c r="E103" s="70" t="e">
        <f t="shared" si="4"/>
        <v>#DIV/0!</v>
      </c>
      <c r="F103" s="70" t="e">
        <f t="shared" si="4"/>
        <v>#DIV/0!</v>
      </c>
      <c r="G103" s="70" t="e">
        <f t="shared" si="4"/>
        <v>#DIV/0!</v>
      </c>
      <c r="H103" s="70" t="e">
        <f t="shared" si="4"/>
        <v>#DIV/0!</v>
      </c>
      <c r="I103" s="70" t="e">
        <f t="shared" si="4"/>
        <v>#DIV/0!</v>
      </c>
      <c r="J103" s="70" t="e">
        <f t="shared" si="4"/>
        <v>#DIV/0!</v>
      </c>
      <c r="K103" s="70" t="e">
        <f t="shared" si="4"/>
        <v>#DIV/0!</v>
      </c>
      <c r="L103" s="70" t="e">
        <f t="shared" si="4"/>
        <v>#DIV/0!</v>
      </c>
      <c r="M103" s="70" t="e">
        <f t="shared" si="4"/>
        <v>#DIV/0!</v>
      </c>
      <c r="N103" s="70" t="e">
        <f t="shared" si="4"/>
        <v>#DIV/0!</v>
      </c>
      <c r="O103" s="70" t="e">
        <f t="shared" si="4"/>
        <v>#DIV/0!</v>
      </c>
      <c r="P103" s="70" t="e">
        <f t="shared" si="4"/>
        <v>#DIV/0!</v>
      </c>
      <c r="Q103" s="70" t="e">
        <f t="shared" ref="Q103:R103" si="5">Q96/$S$96</f>
        <v>#DIV/0!</v>
      </c>
      <c r="R103" s="70" t="e">
        <f t="shared" si="5"/>
        <v>#DIV/0!</v>
      </c>
    </row>
    <row r="104" spans="2:37" ht="14.25" customHeight="1" x14ac:dyDescent="0.15">
      <c r="B104" s="114" t="s">
        <v>1162</v>
      </c>
      <c r="C104" s="119" t="e">
        <f t="shared" ref="C104:P104" si="6">C97/$S$97</f>
        <v>#DIV/0!</v>
      </c>
      <c r="D104" s="119" t="e">
        <f t="shared" si="6"/>
        <v>#DIV/0!</v>
      </c>
      <c r="E104" s="119" t="e">
        <f t="shared" si="6"/>
        <v>#DIV/0!</v>
      </c>
      <c r="F104" s="119" t="e">
        <f t="shared" si="6"/>
        <v>#DIV/0!</v>
      </c>
      <c r="G104" s="119" t="e">
        <f t="shared" si="6"/>
        <v>#DIV/0!</v>
      </c>
      <c r="H104" s="119" t="e">
        <f t="shared" si="6"/>
        <v>#DIV/0!</v>
      </c>
      <c r="I104" s="119" t="e">
        <f t="shared" si="6"/>
        <v>#DIV/0!</v>
      </c>
      <c r="J104" s="119" t="e">
        <f t="shared" si="6"/>
        <v>#DIV/0!</v>
      </c>
      <c r="K104" s="119" t="e">
        <f t="shared" si="6"/>
        <v>#DIV/0!</v>
      </c>
      <c r="L104" s="119" t="e">
        <f t="shared" si="6"/>
        <v>#DIV/0!</v>
      </c>
      <c r="M104" s="119" t="e">
        <f t="shared" si="6"/>
        <v>#DIV/0!</v>
      </c>
      <c r="N104" s="119" t="e">
        <f t="shared" si="6"/>
        <v>#DIV/0!</v>
      </c>
      <c r="O104" s="119" t="e">
        <f t="shared" si="6"/>
        <v>#DIV/0!</v>
      </c>
      <c r="P104" s="119" t="e">
        <f t="shared" si="6"/>
        <v>#DIV/0!</v>
      </c>
      <c r="Q104" s="119" t="e">
        <f t="shared" ref="Q104:R104" si="7">Q97/$S$97</f>
        <v>#DIV/0!</v>
      </c>
      <c r="R104" s="119" t="e">
        <f t="shared" si="7"/>
        <v>#DIV/0!</v>
      </c>
    </row>
    <row r="105" spans="2:37" ht="14.25" customHeight="1" x14ac:dyDescent="0.15"/>
    <row r="106" spans="2:37" ht="14.25" customHeight="1" x14ac:dyDescent="0.15"/>
    <row r="107" spans="2:37" ht="14.25" customHeight="1" x14ac:dyDescent="0.15"/>
    <row r="108" spans="2:37" ht="32.25" customHeight="1" x14ac:dyDescent="0.2">
      <c r="B108" s="118" t="str">
        <f>B6</f>
        <v>Hammersmith, Fulham, Kensington, Chelsea and Westminster</v>
      </c>
      <c r="C108" s="390" t="s">
        <v>1168</v>
      </c>
      <c r="D108" s="391"/>
      <c r="E108" s="391"/>
      <c r="F108" s="391"/>
      <c r="G108" s="391"/>
      <c r="H108" s="391"/>
      <c r="I108" s="391"/>
      <c r="J108" s="391"/>
      <c r="K108" s="391"/>
      <c r="L108" s="391"/>
      <c r="M108" s="391"/>
      <c r="N108" s="391"/>
      <c r="O108" s="391"/>
      <c r="P108" s="391"/>
      <c r="Q108" s="391"/>
      <c r="R108" s="391"/>
      <c r="U108" s="118" t="str">
        <f>B6</f>
        <v>Hammersmith, Fulham, Kensington, Chelsea and Westminster</v>
      </c>
      <c r="V108" s="392" t="s">
        <v>1236</v>
      </c>
      <c r="W108" s="393"/>
      <c r="X108" s="393"/>
      <c r="Y108" s="393"/>
      <c r="Z108" s="393"/>
      <c r="AA108" s="393"/>
      <c r="AB108" s="393"/>
      <c r="AC108" s="393"/>
      <c r="AD108" s="393"/>
      <c r="AE108" s="393"/>
      <c r="AF108" s="393"/>
      <c r="AG108" s="393"/>
      <c r="AH108" s="393"/>
      <c r="AI108" s="393"/>
      <c r="AJ108" s="393"/>
      <c r="AK108" s="393"/>
    </row>
    <row r="109" spans="2:37" ht="14.25" customHeight="1" x14ac:dyDescent="0.15">
      <c r="C109" s="40" t="s">
        <v>1022</v>
      </c>
      <c r="D109" s="40" t="s">
        <v>1023</v>
      </c>
      <c r="E109" s="40" t="s">
        <v>1024</v>
      </c>
      <c r="F109" s="40" t="s">
        <v>1025</v>
      </c>
      <c r="G109" s="40" t="s">
        <v>1026</v>
      </c>
      <c r="H109" s="40" t="s">
        <v>1027</v>
      </c>
      <c r="I109" s="40" t="s">
        <v>1028</v>
      </c>
      <c r="J109" s="40" t="s">
        <v>1029</v>
      </c>
      <c r="K109" s="40" t="s">
        <v>1030</v>
      </c>
      <c r="L109" s="40" t="s">
        <v>1031</v>
      </c>
      <c r="M109" s="40" t="s">
        <v>1032</v>
      </c>
      <c r="N109" s="40" t="s">
        <v>1033</v>
      </c>
      <c r="O109" s="40" t="s">
        <v>1034</v>
      </c>
      <c r="P109" s="40" t="s">
        <v>1035</v>
      </c>
      <c r="Q109" s="40" t="s">
        <v>1036</v>
      </c>
      <c r="R109" s="40" t="s">
        <v>1037</v>
      </c>
      <c r="U109" s="99" t="s">
        <v>1171</v>
      </c>
      <c r="V109" s="40" t="s">
        <v>1022</v>
      </c>
      <c r="W109" s="40" t="s">
        <v>1023</v>
      </c>
      <c r="X109" s="40" t="s">
        <v>1024</v>
      </c>
      <c r="Y109" s="40" t="s">
        <v>1025</v>
      </c>
      <c r="Z109" s="40" t="s">
        <v>1026</v>
      </c>
      <c r="AA109" s="40" t="s">
        <v>1027</v>
      </c>
      <c r="AB109" s="40" t="s">
        <v>1028</v>
      </c>
      <c r="AC109" s="40" t="s">
        <v>1029</v>
      </c>
      <c r="AD109" s="40" t="s">
        <v>1030</v>
      </c>
      <c r="AE109" s="40" t="s">
        <v>1031</v>
      </c>
      <c r="AF109" s="40" t="s">
        <v>1032</v>
      </c>
      <c r="AG109" s="40" t="s">
        <v>1033</v>
      </c>
      <c r="AH109" s="40" t="s">
        <v>1034</v>
      </c>
      <c r="AI109" s="40" t="s">
        <v>1035</v>
      </c>
      <c r="AJ109" s="40" t="s">
        <v>1036</v>
      </c>
      <c r="AK109" s="40" t="s">
        <v>1037</v>
      </c>
    </row>
    <row r="110" spans="2:37" ht="14.25" customHeight="1" x14ac:dyDescent="0.15">
      <c r="B110" s="79" t="s">
        <v>1166</v>
      </c>
      <c r="C110" s="79">
        <f>SUMIFS('caseload data'!E:E,'caseload data'!$D:$D,"PO",'caseload data'!$C:$C,'cluster overview'!$B$108,'caseload data'!$B:$B,"community")</f>
        <v>0</v>
      </c>
      <c r="D110" s="79">
        <f>SUMIFS('caseload data'!F:F,'caseload data'!$D:$D,"PO",'caseload data'!$C:$C,'cluster overview'!$B$108,'caseload data'!$B:$B,"community")</f>
        <v>0</v>
      </c>
      <c r="E110" s="79">
        <f>SUMIFS('caseload data'!G:G,'caseload data'!$D:$D,"PO",'caseload data'!$C:$C,'cluster overview'!$B$108,'caseload data'!$B:$B,"community")</f>
        <v>0</v>
      </c>
      <c r="F110" s="79">
        <f>SUMIFS('caseload data'!H:H,'caseload data'!$D:$D,"PO",'caseload data'!$C:$C,'cluster overview'!$B$108,'caseload data'!$B:$B,"community")</f>
        <v>0</v>
      </c>
      <c r="G110" s="79">
        <f>SUMIFS('caseload data'!I:I,'caseload data'!$D:$D,"PO",'caseload data'!$C:$C,'cluster overview'!$B$108,'caseload data'!$B:$B,"community")</f>
        <v>0</v>
      </c>
      <c r="H110" s="79">
        <f>SUMIFS('caseload data'!J:J,'caseload data'!$D:$D,"PO",'caseload data'!$C:$C,'cluster overview'!$B$108,'caseload data'!$B:$B,"community")</f>
        <v>0</v>
      </c>
      <c r="I110" s="79">
        <f>SUMIFS('caseload data'!K:K,'caseload data'!$D:$D,"PO",'caseload data'!$C:$C,'cluster overview'!$B$108,'caseload data'!$B:$B,"community")</f>
        <v>0</v>
      </c>
      <c r="J110" s="79">
        <f>SUMIFS('caseload data'!L:L,'caseload data'!$D:$D,"PO",'caseload data'!$C:$C,'cluster overview'!$B$108,'caseload data'!$B:$B,"community")</f>
        <v>0</v>
      </c>
      <c r="K110" s="79">
        <f>SUMIFS('caseload data'!M:M,'caseload data'!$D:$D,"PO",'caseload data'!$C:$C,'cluster overview'!$B$108,'caseload data'!$B:$B,"community")</f>
        <v>0</v>
      </c>
      <c r="L110" s="79">
        <f>SUMIFS('caseload data'!N:N,'caseload data'!$D:$D,"PO",'caseload data'!$C:$C,'cluster overview'!$B$108,'caseload data'!$B:$B,"community")</f>
        <v>0</v>
      </c>
      <c r="M110" s="79">
        <f>SUMIFS('caseload data'!O:O,'caseload data'!$D:$D,"PO",'caseload data'!$C:$C,'cluster overview'!$B$108,'caseload data'!$B:$B,"community")</f>
        <v>0</v>
      </c>
      <c r="N110" s="79">
        <f>SUMIFS('caseload data'!P:P,'caseload data'!$D:$D,"PO",'caseload data'!$C:$C,'cluster overview'!$B$108,'caseload data'!$B:$B,"community")</f>
        <v>0</v>
      </c>
      <c r="O110" s="79">
        <f>SUMIFS('caseload data'!Q:Q,'caseload data'!$D:$D,"PO",'caseload data'!$C:$C,'cluster overview'!$B$108,'caseload data'!$B:$B,"community")</f>
        <v>0</v>
      </c>
      <c r="P110" s="79">
        <f>SUMIFS('caseload data'!R:R,'caseload data'!$D:$D,"PO",'caseload data'!$C:$C,'cluster overview'!$B$108,'caseload data'!$B:$B,"community")</f>
        <v>0</v>
      </c>
      <c r="Q110" s="79">
        <f>SUMIFS('caseload data'!S:S,'caseload data'!$D:$D,"PO",'caseload data'!$C:$C,'cluster overview'!$B$108,'caseload data'!$B:$B,"community")</f>
        <v>0</v>
      </c>
      <c r="R110" s="79">
        <f>SUMIFS('caseload data'!T:T,'caseload data'!$D:$D,"PO",'caseload data'!$C:$C,'cluster overview'!$B$108,'caseload data'!$B:$B,"community")</f>
        <v>0</v>
      </c>
      <c r="U110" s="79" t="s">
        <v>1166</v>
      </c>
      <c r="V110" s="71" t="str">
        <f>IFERROR(C$110/SUM(C$110:C$113),"")</f>
        <v/>
      </c>
      <c r="W110" s="71" t="str">
        <f>IFERROR(D$110/SUM(D$110:D$113),"")</f>
        <v/>
      </c>
      <c r="X110" s="71" t="str">
        <f t="shared" ref="X110:AK110" si="8">IFERROR(E$110/SUM(E$110:E$113),"")</f>
        <v/>
      </c>
      <c r="Y110" s="71" t="str">
        <f t="shared" si="8"/>
        <v/>
      </c>
      <c r="Z110" s="71" t="str">
        <f t="shared" si="8"/>
        <v/>
      </c>
      <c r="AA110" s="71" t="str">
        <f t="shared" si="8"/>
        <v/>
      </c>
      <c r="AB110" s="71" t="str">
        <f t="shared" si="8"/>
        <v/>
      </c>
      <c r="AC110" s="71" t="str">
        <f t="shared" si="8"/>
        <v/>
      </c>
      <c r="AD110" s="71" t="str">
        <f t="shared" si="8"/>
        <v/>
      </c>
      <c r="AE110" s="71" t="str">
        <f t="shared" si="8"/>
        <v/>
      </c>
      <c r="AF110" s="71" t="str">
        <f t="shared" si="8"/>
        <v/>
      </c>
      <c r="AG110" s="71" t="str">
        <f t="shared" si="8"/>
        <v/>
      </c>
      <c r="AH110" s="71" t="str">
        <f t="shared" si="8"/>
        <v/>
      </c>
      <c r="AI110" s="71" t="str">
        <f t="shared" si="8"/>
        <v/>
      </c>
      <c r="AJ110" s="71" t="str">
        <f t="shared" si="8"/>
        <v/>
      </c>
      <c r="AK110" s="71" t="str">
        <f t="shared" si="8"/>
        <v/>
      </c>
    </row>
    <row r="111" spans="2:37" ht="14.25" customHeight="1" x14ac:dyDescent="0.15">
      <c r="B111" s="79" t="s">
        <v>1172</v>
      </c>
      <c r="C111" s="79">
        <f>SUMIFS('caseload data'!E:E,'caseload data'!$D:$D,"PSO",'caseload data'!$C:$C,'cluster overview'!$B$108,'caseload data'!$B:$B,"community")</f>
        <v>0</v>
      </c>
      <c r="D111" s="79">
        <f>SUMIFS('caseload data'!F:F,'caseload data'!$D:$D,"PSO",'caseload data'!$C:$C,'cluster overview'!$B$108,'caseload data'!$B:$B,"community")</f>
        <v>0</v>
      </c>
      <c r="E111" s="79">
        <f>SUMIFS('caseload data'!G:G,'caseload data'!$D:$D,"PSO",'caseload data'!$C:$C,'cluster overview'!$B$108,'caseload data'!$B:$B,"community")</f>
        <v>0</v>
      </c>
      <c r="F111" s="79">
        <f>SUMIFS('caseload data'!H:H,'caseload data'!$D:$D,"PSO",'caseload data'!$C:$C,'cluster overview'!$B$108,'caseload data'!$B:$B,"community")</f>
        <v>0</v>
      </c>
      <c r="G111" s="79">
        <f>SUMIFS('caseload data'!I:I,'caseload data'!$D:$D,"PSO",'caseload data'!$C:$C,'cluster overview'!$B$108,'caseload data'!$B:$B,"community")</f>
        <v>0</v>
      </c>
      <c r="H111" s="79">
        <f>SUMIFS('caseload data'!J:J,'caseload data'!$D:$D,"PSO",'caseload data'!$C:$C,'cluster overview'!$B$108,'caseload data'!$B:$B,"community")</f>
        <v>0</v>
      </c>
      <c r="I111" s="79">
        <f>SUMIFS('caseload data'!K:K,'caseload data'!$D:$D,"PSO",'caseload data'!$C:$C,'cluster overview'!$B$108,'caseload data'!$B:$B,"community")</f>
        <v>0</v>
      </c>
      <c r="J111" s="79">
        <f>SUMIFS('caseload data'!L:L,'caseload data'!$D:$D,"PSO",'caseload data'!$C:$C,'cluster overview'!$B$108,'caseload data'!$B:$B,"community")</f>
        <v>0</v>
      </c>
      <c r="K111" s="79">
        <f>SUMIFS('caseload data'!M:M,'caseload data'!$D:$D,"PSO",'caseload data'!$C:$C,'cluster overview'!$B$108,'caseload data'!$B:$B,"community")</f>
        <v>0</v>
      </c>
      <c r="L111" s="79">
        <f>SUMIFS('caseload data'!N:N,'caseload data'!$D:$D,"PSO",'caseload data'!$C:$C,'cluster overview'!$B$108,'caseload data'!$B:$B,"community")</f>
        <v>0</v>
      </c>
      <c r="M111" s="79">
        <f>SUMIFS('caseload data'!O:O,'caseload data'!$D:$D,"PSO",'caseload data'!$C:$C,'cluster overview'!$B$108,'caseload data'!$B:$B,"community")</f>
        <v>0</v>
      </c>
      <c r="N111" s="79">
        <f>SUMIFS('caseload data'!P:P,'caseload data'!$D:$D,"PSO",'caseload data'!$C:$C,'cluster overview'!$B$108,'caseload data'!$B:$B,"community")</f>
        <v>0</v>
      </c>
      <c r="O111" s="79">
        <f>SUMIFS('caseload data'!Q:Q,'caseload data'!$D:$D,"PSO",'caseload data'!$C:$C,'cluster overview'!$B$108,'caseload data'!$B:$B,"community")</f>
        <v>0</v>
      </c>
      <c r="P111" s="79">
        <f>SUMIFS('caseload data'!R:R,'caseload data'!$D:$D,"PSO",'caseload data'!$C:$C,'cluster overview'!$B$108,'caseload data'!$B:$B,"community")</f>
        <v>0</v>
      </c>
      <c r="Q111" s="79">
        <f>SUMIFS('caseload data'!S:S,'caseload data'!$D:$D,"PSO",'caseload data'!$C:$C,'cluster overview'!$B$108,'caseload data'!$B:$B,"community")</f>
        <v>0</v>
      </c>
      <c r="R111" s="79">
        <f>SUMIFS('caseload data'!T:T,'caseload data'!$D:$D,"PSO",'caseload data'!$C:$C,'cluster overview'!$B$108,'caseload data'!$B:$B,"community")</f>
        <v>0</v>
      </c>
      <c r="U111" s="79" t="s">
        <v>1172</v>
      </c>
      <c r="V111" s="71" t="str">
        <f>IFERROR(C$111/SUM(C$110:C$113),"")</f>
        <v/>
      </c>
      <c r="W111" s="71" t="str">
        <f>IFERROR(D$111/SUM(D$110:D$113),"")</f>
        <v/>
      </c>
      <c r="X111" s="71" t="str">
        <f t="shared" ref="X111:AK111" si="9">IFERROR(E$111/SUM(E$110:E$113),"")</f>
        <v/>
      </c>
      <c r="Y111" s="71" t="str">
        <f t="shared" si="9"/>
        <v/>
      </c>
      <c r="Z111" s="71" t="str">
        <f t="shared" si="9"/>
        <v/>
      </c>
      <c r="AA111" s="71" t="str">
        <f t="shared" si="9"/>
        <v/>
      </c>
      <c r="AB111" s="71" t="str">
        <f t="shared" si="9"/>
        <v/>
      </c>
      <c r="AC111" s="71" t="str">
        <f t="shared" si="9"/>
        <v/>
      </c>
      <c r="AD111" s="71" t="str">
        <f t="shared" si="9"/>
        <v/>
      </c>
      <c r="AE111" s="71" t="str">
        <f t="shared" si="9"/>
        <v/>
      </c>
      <c r="AF111" s="71" t="str">
        <f t="shared" si="9"/>
        <v/>
      </c>
      <c r="AG111" s="71" t="str">
        <f t="shared" si="9"/>
        <v/>
      </c>
      <c r="AH111" s="71" t="str">
        <f t="shared" si="9"/>
        <v/>
      </c>
      <c r="AI111" s="71" t="str">
        <f t="shared" si="9"/>
        <v/>
      </c>
      <c r="AJ111" s="71" t="str">
        <f t="shared" si="9"/>
        <v/>
      </c>
      <c r="AK111" s="71" t="str">
        <f t="shared" si="9"/>
        <v/>
      </c>
    </row>
    <row r="112" spans="2:37" ht="14.25" customHeight="1" x14ac:dyDescent="0.15">
      <c r="B112" s="79" t="s">
        <v>1173</v>
      </c>
      <c r="C112" s="79">
        <f>SUMIFS('caseload data'!E:E,'caseload data'!$D:$D,"TPO",'caseload data'!$C:$C,'cluster overview'!$B$108,'caseload data'!$B:$B,"community")</f>
        <v>0</v>
      </c>
      <c r="D112" s="79">
        <f>SUMIFS('caseload data'!F:F,'caseload data'!$D:$D,"TPO",'caseload data'!$C:$C,'cluster overview'!$B$108,'caseload data'!$B:$B,"community")</f>
        <v>0</v>
      </c>
      <c r="E112" s="79">
        <f>SUMIFS('caseload data'!G:G,'caseload data'!$D:$D,"TPO",'caseload data'!$C:$C,'cluster overview'!$B$108,'caseload data'!$B:$B,"community")</f>
        <v>0</v>
      </c>
      <c r="F112" s="79">
        <f>SUMIFS('caseload data'!H:H,'caseload data'!$D:$D,"TPO",'caseload data'!$C:$C,'cluster overview'!$B$108,'caseload data'!$B:$B,"community")</f>
        <v>0</v>
      </c>
      <c r="G112" s="79">
        <f>SUMIFS('caseload data'!I:I,'caseload data'!$D:$D,"TPO",'caseload data'!$C:$C,'cluster overview'!$B$108,'caseload data'!$B:$B,"community")</f>
        <v>0</v>
      </c>
      <c r="H112" s="79">
        <f>SUMIFS('caseload data'!J:J,'caseload data'!$D:$D,"TPO",'caseload data'!$C:$C,'cluster overview'!$B$108,'caseload data'!$B:$B,"community")</f>
        <v>0</v>
      </c>
      <c r="I112" s="79">
        <f>SUMIFS('caseload data'!K:K,'caseload data'!$D:$D,"TPO",'caseload data'!$C:$C,'cluster overview'!$B$108,'caseload data'!$B:$B,"community")</f>
        <v>0</v>
      </c>
      <c r="J112" s="79">
        <f>SUMIFS('caseload data'!L:L,'caseload data'!$D:$D,"TPO",'caseload data'!$C:$C,'cluster overview'!$B$108,'caseload data'!$B:$B,"community")</f>
        <v>0</v>
      </c>
      <c r="K112" s="79">
        <f>SUMIFS('caseload data'!M:M,'caseload data'!$D:$D,"TPO",'caseload data'!$C:$C,'cluster overview'!$B$108,'caseload data'!$B:$B,"community")</f>
        <v>0</v>
      </c>
      <c r="L112" s="79">
        <f>SUMIFS('caseload data'!N:N,'caseload data'!$D:$D,"TPO",'caseload data'!$C:$C,'cluster overview'!$B$108,'caseload data'!$B:$B,"community")</f>
        <v>0</v>
      </c>
      <c r="M112" s="79">
        <f>SUMIFS('caseload data'!O:O,'caseload data'!$D:$D,"TPO",'caseload data'!$C:$C,'cluster overview'!$B$108,'caseload data'!$B:$B,"community")</f>
        <v>0</v>
      </c>
      <c r="N112" s="79">
        <f>SUMIFS('caseload data'!P:P,'caseload data'!$D:$D,"TPO",'caseload data'!$C:$C,'cluster overview'!$B$108,'caseload data'!$B:$B,"community")</f>
        <v>0</v>
      </c>
      <c r="O112" s="79">
        <f>SUMIFS('caseload data'!Q:Q,'caseload data'!$D:$D,"TPO",'caseload data'!$C:$C,'cluster overview'!$B$108,'caseload data'!$B:$B,"community")</f>
        <v>0</v>
      </c>
      <c r="P112" s="79">
        <f>SUMIFS('caseload data'!R:R,'caseload data'!$D:$D,"TPO",'caseload data'!$C:$C,'cluster overview'!$B$108,'caseload data'!$B:$B,"community")</f>
        <v>0</v>
      </c>
      <c r="Q112" s="79">
        <f>SUMIFS('caseload data'!S:S,'caseload data'!$D:$D,"TPO",'caseload data'!$C:$C,'cluster overview'!$B$108,'caseload data'!$B:$B,"community")</f>
        <v>0</v>
      </c>
      <c r="R112" s="79">
        <f>SUMIFS('caseload data'!T:T,'caseload data'!$D:$D,"TPO",'caseload data'!$C:$C,'cluster overview'!$B$108,'caseload data'!$B:$B,"community")</f>
        <v>0</v>
      </c>
      <c r="U112" s="79" t="s">
        <v>1173</v>
      </c>
      <c r="V112" s="71" t="str">
        <f>IFERROR(C$112/SUM(C$110:C$113),"")</f>
        <v/>
      </c>
      <c r="W112" s="71" t="str">
        <f>IFERROR(D$112/SUM(D$110:D$113),"")</f>
        <v/>
      </c>
      <c r="X112" s="71" t="str">
        <f t="shared" ref="X112:AK112" si="10">IFERROR(E$112/SUM(E$110:E$113),"")</f>
        <v/>
      </c>
      <c r="Y112" s="71" t="str">
        <f t="shared" si="10"/>
        <v/>
      </c>
      <c r="Z112" s="71" t="str">
        <f t="shared" si="10"/>
        <v/>
      </c>
      <c r="AA112" s="71" t="str">
        <f t="shared" si="10"/>
        <v/>
      </c>
      <c r="AB112" s="71" t="str">
        <f t="shared" si="10"/>
        <v/>
      </c>
      <c r="AC112" s="71" t="str">
        <f t="shared" si="10"/>
        <v/>
      </c>
      <c r="AD112" s="71" t="str">
        <f t="shared" si="10"/>
        <v/>
      </c>
      <c r="AE112" s="71" t="str">
        <f t="shared" si="10"/>
        <v/>
      </c>
      <c r="AF112" s="71" t="str">
        <f t="shared" si="10"/>
        <v/>
      </c>
      <c r="AG112" s="71" t="str">
        <f t="shared" si="10"/>
        <v/>
      </c>
      <c r="AH112" s="71" t="str">
        <f t="shared" si="10"/>
        <v/>
      </c>
      <c r="AI112" s="71" t="str">
        <f t="shared" si="10"/>
        <v/>
      </c>
      <c r="AJ112" s="71" t="str">
        <f t="shared" si="10"/>
        <v/>
      </c>
      <c r="AK112" s="71" t="str">
        <f t="shared" si="10"/>
        <v/>
      </c>
    </row>
    <row r="113" spans="2:37" ht="14.25" customHeight="1" x14ac:dyDescent="0.15">
      <c r="B113" s="79" t="s">
        <v>1174</v>
      </c>
      <c r="C113" s="79">
        <f>SUMIFS('caseload data'!E:E,'caseload data'!$D:$D,"SPO",'caseload data'!$C:$C,'cluster overview'!$B$108,'caseload data'!$B:$B,"community")</f>
        <v>0</v>
      </c>
      <c r="D113" s="79">
        <f>SUMIFS('caseload data'!F:F,'caseload data'!$D:$D,"SPO",'caseload data'!$C:$C,'cluster overview'!$B$108,'caseload data'!$B:$B,"community")</f>
        <v>0</v>
      </c>
      <c r="E113" s="79">
        <f>SUMIFS('caseload data'!G:G,'caseload data'!$D:$D,"SPO",'caseload data'!$C:$C,'cluster overview'!$B$108,'caseload data'!$B:$B,"community")</f>
        <v>0</v>
      </c>
      <c r="F113" s="79">
        <f>SUMIFS('caseload data'!H:H,'caseload data'!$D:$D,"SPO",'caseload data'!$C:$C,'cluster overview'!$B$108,'caseload data'!$B:$B,"community")</f>
        <v>0</v>
      </c>
      <c r="G113" s="79">
        <f>SUMIFS('caseload data'!I:I,'caseload data'!$D:$D,"SPO",'caseload data'!$C:$C,'cluster overview'!$B$108,'caseload data'!$B:$B,"community")</f>
        <v>0</v>
      </c>
      <c r="H113" s="79">
        <f>SUMIFS('caseload data'!J:J,'caseload data'!$D:$D,"SPO",'caseload data'!$C:$C,'cluster overview'!$B$108,'caseload data'!$B:$B,"community")</f>
        <v>0</v>
      </c>
      <c r="I113" s="79">
        <f>SUMIFS('caseload data'!K:K,'caseload data'!$D:$D,"SPO",'caseload data'!$C:$C,'cluster overview'!$B$108,'caseload data'!$B:$B,"community")</f>
        <v>0</v>
      </c>
      <c r="J113" s="79">
        <f>SUMIFS('caseload data'!L:L,'caseload data'!$D:$D,"SPO",'caseload data'!$C:$C,'cluster overview'!$B$108,'caseload data'!$B:$B,"community")</f>
        <v>0</v>
      </c>
      <c r="K113" s="79">
        <f>SUMIFS('caseload data'!M:M,'caseload data'!$D:$D,"SPO",'caseload data'!$C:$C,'cluster overview'!$B$108,'caseload data'!$B:$B,"community")</f>
        <v>0</v>
      </c>
      <c r="L113" s="79">
        <f>SUMIFS('caseload data'!N:N,'caseload data'!$D:$D,"SPO",'caseload data'!$C:$C,'cluster overview'!$B$108,'caseload data'!$B:$B,"community")</f>
        <v>0</v>
      </c>
      <c r="M113" s="79">
        <f>SUMIFS('caseload data'!O:O,'caseload data'!$D:$D,"SPO",'caseload data'!$C:$C,'cluster overview'!$B$108,'caseload data'!$B:$B,"community")</f>
        <v>0</v>
      </c>
      <c r="N113" s="79">
        <f>SUMIFS('caseload data'!P:P,'caseload data'!$D:$D,"SPO",'caseload data'!$C:$C,'cluster overview'!$B$108,'caseload data'!$B:$B,"community")</f>
        <v>0</v>
      </c>
      <c r="O113" s="79">
        <f>SUMIFS('caseload data'!Q:Q,'caseload data'!$D:$D,"SPO",'caseload data'!$C:$C,'cluster overview'!$B$108,'caseload data'!$B:$B,"community")</f>
        <v>0</v>
      </c>
      <c r="P113" s="79">
        <f>SUMIFS('caseload data'!R:R,'caseload data'!$D:$D,"SPO",'caseload data'!$C:$C,'cluster overview'!$B$108,'caseload data'!$B:$B,"community")</f>
        <v>0</v>
      </c>
      <c r="Q113" s="79">
        <f>SUMIFS('caseload data'!S:S,'caseload data'!$D:$D,"SPO",'caseload data'!$C:$C,'cluster overview'!$B$108,'caseload data'!$B:$B,"community")</f>
        <v>0</v>
      </c>
      <c r="R113" s="79">
        <f>SUMIFS('caseload data'!T:T,'caseload data'!$D:$D,"SPO",'caseload data'!$C:$C,'cluster overview'!$B$108,'caseload data'!$B:$B,"community")</f>
        <v>0</v>
      </c>
      <c r="U113" s="79" t="s">
        <v>1174</v>
      </c>
      <c r="V113" s="71" t="str">
        <f>IFERROR(C$113/SUM(C$110:C$113),"")</f>
        <v/>
      </c>
      <c r="W113" s="71" t="str">
        <f>IFERROR(D$113/SUM(D$110:D$113),"")</f>
        <v/>
      </c>
      <c r="X113" s="71" t="str">
        <f t="shared" ref="X113:AK113" si="11">IFERROR(E$113/SUM(E$110:E$113),"")</f>
        <v/>
      </c>
      <c r="Y113" s="71" t="str">
        <f t="shared" si="11"/>
        <v/>
      </c>
      <c r="Z113" s="71" t="str">
        <f t="shared" si="11"/>
        <v/>
      </c>
      <c r="AA113" s="71" t="str">
        <f t="shared" si="11"/>
        <v/>
      </c>
      <c r="AB113" s="71" t="str">
        <f t="shared" si="11"/>
        <v/>
      </c>
      <c r="AC113" s="71" t="str">
        <f t="shared" si="11"/>
        <v/>
      </c>
      <c r="AD113" s="71" t="str">
        <f t="shared" si="11"/>
        <v/>
      </c>
      <c r="AE113" s="71" t="str">
        <f t="shared" si="11"/>
        <v/>
      </c>
      <c r="AF113" s="71" t="str">
        <f t="shared" si="11"/>
        <v/>
      </c>
      <c r="AG113" s="71" t="str">
        <f t="shared" si="11"/>
        <v/>
      </c>
      <c r="AH113" s="71" t="str">
        <f t="shared" si="11"/>
        <v/>
      </c>
      <c r="AI113" s="71" t="str">
        <f t="shared" si="11"/>
        <v/>
      </c>
      <c r="AJ113" s="71" t="str">
        <f t="shared" si="11"/>
        <v/>
      </c>
      <c r="AK113" s="71" t="str">
        <f t="shared" si="11"/>
        <v/>
      </c>
    </row>
    <row r="114" spans="2:37" ht="14.25" customHeight="1" x14ac:dyDescent="0.15">
      <c r="B114" s="22"/>
    </row>
    <row r="115" spans="2:37" ht="39" customHeight="1" x14ac:dyDescent="0.2">
      <c r="B115" s="118" t="str">
        <f>B6</f>
        <v>Hammersmith, Fulham, Kensington, Chelsea and Westminster</v>
      </c>
      <c r="C115" s="390" t="s">
        <v>1175</v>
      </c>
      <c r="D115" s="391"/>
      <c r="E115" s="391"/>
      <c r="F115" s="391"/>
      <c r="G115" s="391"/>
      <c r="H115" s="391"/>
      <c r="I115" s="391"/>
      <c r="J115" s="391"/>
      <c r="K115" s="391"/>
      <c r="L115" s="391"/>
      <c r="M115" s="391"/>
      <c r="N115" s="391"/>
      <c r="O115" s="391"/>
      <c r="P115" s="391"/>
      <c r="Q115" s="391"/>
      <c r="R115" s="391"/>
      <c r="U115" s="118" t="str">
        <f>B6</f>
        <v>Hammersmith, Fulham, Kensington, Chelsea and Westminster</v>
      </c>
      <c r="V115" s="392" t="s">
        <v>1237</v>
      </c>
      <c r="W115" s="393"/>
      <c r="X115" s="393"/>
      <c r="Y115" s="393"/>
      <c r="Z115" s="393"/>
      <c r="AA115" s="393"/>
      <c r="AB115" s="393"/>
      <c r="AC115" s="393"/>
      <c r="AD115" s="393"/>
      <c r="AE115" s="393"/>
      <c r="AF115" s="393"/>
      <c r="AG115" s="393"/>
      <c r="AH115" s="393"/>
      <c r="AI115" s="393"/>
      <c r="AJ115" s="393"/>
      <c r="AK115" s="393"/>
    </row>
    <row r="116" spans="2:37" ht="14.25" customHeight="1" x14ac:dyDescent="0.15">
      <c r="B116" s="99" t="s">
        <v>1170</v>
      </c>
      <c r="C116" s="40" t="s">
        <v>1022</v>
      </c>
      <c r="D116" s="40" t="s">
        <v>1023</v>
      </c>
      <c r="E116" s="40" t="s">
        <v>1024</v>
      </c>
      <c r="F116" s="40" t="s">
        <v>1025</v>
      </c>
      <c r="G116" s="40" t="s">
        <v>1026</v>
      </c>
      <c r="H116" s="40" t="s">
        <v>1027</v>
      </c>
      <c r="I116" s="40" t="s">
        <v>1028</v>
      </c>
      <c r="J116" s="40" t="s">
        <v>1029</v>
      </c>
      <c r="K116" s="40" t="s">
        <v>1030</v>
      </c>
      <c r="L116" s="40" t="s">
        <v>1031</v>
      </c>
      <c r="M116" s="40" t="s">
        <v>1032</v>
      </c>
      <c r="N116" s="40" t="s">
        <v>1033</v>
      </c>
      <c r="O116" s="40" t="s">
        <v>1034</v>
      </c>
      <c r="P116" s="40" t="s">
        <v>1035</v>
      </c>
      <c r="Q116" s="40" t="s">
        <v>1036</v>
      </c>
      <c r="R116" s="40" t="s">
        <v>1037</v>
      </c>
      <c r="U116" s="99" t="s">
        <v>1171</v>
      </c>
      <c r="V116" s="40" t="s">
        <v>1022</v>
      </c>
      <c r="W116" s="40" t="s">
        <v>1023</v>
      </c>
      <c r="X116" s="40" t="s">
        <v>1024</v>
      </c>
      <c r="Y116" s="40" t="s">
        <v>1025</v>
      </c>
      <c r="Z116" s="40" t="s">
        <v>1026</v>
      </c>
      <c r="AA116" s="40" t="s">
        <v>1027</v>
      </c>
      <c r="AB116" s="40" t="s">
        <v>1028</v>
      </c>
      <c r="AC116" s="40" t="s">
        <v>1029</v>
      </c>
      <c r="AD116" s="40" t="s">
        <v>1030</v>
      </c>
      <c r="AE116" s="40" t="s">
        <v>1031</v>
      </c>
      <c r="AF116" s="40" t="s">
        <v>1032</v>
      </c>
      <c r="AG116" s="40" t="s">
        <v>1033</v>
      </c>
      <c r="AH116" s="40" t="s">
        <v>1034</v>
      </c>
      <c r="AI116" s="40" t="s">
        <v>1035</v>
      </c>
      <c r="AJ116" s="40" t="s">
        <v>1036</v>
      </c>
      <c r="AK116" s="40" t="s">
        <v>1037</v>
      </c>
    </row>
    <row r="117" spans="2:37" ht="14.25" customHeight="1" x14ac:dyDescent="0.15">
      <c r="B117" s="79" t="s">
        <v>1166</v>
      </c>
      <c r="C117" s="79">
        <f>SUMIFS('caseload data'!E:E,'caseload data'!$D:$D,"PO",'caseload data'!$C:$C,'cluster overview'!$B$108,'caseload data'!$B:$B,"licence")</f>
        <v>0</v>
      </c>
      <c r="D117" s="79">
        <f>SUMIFS('caseload data'!F:F,'caseload data'!$D:$D,"PO",'caseload data'!$C:$C,'cluster overview'!$B$108,'caseload data'!$B:$B,"licence")</f>
        <v>0</v>
      </c>
      <c r="E117" s="79">
        <f>SUMIFS('caseload data'!G:G,'caseload data'!$D:$D,"PO",'caseload data'!$C:$C,'cluster overview'!$B$108,'caseload data'!$B:$B,"licence")</f>
        <v>0</v>
      </c>
      <c r="F117" s="79">
        <f>SUMIFS('caseload data'!H:H,'caseload data'!$D:$D,"PO",'caseload data'!$C:$C,'cluster overview'!$B$108,'caseload data'!$B:$B,"licence")</f>
        <v>0</v>
      </c>
      <c r="G117" s="79">
        <f>SUMIFS('caseload data'!I:I,'caseload data'!$D:$D,"PO",'caseload data'!$C:$C,'cluster overview'!$B$108,'caseload data'!$B:$B,"licence")</f>
        <v>0</v>
      </c>
      <c r="H117" s="79">
        <f>SUMIFS('caseload data'!J:J,'caseload data'!$D:$D,"PO",'caseload data'!$C:$C,'cluster overview'!$B$108,'caseload data'!$B:$B,"licence")</f>
        <v>0</v>
      </c>
      <c r="I117" s="79">
        <f>SUMIFS('caseload data'!K:K,'caseload data'!$D:$D,"PO",'caseload data'!$C:$C,'cluster overview'!$B$108,'caseload data'!$B:$B,"licence")</f>
        <v>0</v>
      </c>
      <c r="J117" s="79">
        <f>SUMIFS('caseload data'!L:L,'caseload data'!$D:$D,"PO",'caseload data'!$C:$C,'cluster overview'!$B$108,'caseload data'!$B:$B,"licence")</f>
        <v>0</v>
      </c>
      <c r="K117" s="79">
        <f>SUMIFS('caseload data'!M:M,'caseload data'!$D:$D,"PO",'caseload data'!$C:$C,'cluster overview'!$B$108,'caseload data'!$B:$B,"licence")</f>
        <v>0</v>
      </c>
      <c r="L117" s="79">
        <f>SUMIFS('caseload data'!N:N,'caseload data'!$D:$D,"PO",'caseload data'!$C:$C,'cluster overview'!$B$108,'caseload data'!$B:$B,"licence")</f>
        <v>0</v>
      </c>
      <c r="M117" s="79">
        <f>SUMIFS('caseload data'!O:O,'caseload data'!$D:$D,"PO",'caseload data'!$C:$C,'cluster overview'!$B$108,'caseload data'!$B:$B,"licence")</f>
        <v>0</v>
      </c>
      <c r="N117" s="79">
        <f>SUMIFS('caseload data'!P:P,'caseload data'!$D:$D,"PO",'caseload data'!$C:$C,'cluster overview'!$B$108,'caseload data'!$B:$B,"licence")</f>
        <v>0</v>
      </c>
      <c r="O117" s="79">
        <f>SUMIFS('caseload data'!Q:Q,'caseload data'!$D:$D,"PO",'caseload data'!$C:$C,'cluster overview'!$B$108,'caseload data'!$B:$B,"licence")</f>
        <v>0</v>
      </c>
      <c r="P117" s="79">
        <f>SUMIFS('caseload data'!R:R,'caseload data'!$D:$D,"PO",'caseload data'!$C:$C,'cluster overview'!$B$108,'caseload data'!$B:$B,"licence")</f>
        <v>0</v>
      </c>
      <c r="Q117" s="79">
        <f>SUMIFS('caseload data'!S:S,'caseload data'!$D:$D,"PO",'caseload data'!$C:$C,'cluster overview'!$B$108,'caseload data'!$B:$B,"licence")</f>
        <v>0</v>
      </c>
      <c r="R117" s="79">
        <f>SUMIFS('caseload data'!T:T,'caseload data'!$D:$D,"PO",'caseload data'!$C:$C,'cluster overview'!$B$108,'caseload data'!$B:$B,"licence")</f>
        <v>0</v>
      </c>
      <c r="U117" s="79" t="s">
        <v>1166</v>
      </c>
      <c r="V117" s="71" t="str">
        <f>IFERROR(C$117/SUM(C$117:C$120),"")</f>
        <v/>
      </c>
      <c r="W117" s="71" t="str">
        <f>IFERROR(D$117/SUM(D$117:D$120),"")</f>
        <v/>
      </c>
      <c r="X117" s="71" t="str">
        <f t="shared" ref="X117:AK117" si="12">IFERROR(E$117/SUM(E$117:E$120),"")</f>
        <v/>
      </c>
      <c r="Y117" s="71" t="str">
        <f t="shared" si="12"/>
        <v/>
      </c>
      <c r="Z117" s="71" t="str">
        <f t="shared" si="12"/>
        <v/>
      </c>
      <c r="AA117" s="71" t="str">
        <f t="shared" si="12"/>
        <v/>
      </c>
      <c r="AB117" s="71" t="str">
        <f t="shared" si="12"/>
        <v/>
      </c>
      <c r="AC117" s="71" t="str">
        <f t="shared" si="12"/>
        <v/>
      </c>
      <c r="AD117" s="71" t="str">
        <f t="shared" si="12"/>
        <v/>
      </c>
      <c r="AE117" s="71" t="str">
        <f t="shared" si="12"/>
        <v/>
      </c>
      <c r="AF117" s="71" t="str">
        <f t="shared" si="12"/>
        <v/>
      </c>
      <c r="AG117" s="71" t="str">
        <f t="shared" si="12"/>
        <v/>
      </c>
      <c r="AH117" s="71" t="str">
        <f t="shared" si="12"/>
        <v/>
      </c>
      <c r="AI117" s="71" t="str">
        <f t="shared" si="12"/>
        <v/>
      </c>
      <c r="AJ117" s="71" t="str">
        <f t="shared" si="12"/>
        <v/>
      </c>
      <c r="AK117" s="71" t="str">
        <f t="shared" si="12"/>
        <v/>
      </c>
    </row>
    <row r="118" spans="2:37" ht="14.25" customHeight="1" x14ac:dyDescent="0.15">
      <c r="B118" s="79" t="s">
        <v>1172</v>
      </c>
      <c r="C118" s="79">
        <f>SUMIFS('caseload data'!E:E,'caseload data'!$D:$D,"PSO",'caseload data'!$C:$C,'cluster overview'!$B$108,'caseload data'!$B:$B,"licence")</f>
        <v>0</v>
      </c>
      <c r="D118" s="79">
        <f>SUMIFS('caseload data'!F:F,'caseload data'!$D:$D,"PSO",'caseload data'!$C:$C,'cluster overview'!$B$108,'caseload data'!$B:$B,"licence")</f>
        <v>0</v>
      </c>
      <c r="E118" s="79">
        <f>SUMIFS('caseload data'!G:G,'caseload data'!$D:$D,"PSO",'caseload data'!$C:$C,'cluster overview'!$B$108,'caseload data'!$B:$B,"licence")</f>
        <v>0</v>
      </c>
      <c r="F118" s="79">
        <f>SUMIFS('caseload data'!H:H,'caseload data'!$D:$D,"PSO",'caseload data'!$C:$C,'cluster overview'!$B$108,'caseload data'!$B:$B,"licence")</f>
        <v>0</v>
      </c>
      <c r="G118" s="79">
        <f>SUMIFS('caseload data'!I:I,'caseload data'!$D:$D,"PSO",'caseload data'!$C:$C,'cluster overview'!$B$108,'caseload data'!$B:$B,"licence")</f>
        <v>0</v>
      </c>
      <c r="H118" s="79">
        <f>SUMIFS('caseload data'!J:J,'caseload data'!$D:$D,"PSO",'caseload data'!$C:$C,'cluster overview'!$B$108,'caseload data'!$B:$B,"licence")</f>
        <v>0</v>
      </c>
      <c r="I118" s="79">
        <f>SUMIFS('caseload data'!K:K,'caseload data'!$D:$D,"PSO",'caseload data'!$C:$C,'cluster overview'!$B$108,'caseload data'!$B:$B,"licence")</f>
        <v>0</v>
      </c>
      <c r="J118" s="79">
        <f>SUMIFS('caseload data'!L:L,'caseload data'!$D:$D,"PSO",'caseload data'!$C:$C,'cluster overview'!$B$108,'caseload data'!$B:$B,"licence")</f>
        <v>0</v>
      </c>
      <c r="K118" s="79">
        <f>SUMIFS('caseload data'!M:M,'caseload data'!$D:$D,"PSO",'caseload data'!$C:$C,'cluster overview'!$B$108,'caseload data'!$B:$B,"licence")</f>
        <v>0</v>
      </c>
      <c r="L118" s="79">
        <f>SUMIFS('caseload data'!N:N,'caseload data'!$D:$D,"PSO",'caseload data'!$C:$C,'cluster overview'!$B$108,'caseload data'!$B:$B,"licence")</f>
        <v>0</v>
      </c>
      <c r="M118" s="79">
        <f>SUMIFS('caseload data'!O:O,'caseload data'!$D:$D,"PSO",'caseload data'!$C:$C,'cluster overview'!$B$108,'caseload data'!$B:$B,"licence")</f>
        <v>0</v>
      </c>
      <c r="N118" s="79">
        <f>SUMIFS('caseload data'!P:P,'caseload data'!$D:$D,"PSO",'caseload data'!$C:$C,'cluster overview'!$B$108,'caseload data'!$B:$B,"licence")</f>
        <v>0</v>
      </c>
      <c r="O118" s="79">
        <f>SUMIFS('caseload data'!Q:Q,'caseload data'!$D:$D,"PSO",'caseload data'!$C:$C,'cluster overview'!$B$108,'caseload data'!$B:$B,"licence")</f>
        <v>0</v>
      </c>
      <c r="P118" s="79">
        <f>SUMIFS('caseload data'!R:R,'caseload data'!$D:$D,"PSO",'caseload data'!$C:$C,'cluster overview'!$B$108,'caseload data'!$B:$B,"licence")</f>
        <v>0</v>
      </c>
      <c r="Q118" s="79">
        <f>SUMIFS('caseload data'!S:S,'caseload data'!$D:$D,"PSO",'caseload data'!$C:$C,'cluster overview'!$B$108,'caseload data'!$B:$B,"licence")</f>
        <v>0</v>
      </c>
      <c r="R118" s="79">
        <f>SUMIFS('caseload data'!T:T,'caseload data'!$D:$D,"PSO",'caseload data'!$C:$C,'cluster overview'!$B$108,'caseload data'!$B:$B,"licence")</f>
        <v>0</v>
      </c>
      <c r="U118" s="79" t="s">
        <v>1172</v>
      </c>
      <c r="V118" s="71" t="str">
        <f>IFERROR(C$118/SUM(C$117:C$120),"")</f>
        <v/>
      </c>
      <c r="W118" s="71" t="str">
        <f>IFERROR(D$118/SUM(D$117:D$120),"")</f>
        <v/>
      </c>
      <c r="X118" s="71" t="str">
        <f t="shared" ref="X118:AK118" si="13">IFERROR(E$118/SUM(E$117:E$120),"")</f>
        <v/>
      </c>
      <c r="Y118" s="71" t="str">
        <f t="shared" si="13"/>
        <v/>
      </c>
      <c r="Z118" s="71" t="str">
        <f t="shared" si="13"/>
        <v/>
      </c>
      <c r="AA118" s="71" t="str">
        <f t="shared" si="13"/>
        <v/>
      </c>
      <c r="AB118" s="71" t="str">
        <f t="shared" si="13"/>
        <v/>
      </c>
      <c r="AC118" s="71" t="str">
        <f t="shared" si="13"/>
        <v/>
      </c>
      <c r="AD118" s="71" t="str">
        <f t="shared" si="13"/>
        <v/>
      </c>
      <c r="AE118" s="71" t="str">
        <f t="shared" si="13"/>
        <v/>
      </c>
      <c r="AF118" s="71" t="str">
        <f t="shared" si="13"/>
        <v/>
      </c>
      <c r="AG118" s="71" t="str">
        <f t="shared" si="13"/>
        <v/>
      </c>
      <c r="AH118" s="71" t="str">
        <f t="shared" si="13"/>
        <v/>
      </c>
      <c r="AI118" s="71" t="str">
        <f t="shared" si="13"/>
        <v/>
      </c>
      <c r="AJ118" s="71" t="str">
        <f t="shared" si="13"/>
        <v/>
      </c>
      <c r="AK118" s="71" t="str">
        <f t="shared" si="13"/>
        <v/>
      </c>
    </row>
    <row r="119" spans="2:37" ht="14.25" customHeight="1" x14ac:dyDescent="0.15">
      <c r="B119" s="79" t="s">
        <v>1173</v>
      </c>
      <c r="C119" s="79">
        <f>SUMIFS('caseload data'!E:E,'caseload data'!$D:$D,"TPO",'caseload data'!$C:$C,'cluster overview'!$B$108,'caseload data'!$B:$B,"licence")</f>
        <v>0</v>
      </c>
      <c r="D119" s="79">
        <f>SUMIFS('caseload data'!F:F,'caseload data'!$D:$D,"TPO",'caseload data'!$C:$C,'cluster overview'!$B$108,'caseload data'!$B:$B,"licence")</f>
        <v>0</v>
      </c>
      <c r="E119" s="79">
        <f>SUMIFS('caseload data'!G:G,'caseload data'!$D:$D,"TPO",'caseload data'!$C:$C,'cluster overview'!$B$108,'caseload data'!$B:$B,"licence")</f>
        <v>0</v>
      </c>
      <c r="F119" s="79">
        <f>SUMIFS('caseload data'!H:H,'caseload data'!$D:$D,"TPO",'caseload data'!$C:$C,'cluster overview'!$B$108,'caseload data'!$B:$B,"licence")</f>
        <v>0</v>
      </c>
      <c r="G119" s="79">
        <f>SUMIFS('caseload data'!I:I,'caseload data'!$D:$D,"TPO",'caseload data'!$C:$C,'cluster overview'!$B$108,'caseload data'!$B:$B,"licence")</f>
        <v>0</v>
      </c>
      <c r="H119" s="79">
        <f>SUMIFS('caseload data'!J:J,'caseload data'!$D:$D,"TPO",'caseload data'!$C:$C,'cluster overview'!$B$108,'caseload data'!$B:$B,"licence")</f>
        <v>0</v>
      </c>
      <c r="I119" s="79">
        <f>SUMIFS('caseload data'!K:K,'caseload data'!$D:$D,"TPO",'caseload data'!$C:$C,'cluster overview'!$B$108,'caseload data'!$B:$B,"licence")</f>
        <v>0</v>
      </c>
      <c r="J119" s="79">
        <f>SUMIFS('caseload data'!L:L,'caseload data'!$D:$D,"TPO",'caseload data'!$C:$C,'cluster overview'!$B$108,'caseload data'!$B:$B,"licence")</f>
        <v>0</v>
      </c>
      <c r="K119" s="79">
        <f>SUMIFS('caseload data'!M:M,'caseload data'!$D:$D,"TPO",'caseload data'!$C:$C,'cluster overview'!$B$108,'caseload data'!$B:$B,"licence")</f>
        <v>0</v>
      </c>
      <c r="L119" s="79">
        <f>SUMIFS('caseload data'!N:N,'caseload data'!$D:$D,"TPO",'caseload data'!$C:$C,'cluster overview'!$B$108,'caseload data'!$B:$B,"licence")</f>
        <v>0</v>
      </c>
      <c r="M119" s="79">
        <f>SUMIFS('caseload data'!O:O,'caseload data'!$D:$D,"TPO",'caseload data'!$C:$C,'cluster overview'!$B$108,'caseload data'!$B:$B,"licence")</f>
        <v>0</v>
      </c>
      <c r="N119" s="79">
        <f>SUMIFS('caseload data'!P:P,'caseload data'!$D:$D,"TPO",'caseload data'!$C:$C,'cluster overview'!$B$108,'caseload data'!$B:$B,"licence")</f>
        <v>0</v>
      </c>
      <c r="O119" s="79">
        <f>SUMIFS('caseload data'!Q:Q,'caseload data'!$D:$D,"TPO",'caseload data'!$C:$C,'cluster overview'!$B$108,'caseload data'!$B:$B,"licence")</f>
        <v>0</v>
      </c>
      <c r="P119" s="79">
        <f>SUMIFS('caseload data'!R:R,'caseload data'!$D:$D,"TPO",'caseload data'!$C:$C,'cluster overview'!$B$108,'caseload data'!$B:$B,"licence")</f>
        <v>0</v>
      </c>
      <c r="Q119" s="79">
        <f>SUMIFS('caseload data'!S:S,'caseload data'!$D:$D,"TPO",'caseload data'!$C:$C,'cluster overview'!$B$108,'caseload data'!$B:$B,"licence")</f>
        <v>0</v>
      </c>
      <c r="R119" s="79">
        <f>SUMIFS('caseload data'!T:T,'caseload data'!$D:$D,"TPO",'caseload data'!$C:$C,'cluster overview'!$B$108,'caseload data'!$B:$B,"licence")</f>
        <v>0</v>
      </c>
      <c r="U119" s="79" t="s">
        <v>1173</v>
      </c>
      <c r="V119" s="71" t="str">
        <f>IFERROR(C$119/SUM(C$117:C$120),"")</f>
        <v/>
      </c>
      <c r="W119" s="71" t="str">
        <f>IFERROR(D$119/SUM(D$117:D$120),"")</f>
        <v/>
      </c>
      <c r="X119" s="71" t="str">
        <f t="shared" ref="X119:AK119" si="14">IFERROR(E$119/SUM(E$117:E$120),"")</f>
        <v/>
      </c>
      <c r="Y119" s="71" t="str">
        <f t="shared" si="14"/>
        <v/>
      </c>
      <c r="Z119" s="71" t="str">
        <f t="shared" si="14"/>
        <v/>
      </c>
      <c r="AA119" s="71" t="str">
        <f t="shared" si="14"/>
        <v/>
      </c>
      <c r="AB119" s="71" t="str">
        <f t="shared" si="14"/>
        <v/>
      </c>
      <c r="AC119" s="71" t="str">
        <f t="shared" si="14"/>
        <v/>
      </c>
      <c r="AD119" s="71" t="str">
        <f t="shared" si="14"/>
        <v/>
      </c>
      <c r="AE119" s="71" t="str">
        <f t="shared" si="14"/>
        <v/>
      </c>
      <c r="AF119" s="71" t="str">
        <f t="shared" si="14"/>
        <v/>
      </c>
      <c r="AG119" s="71" t="str">
        <f t="shared" si="14"/>
        <v/>
      </c>
      <c r="AH119" s="71" t="str">
        <f t="shared" si="14"/>
        <v/>
      </c>
      <c r="AI119" s="71" t="str">
        <f t="shared" si="14"/>
        <v/>
      </c>
      <c r="AJ119" s="71" t="str">
        <f t="shared" si="14"/>
        <v/>
      </c>
      <c r="AK119" s="71" t="str">
        <f t="shared" si="14"/>
        <v/>
      </c>
    </row>
    <row r="120" spans="2:37" ht="14.25" customHeight="1" x14ac:dyDescent="0.15">
      <c r="B120" s="79" t="s">
        <v>1174</v>
      </c>
      <c r="C120" s="79">
        <f>SUMIFS('caseload data'!E:E,'caseload data'!$D:$D,"SPO",'caseload data'!$C:$C,'cluster overview'!$B$108,'caseload data'!$B:$B,"licence")</f>
        <v>0</v>
      </c>
      <c r="D120" s="79">
        <f>SUMIFS('caseload data'!F:F,'caseload data'!$D:$D,"SPO",'caseload data'!$C:$C,'cluster overview'!$B$108,'caseload data'!$B:$B,"licence")</f>
        <v>0</v>
      </c>
      <c r="E120" s="79">
        <f>SUMIFS('caseload data'!G:G,'caseload data'!$D:$D,"SPO",'caseload data'!$C:$C,'cluster overview'!$B$108,'caseload data'!$B:$B,"licence")</f>
        <v>0</v>
      </c>
      <c r="F120" s="79">
        <f>SUMIFS('caseload data'!H:H,'caseload data'!$D:$D,"SPO",'caseload data'!$C:$C,'cluster overview'!$B$108,'caseload data'!$B:$B,"licence")</f>
        <v>0</v>
      </c>
      <c r="G120" s="79">
        <f>SUMIFS('caseload data'!I:I,'caseload data'!$D:$D,"SPO",'caseload data'!$C:$C,'cluster overview'!$B$108,'caseload data'!$B:$B,"licence")</f>
        <v>0</v>
      </c>
      <c r="H120" s="79">
        <f>SUMIFS('caseload data'!J:J,'caseload data'!$D:$D,"SPO",'caseload data'!$C:$C,'cluster overview'!$B$108,'caseload data'!$B:$B,"licence")</f>
        <v>0</v>
      </c>
      <c r="I120" s="79">
        <f>SUMIFS('caseload data'!K:K,'caseload data'!$D:$D,"SPO",'caseload data'!$C:$C,'cluster overview'!$B$108,'caseload data'!$B:$B,"licence")</f>
        <v>0</v>
      </c>
      <c r="J120" s="79">
        <f>SUMIFS('caseload data'!L:L,'caseload data'!$D:$D,"SPO",'caseload data'!$C:$C,'cluster overview'!$B$108,'caseload data'!$B:$B,"licence")</f>
        <v>0</v>
      </c>
      <c r="K120" s="79">
        <f>SUMIFS('caseload data'!M:M,'caseload data'!$D:$D,"SPO",'caseload data'!$C:$C,'cluster overview'!$B$108,'caseload data'!$B:$B,"licence")</f>
        <v>0</v>
      </c>
      <c r="L120" s="79">
        <f>SUMIFS('caseload data'!N:N,'caseload data'!$D:$D,"SPO",'caseload data'!$C:$C,'cluster overview'!$B$108,'caseload data'!$B:$B,"licence")</f>
        <v>0</v>
      </c>
      <c r="M120" s="79">
        <f>SUMIFS('caseload data'!O:O,'caseload data'!$D:$D,"SPO",'caseload data'!$C:$C,'cluster overview'!$B$108,'caseload data'!$B:$B,"licence")</f>
        <v>0</v>
      </c>
      <c r="N120" s="79">
        <f>SUMIFS('caseload data'!P:P,'caseload data'!$D:$D,"SPO",'caseload data'!$C:$C,'cluster overview'!$B$108,'caseload data'!$B:$B,"licence")</f>
        <v>0</v>
      </c>
      <c r="O120" s="79">
        <f>SUMIFS('caseload data'!Q:Q,'caseload data'!$D:$D,"SPO",'caseload data'!$C:$C,'cluster overview'!$B$108,'caseload data'!$B:$B,"licence")</f>
        <v>0</v>
      </c>
      <c r="P120" s="79">
        <f>SUMIFS('caseload data'!R:R,'caseload data'!$D:$D,"SPO",'caseload data'!$C:$C,'cluster overview'!$B$108,'caseload data'!$B:$B,"licence")</f>
        <v>0</v>
      </c>
      <c r="Q120" s="79">
        <f>SUMIFS('caseload data'!S:S,'caseload data'!$D:$D,"SPO",'caseload data'!$C:$C,'cluster overview'!$B$108,'caseload data'!$B:$B,"licence")</f>
        <v>0</v>
      </c>
      <c r="R120" s="79">
        <f>SUMIFS('caseload data'!T:T,'caseload data'!$D:$D,"SPO",'caseload data'!$C:$C,'cluster overview'!$B$108,'caseload data'!$B:$B,"licence")</f>
        <v>0</v>
      </c>
      <c r="U120" s="79" t="s">
        <v>1174</v>
      </c>
      <c r="V120" s="71" t="str">
        <f>IFERROR(C$120/SUM(C$117:C$120),"")</f>
        <v/>
      </c>
      <c r="W120" s="71" t="str">
        <f>IFERROR(D$120/SUM(D$117:D$120),"")</f>
        <v/>
      </c>
      <c r="X120" s="71" t="str">
        <f t="shared" ref="X120:AK120" si="15">IFERROR(E$120/SUM(E$117:E$120),"")</f>
        <v/>
      </c>
      <c r="Y120" s="71" t="str">
        <f t="shared" si="15"/>
        <v/>
      </c>
      <c r="Z120" s="71" t="str">
        <f t="shared" si="15"/>
        <v/>
      </c>
      <c r="AA120" s="71" t="str">
        <f t="shared" si="15"/>
        <v/>
      </c>
      <c r="AB120" s="71" t="str">
        <f t="shared" si="15"/>
        <v/>
      </c>
      <c r="AC120" s="71" t="str">
        <f t="shared" si="15"/>
        <v/>
      </c>
      <c r="AD120" s="71" t="str">
        <f t="shared" si="15"/>
        <v/>
      </c>
      <c r="AE120" s="71" t="str">
        <f t="shared" si="15"/>
        <v/>
      </c>
      <c r="AF120" s="71" t="str">
        <f t="shared" si="15"/>
        <v/>
      </c>
      <c r="AG120" s="71" t="str">
        <f t="shared" si="15"/>
        <v/>
      </c>
      <c r="AH120" s="71" t="str">
        <f t="shared" si="15"/>
        <v/>
      </c>
      <c r="AI120" s="71" t="str">
        <f t="shared" si="15"/>
        <v/>
      </c>
      <c r="AJ120" s="71" t="str">
        <f t="shared" si="15"/>
        <v/>
      </c>
      <c r="AK120" s="71" t="str">
        <f t="shared" si="15"/>
        <v/>
      </c>
    </row>
    <row r="121" spans="2:37" ht="14.25" customHeight="1" x14ac:dyDescent="0.15">
      <c r="B121" s="22"/>
    </row>
    <row r="122" spans="2:37" ht="31.5" customHeight="1" x14ac:dyDescent="0.2">
      <c r="B122" s="118" t="str">
        <f>B6</f>
        <v>Hammersmith, Fulham, Kensington, Chelsea and Westminster</v>
      </c>
      <c r="C122" s="390" t="s">
        <v>1176</v>
      </c>
      <c r="D122" s="391"/>
      <c r="E122" s="391"/>
      <c r="F122" s="391"/>
      <c r="G122" s="391"/>
      <c r="H122" s="391"/>
      <c r="I122" s="391"/>
      <c r="J122" s="391"/>
      <c r="K122" s="391"/>
      <c r="L122" s="391"/>
      <c r="M122" s="391"/>
      <c r="N122" s="391"/>
      <c r="O122" s="391"/>
      <c r="P122" s="391"/>
      <c r="Q122" s="391"/>
      <c r="R122" s="391"/>
      <c r="U122" s="118" t="str">
        <f>B6</f>
        <v>Hammersmith, Fulham, Kensington, Chelsea and Westminster</v>
      </c>
      <c r="V122" s="392" t="s">
        <v>1238</v>
      </c>
      <c r="W122" s="393"/>
      <c r="X122" s="393"/>
      <c r="Y122" s="393"/>
      <c r="Z122" s="393"/>
      <c r="AA122" s="393"/>
      <c r="AB122" s="393"/>
      <c r="AC122" s="393"/>
      <c r="AD122" s="393"/>
      <c r="AE122" s="393"/>
      <c r="AF122" s="393"/>
      <c r="AG122" s="393"/>
      <c r="AH122" s="393"/>
      <c r="AI122" s="393"/>
      <c r="AJ122" s="393"/>
      <c r="AK122" s="393"/>
    </row>
    <row r="123" spans="2:37" ht="14.25" customHeight="1" x14ac:dyDescent="0.15">
      <c r="B123" s="99" t="s">
        <v>1170</v>
      </c>
      <c r="C123" s="40" t="s">
        <v>1022</v>
      </c>
      <c r="D123" s="40" t="s">
        <v>1023</v>
      </c>
      <c r="E123" s="40" t="s">
        <v>1024</v>
      </c>
      <c r="F123" s="40" t="s">
        <v>1025</v>
      </c>
      <c r="G123" s="40" t="s">
        <v>1026</v>
      </c>
      <c r="H123" s="40" t="s">
        <v>1027</v>
      </c>
      <c r="I123" s="40" t="s">
        <v>1028</v>
      </c>
      <c r="J123" s="40" t="s">
        <v>1029</v>
      </c>
      <c r="K123" s="40" t="s">
        <v>1030</v>
      </c>
      <c r="L123" s="40" t="s">
        <v>1031</v>
      </c>
      <c r="M123" s="40" t="s">
        <v>1032</v>
      </c>
      <c r="N123" s="40" t="s">
        <v>1033</v>
      </c>
      <c r="O123" s="40" t="s">
        <v>1034</v>
      </c>
      <c r="P123" s="40" t="s">
        <v>1035</v>
      </c>
      <c r="Q123" s="40" t="s">
        <v>1036</v>
      </c>
      <c r="R123" s="40" t="s">
        <v>1037</v>
      </c>
      <c r="U123" s="99" t="s">
        <v>1171</v>
      </c>
      <c r="V123" s="40" t="s">
        <v>1022</v>
      </c>
      <c r="W123" s="40" t="s">
        <v>1023</v>
      </c>
      <c r="X123" s="40" t="s">
        <v>1024</v>
      </c>
      <c r="Y123" s="40" t="s">
        <v>1025</v>
      </c>
      <c r="Z123" s="40" t="s">
        <v>1026</v>
      </c>
      <c r="AA123" s="40" t="s">
        <v>1027</v>
      </c>
      <c r="AB123" s="40" t="s">
        <v>1028</v>
      </c>
      <c r="AC123" s="40" t="s">
        <v>1029</v>
      </c>
      <c r="AD123" s="40" t="s">
        <v>1030</v>
      </c>
      <c r="AE123" s="40" t="s">
        <v>1031</v>
      </c>
      <c r="AF123" s="40" t="s">
        <v>1032</v>
      </c>
      <c r="AG123" s="40" t="s">
        <v>1033</v>
      </c>
      <c r="AH123" s="40" t="s">
        <v>1034</v>
      </c>
      <c r="AI123" s="40" t="s">
        <v>1035</v>
      </c>
      <c r="AJ123" s="40" t="s">
        <v>1036</v>
      </c>
      <c r="AK123" s="40" t="s">
        <v>1037</v>
      </c>
    </row>
    <row r="124" spans="2:37" ht="14.25" customHeight="1" x14ac:dyDescent="0.15">
      <c r="B124" s="79" t="s">
        <v>1166</v>
      </c>
      <c r="C124" s="79">
        <f>SUMIFS('caseload data'!E:E,'caseload data'!$D:$D,"PO",'caseload data'!$C:$C,'cluster overview'!$B$108,'caseload data'!$B:$B,"custody")</f>
        <v>0</v>
      </c>
      <c r="D124" s="79">
        <f>SUMIFS('caseload data'!F:F,'caseload data'!$D:$D,"PO",'caseload data'!$C:$C,'cluster overview'!$B$108,'caseload data'!$B:$B,"custody")</f>
        <v>0</v>
      </c>
      <c r="E124" s="79">
        <f>SUMIFS('caseload data'!G:G,'caseload data'!$D:$D,"PO",'caseload data'!$C:$C,'cluster overview'!$B$108,'caseload data'!$B:$B,"custody")</f>
        <v>0</v>
      </c>
      <c r="F124" s="79">
        <f>SUMIFS('caseload data'!H:H,'caseload data'!$D:$D,"PO",'caseload data'!$C:$C,'cluster overview'!$B$108,'caseload data'!$B:$B,"custody")</f>
        <v>0</v>
      </c>
      <c r="G124" s="79">
        <f>SUMIFS('caseload data'!I:I,'caseload data'!$D:$D,"PO",'caseload data'!$C:$C,'cluster overview'!$B$108,'caseload data'!$B:$B,"custody")</f>
        <v>0</v>
      </c>
      <c r="H124" s="79">
        <f>SUMIFS('caseload data'!J:J,'caseload data'!$D:$D,"PO",'caseload data'!$C:$C,'cluster overview'!$B$108,'caseload data'!$B:$B,"custody")</f>
        <v>0</v>
      </c>
      <c r="I124" s="79">
        <f>SUMIFS('caseload data'!K:K,'caseload data'!$D:$D,"PO",'caseload data'!$C:$C,'cluster overview'!$B$108,'caseload data'!$B:$B,"custody")</f>
        <v>0</v>
      </c>
      <c r="J124" s="79">
        <f>SUMIFS('caseload data'!L:L,'caseload data'!$D:$D,"PO",'caseload data'!$C:$C,'cluster overview'!$B$108,'caseload data'!$B:$B,"custody")</f>
        <v>0</v>
      </c>
      <c r="K124" s="79">
        <f>SUMIFS('caseload data'!M:M,'caseload data'!$D:$D,"PO",'caseload data'!$C:$C,'cluster overview'!$B$108,'caseload data'!$B:$B,"custody")</f>
        <v>0</v>
      </c>
      <c r="L124" s="79">
        <f>SUMIFS('caseload data'!N:N,'caseload data'!$D:$D,"PO",'caseload data'!$C:$C,'cluster overview'!$B$108,'caseload data'!$B:$B,"custody")</f>
        <v>0</v>
      </c>
      <c r="M124" s="79">
        <f>SUMIFS('caseload data'!O:O,'caseload data'!$D:$D,"PO",'caseload data'!$C:$C,'cluster overview'!$B$108,'caseload data'!$B:$B,"custody")</f>
        <v>0</v>
      </c>
      <c r="N124" s="79">
        <f>SUMIFS('caseload data'!P:P,'caseload data'!$D:$D,"PO",'caseload data'!$C:$C,'cluster overview'!$B$108,'caseload data'!$B:$B,"custody")</f>
        <v>0</v>
      </c>
      <c r="O124" s="79">
        <f>SUMIFS('caseload data'!Q:Q,'caseload data'!$D:$D,"PO",'caseload data'!$C:$C,'cluster overview'!$B$108,'caseload data'!$B:$B,"custody")</f>
        <v>0</v>
      </c>
      <c r="P124" s="79">
        <f>SUMIFS('caseload data'!R:R,'caseload data'!$D:$D,"PO",'caseload data'!$C:$C,'cluster overview'!$B$108,'caseload data'!$B:$B,"custody")</f>
        <v>0</v>
      </c>
      <c r="Q124" s="79">
        <f>SUMIFS('caseload data'!S:S,'caseload data'!$D:$D,"PO",'caseload data'!$C:$C,'cluster overview'!$B$108,'caseload data'!$B:$B,"custody")</f>
        <v>0</v>
      </c>
      <c r="R124" s="79">
        <f>SUMIFS('caseload data'!T:T,'caseload data'!$D:$D,"PO",'caseload data'!$C:$C,'cluster overview'!$B$108,'caseload data'!$B:$B,"custody")</f>
        <v>0</v>
      </c>
      <c r="U124" s="79" t="s">
        <v>1166</v>
      </c>
      <c r="V124" s="71" t="str">
        <f>IFERROR(C$124/SUM(C$124:C$127),"")</f>
        <v/>
      </c>
      <c r="W124" s="71" t="str">
        <f>IFERROR(D$124/SUM(D$124:D$127),"")</f>
        <v/>
      </c>
      <c r="X124" s="71" t="str">
        <f t="shared" ref="X124:AK124" si="16">IFERROR(E$124/SUM(E$124:E$127),"")</f>
        <v/>
      </c>
      <c r="Y124" s="71" t="str">
        <f t="shared" si="16"/>
        <v/>
      </c>
      <c r="Z124" s="71" t="str">
        <f t="shared" si="16"/>
        <v/>
      </c>
      <c r="AA124" s="71" t="str">
        <f t="shared" si="16"/>
        <v/>
      </c>
      <c r="AB124" s="71" t="str">
        <f t="shared" si="16"/>
        <v/>
      </c>
      <c r="AC124" s="71" t="str">
        <f t="shared" si="16"/>
        <v/>
      </c>
      <c r="AD124" s="71" t="str">
        <f t="shared" si="16"/>
        <v/>
      </c>
      <c r="AE124" s="71" t="str">
        <f t="shared" si="16"/>
        <v/>
      </c>
      <c r="AF124" s="71" t="str">
        <f t="shared" si="16"/>
        <v/>
      </c>
      <c r="AG124" s="71" t="str">
        <f t="shared" si="16"/>
        <v/>
      </c>
      <c r="AH124" s="71" t="str">
        <f t="shared" si="16"/>
        <v/>
      </c>
      <c r="AI124" s="71" t="str">
        <f t="shared" si="16"/>
        <v/>
      </c>
      <c r="AJ124" s="71" t="str">
        <f t="shared" si="16"/>
        <v/>
      </c>
      <c r="AK124" s="71" t="str">
        <f t="shared" si="16"/>
        <v/>
      </c>
    </row>
    <row r="125" spans="2:37" ht="14.25" customHeight="1" x14ac:dyDescent="0.15">
      <c r="B125" s="79" t="s">
        <v>1172</v>
      </c>
      <c r="C125" s="79">
        <f>SUMIFS('caseload data'!E:E,'caseload data'!$D:$D,"PSO",'caseload data'!$C:$C,'cluster overview'!$B$108,'caseload data'!$B:$B,"custody")</f>
        <v>0</v>
      </c>
      <c r="D125" s="79">
        <f>SUMIFS('caseload data'!F:F,'caseload data'!$D:$D,"PSO",'caseload data'!$C:$C,'cluster overview'!$B$108,'caseload data'!$B:$B,"custody")</f>
        <v>0</v>
      </c>
      <c r="E125" s="79">
        <f>SUMIFS('caseload data'!G:G,'caseload data'!$D:$D,"PSO",'caseload data'!$C:$C,'cluster overview'!$B$108,'caseload data'!$B:$B,"custody")</f>
        <v>0</v>
      </c>
      <c r="F125" s="79">
        <f>SUMIFS('caseload data'!H:H,'caseload data'!$D:$D,"PSO",'caseload data'!$C:$C,'cluster overview'!$B$108,'caseload data'!$B:$B,"custody")</f>
        <v>0</v>
      </c>
      <c r="G125" s="79">
        <f>SUMIFS('caseload data'!I:I,'caseload data'!$D:$D,"PSO",'caseload data'!$C:$C,'cluster overview'!$B$108,'caseload data'!$B:$B,"custody")</f>
        <v>0</v>
      </c>
      <c r="H125" s="79">
        <f>SUMIFS('caseload data'!J:J,'caseload data'!$D:$D,"PSO",'caseload data'!$C:$C,'cluster overview'!$B$108,'caseload data'!$B:$B,"custody")</f>
        <v>0</v>
      </c>
      <c r="I125" s="79">
        <f>SUMIFS('caseload data'!K:K,'caseload data'!$D:$D,"PSO",'caseload data'!$C:$C,'cluster overview'!$B$108,'caseload data'!$B:$B,"custody")</f>
        <v>0</v>
      </c>
      <c r="J125" s="79">
        <f>SUMIFS('caseload data'!L:L,'caseload data'!$D:$D,"PSO",'caseload data'!$C:$C,'cluster overview'!$B$108,'caseload data'!$B:$B,"custody")</f>
        <v>0</v>
      </c>
      <c r="K125" s="79">
        <f>SUMIFS('caseload data'!M:M,'caseload data'!$D:$D,"PSO",'caseload data'!$C:$C,'cluster overview'!$B$108,'caseload data'!$B:$B,"custody")</f>
        <v>0</v>
      </c>
      <c r="L125" s="79">
        <f>SUMIFS('caseload data'!N:N,'caseload data'!$D:$D,"PSO",'caseload data'!$C:$C,'cluster overview'!$B$108,'caseload data'!$B:$B,"custody")</f>
        <v>0</v>
      </c>
      <c r="M125" s="79">
        <f>SUMIFS('caseload data'!O:O,'caseload data'!$D:$D,"PSO",'caseload data'!$C:$C,'cluster overview'!$B$108,'caseload data'!$B:$B,"custody")</f>
        <v>0</v>
      </c>
      <c r="N125" s="79">
        <f>SUMIFS('caseload data'!P:P,'caseload data'!$D:$D,"PSO",'caseload data'!$C:$C,'cluster overview'!$B$108,'caseload data'!$B:$B,"custody")</f>
        <v>0</v>
      </c>
      <c r="O125" s="79">
        <f>SUMIFS('caseload data'!Q:Q,'caseload data'!$D:$D,"PSO",'caseload data'!$C:$C,'cluster overview'!$B$108,'caseload data'!$B:$B,"custody")</f>
        <v>0</v>
      </c>
      <c r="P125" s="79">
        <f>SUMIFS('caseload data'!R:R,'caseload data'!$D:$D,"PSO",'caseload data'!$C:$C,'cluster overview'!$B$108,'caseload data'!$B:$B,"custody")</f>
        <v>0</v>
      </c>
      <c r="Q125" s="79">
        <f>SUMIFS('caseload data'!S:S,'caseload data'!$D:$D,"PSO",'caseload data'!$C:$C,'cluster overview'!$B$108,'caseload data'!$B:$B,"custody")</f>
        <v>0</v>
      </c>
      <c r="R125" s="79">
        <f>SUMIFS('caseload data'!T:T,'caseload data'!$D:$D,"PSO",'caseload data'!$C:$C,'cluster overview'!$B$108,'caseload data'!$B:$B,"custody")</f>
        <v>0</v>
      </c>
      <c r="U125" s="79" t="s">
        <v>1172</v>
      </c>
      <c r="V125" s="71" t="str">
        <f>IFERROR(C$125/SUM(C$124:C$127),"")</f>
        <v/>
      </c>
      <c r="W125" s="71" t="str">
        <f>IFERROR(D$125/SUM(D$124:D$127),"")</f>
        <v/>
      </c>
      <c r="X125" s="71" t="str">
        <f t="shared" ref="X125:AK125" si="17">IFERROR(E$125/SUM(E$124:E$127),"")</f>
        <v/>
      </c>
      <c r="Y125" s="71" t="str">
        <f t="shared" si="17"/>
        <v/>
      </c>
      <c r="Z125" s="71" t="str">
        <f t="shared" si="17"/>
        <v/>
      </c>
      <c r="AA125" s="71" t="str">
        <f t="shared" si="17"/>
        <v/>
      </c>
      <c r="AB125" s="71" t="str">
        <f t="shared" si="17"/>
        <v/>
      </c>
      <c r="AC125" s="71" t="str">
        <f t="shared" si="17"/>
        <v/>
      </c>
      <c r="AD125" s="71" t="str">
        <f t="shared" si="17"/>
        <v/>
      </c>
      <c r="AE125" s="71" t="str">
        <f t="shared" si="17"/>
        <v/>
      </c>
      <c r="AF125" s="71" t="str">
        <f t="shared" si="17"/>
        <v/>
      </c>
      <c r="AG125" s="71" t="str">
        <f t="shared" si="17"/>
        <v/>
      </c>
      <c r="AH125" s="71" t="str">
        <f t="shared" si="17"/>
        <v/>
      </c>
      <c r="AI125" s="71" t="str">
        <f t="shared" si="17"/>
        <v/>
      </c>
      <c r="AJ125" s="71" t="str">
        <f t="shared" si="17"/>
        <v/>
      </c>
      <c r="AK125" s="71" t="str">
        <f t="shared" si="17"/>
        <v/>
      </c>
    </row>
    <row r="126" spans="2:37" ht="14.25" customHeight="1" x14ac:dyDescent="0.15">
      <c r="B126" s="79" t="s">
        <v>1173</v>
      </c>
      <c r="C126" s="79">
        <f>SUMIFS('caseload data'!E:E,'caseload data'!$D:$D,"TPO",'caseload data'!$C:$C,'cluster overview'!$B$108,'caseload data'!$B:$B,"custody")</f>
        <v>0</v>
      </c>
      <c r="D126" s="79">
        <f>SUMIFS('caseload data'!F:F,'caseload data'!$D:$D,"TPO",'caseload data'!$C:$C,'cluster overview'!$B$108,'caseload data'!$B:$B,"custody")</f>
        <v>0</v>
      </c>
      <c r="E126" s="79">
        <f>SUMIFS('caseload data'!G:G,'caseload data'!$D:$D,"TPO",'caseload data'!$C:$C,'cluster overview'!$B$108,'caseload data'!$B:$B,"custody")</f>
        <v>0</v>
      </c>
      <c r="F126" s="79">
        <f>SUMIFS('caseload data'!H:H,'caseload data'!$D:$D,"TPO",'caseload data'!$C:$C,'cluster overview'!$B$108,'caseload data'!$B:$B,"custody")</f>
        <v>0</v>
      </c>
      <c r="G126" s="79">
        <f>SUMIFS('caseload data'!I:I,'caseload data'!$D:$D,"TPO",'caseload data'!$C:$C,'cluster overview'!$B$108,'caseload data'!$B:$B,"custody")</f>
        <v>0</v>
      </c>
      <c r="H126" s="79">
        <f>SUMIFS('caseload data'!J:J,'caseload data'!$D:$D,"TPO",'caseload data'!$C:$C,'cluster overview'!$B$108,'caseload data'!$B:$B,"custody")</f>
        <v>0</v>
      </c>
      <c r="I126" s="79">
        <f>SUMIFS('caseload data'!K:K,'caseload data'!$D:$D,"TPO",'caseload data'!$C:$C,'cluster overview'!$B$108,'caseload data'!$B:$B,"custody")</f>
        <v>0</v>
      </c>
      <c r="J126" s="79">
        <f>SUMIFS('caseload data'!L:L,'caseload data'!$D:$D,"TPO",'caseload data'!$C:$C,'cluster overview'!$B$108,'caseload data'!$B:$B,"custody")</f>
        <v>0</v>
      </c>
      <c r="K126" s="79">
        <f>SUMIFS('caseload data'!M:M,'caseload data'!$D:$D,"TPO",'caseload data'!$C:$C,'cluster overview'!$B$108,'caseload data'!$B:$B,"custody")</f>
        <v>0</v>
      </c>
      <c r="L126" s="79">
        <f>SUMIFS('caseload data'!N:N,'caseload data'!$D:$D,"TPO",'caseload data'!$C:$C,'cluster overview'!$B$108,'caseload data'!$B:$B,"custody")</f>
        <v>0</v>
      </c>
      <c r="M126" s="79">
        <f>SUMIFS('caseload data'!O:O,'caseload data'!$D:$D,"TPO",'caseload data'!$C:$C,'cluster overview'!$B$108,'caseload data'!$B:$B,"custody")</f>
        <v>0</v>
      </c>
      <c r="N126" s="79">
        <f>SUMIFS('caseload data'!P:P,'caseload data'!$D:$D,"TPO",'caseload data'!$C:$C,'cluster overview'!$B$108,'caseload data'!$B:$B,"custody")</f>
        <v>0</v>
      </c>
      <c r="O126" s="79">
        <f>SUMIFS('caseload data'!Q:Q,'caseload data'!$D:$D,"TPO",'caseload data'!$C:$C,'cluster overview'!$B$108,'caseload data'!$B:$B,"custody")</f>
        <v>0</v>
      </c>
      <c r="P126" s="79">
        <f>SUMIFS('caseload data'!R:R,'caseload data'!$D:$D,"TPO",'caseload data'!$C:$C,'cluster overview'!$B$108,'caseload data'!$B:$B,"custody")</f>
        <v>0</v>
      </c>
      <c r="Q126" s="79">
        <f>SUMIFS('caseload data'!S:S,'caseload data'!$D:$D,"TPO",'caseload data'!$C:$C,'cluster overview'!$B$108,'caseload data'!$B:$B,"custody")</f>
        <v>0</v>
      </c>
      <c r="R126" s="79">
        <f>SUMIFS('caseload data'!T:T,'caseload data'!$D:$D,"TPO",'caseload data'!$C:$C,'cluster overview'!$B$108,'caseload data'!$B:$B,"custody")</f>
        <v>0</v>
      </c>
      <c r="U126" s="79" t="s">
        <v>1173</v>
      </c>
      <c r="V126" s="71" t="str">
        <f>IFERROR(C$126/SUM(C$124:C$127),"")</f>
        <v/>
      </c>
      <c r="W126" s="71" t="str">
        <f>IFERROR(D$126/SUM(D$124:D$127),"")</f>
        <v/>
      </c>
      <c r="X126" s="71" t="str">
        <f t="shared" ref="X126:AK126" si="18">IFERROR(E$126/SUM(E$124:E$127),"")</f>
        <v/>
      </c>
      <c r="Y126" s="71" t="str">
        <f t="shared" si="18"/>
        <v/>
      </c>
      <c r="Z126" s="71" t="str">
        <f t="shared" si="18"/>
        <v/>
      </c>
      <c r="AA126" s="71" t="str">
        <f t="shared" si="18"/>
        <v/>
      </c>
      <c r="AB126" s="71" t="str">
        <f t="shared" si="18"/>
        <v/>
      </c>
      <c r="AC126" s="71" t="str">
        <f t="shared" si="18"/>
        <v/>
      </c>
      <c r="AD126" s="71" t="str">
        <f t="shared" si="18"/>
        <v/>
      </c>
      <c r="AE126" s="71" t="str">
        <f t="shared" si="18"/>
        <v/>
      </c>
      <c r="AF126" s="71" t="str">
        <f t="shared" si="18"/>
        <v/>
      </c>
      <c r="AG126" s="71" t="str">
        <f t="shared" si="18"/>
        <v/>
      </c>
      <c r="AH126" s="71" t="str">
        <f t="shared" si="18"/>
        <v/>
      </c>
      <c r="AI126" s="71" t="str">
        <f t="shared" si="18"/>
        <v/>
      </c>
      <c r="AJ126" s="71" t="str">
        <f t="shared" si="18"/>
        <v/>
      </c>
      <c r="AK126" s="71" t="str">
        <f t="shared" si="18"/>
        <v/>
      </c>
    </row>
    <row r="127" spans="2:37" ht="14.25" customHeight="1" x14ac:dyDescent="0.15">
      <c r="B127" s="79" t="s">
        <v>1174</v>
      </c>
      <c r="C127" s="79">
        <f>SUMIFS('caseload data'!E:E,'caseload data'!$D:$D,"SPO",'caseload data'!$C:$C,'cluster overview'!$B$108,'caseload data'!$B:$B,"custody")</f>
        <v>0</v>
      </c>
      <c r="D127" s="79">
        <f>SUMIFS('caseload data'!F:F,'caseload data'!$D:$D,"SPO",'caseload data'!$C:$C,'cluster overview'!$B$108,'caseload data'!$B:$B,"custody")</f>
        <v>0</v>
      </c>
      <c r="E127" s="79">
        <f>SUMIFS('caseload data'!G:G,'caseload data'!$D:$D,"SPO",'caseload data'!$C:$C,'cluster overview'!$B$108,'caseload data'!$B:$B,"custody")</f>
        <v>0</v>
      </c>
      <c r="F127" s="79">
        <f>SUMIFS('caseload data'!H:H,'caseload data'!$D:$D,"SPO",'caseload data'!$C:$C,'cluster overview'!$B$108,'caseload data'!$B:$B,"custody")</f>
        <v>0</v>
      </c>
      <c r="G127" s="79">
        <f>SUMIFS('caseload data'!I:I,'caseload data'!$D:$D,"SPO",'caseload data'!$C:$C,'cluster overview'!$B$108,'caseload data'!$B:$B,"custody")</f>
        <v>0</v>
      </c>
      <c r="H127" s="79">
        <f>SUMIFS('caseload data'!J:J,'caseload data'!$D:$D,"SPO",'caseload data'!$C:$C,'cluster overview'!$B$108,'caseload data'!$B:$B,"custody")</f>
        <v>0</v>
      </c>
      <c r="I127" s="79">
        <f>SUMIFS('caseload data'!K:K,'caseload data'!$D:$D,"SPO",'caseload data'!$C:$C,'cluster overview'!$B$108,'caseload data'!$B:$B,"custody")</f>
        <v>0</v>
      </c>
      <c r="J127" s="79">
        <f>SUMIFS('caseload data'!L:L,'caseload data'!$D:$D,"SPO",'caseload data'!$C:$C,'cluster overview'!$B$108,'caseload data'!$B:$B,"custody")</f>
        <v>0</v>
      </c>
      <c r="K127" s="79">
        <f>SUMIFS('caseload data'!M:M,'caseload data'!$D:$D,"SPO",'caseload data'!$C:$C,'cluster overview'!$B$108,'caseload data'!$B:$B,"custody")</f>
        <v>0</v>
      </c>
      <c r="L127" s="79">
        <f>SUMIFS('caseload data'!N:N,'caseload data'!$D:$D,"SPO",'caseload data'!$C:$C,'cluster overview'!$B$108,'caseload data'!$B:$B,"custody")</f>
        <v>0</v>
      </c>
      <c r="M127" s="79">
        <f>SUMIFS('caseload data'!O:O,'caseload data'!$D:$D,"SPO",'caseload data'!$C:$C,'cluster overview'!$B$108,'caseload data'!$B:$B,"custody")</f>
        <v>0</v>
      </c>
      <c r="N127" s="79">
        <f>SUMIFS('caseload data'!P:P,'caseload data'!$D:$D,"SPO",'caseload data'!$C:$C,'cluster overview'!$B$108,'caseload data'!$B:$B,"custody")</f>
        <v>0</v>
      </c>
      <c r="O127" s="79">
        <f>SUMIFS('caseload data'!Q:Q,'caseload data'!$D:$D,"SPO",'caseload data'!$C:$C,'cluster overview'!$B$108,'caseload data'!$B:$B,"custody")</f>
        <v>0</v>
      </c>
      <c r="P127" s="79">
        <f>SUMIFS('caseload data'!R:R,'caseload data'!$D:$D,"SPO",'caseload data'!$C:$C,'cluster overview'!$B$108,'caseload data'!$B:$B,"custody")</f>
        <v>0</v>
      </c>
      <c r="Q127" s="79">
        <f>SUMIFS('caseload data'!S:S,'caseload data'!$D:$D,"SPO",'caseload data'!$C:$C,'cluster overview'!$B$108,'caseload data'!$B:$B,"custody")</f>
        <v>0</v>
      </c>
      <c r="R127" s="79">
        <f>SUMIFS('caseload data'!T:T,'caseload data'!$D:$D,"SPO",'caseload data'!$C:$C,'cluster overview'!$B$108,'caseload data'!$B:$B,"custody")</f>
        <v>0</v>
      </c>
      <c r="U127" s="79" t="s">
        <v>1174</v>
      </c>
      <c r="V127" s="71" t="str">
        <f>IFERROR(C$127/SUM(C$124:C$127),"")</f>
        <v/>
      </c>
      <c r="W127" s="71" t="str">
        <f>IFERROR(D$127/SUM(D$124:D$127),"")</f>
        <v/>
      </c>
      <c r="X127" s="71" t="str">
        <f t="shared" ref="X127:AK127" si="19">IFERROR(E$127/SUM(E$124:E$127),"")</f>
        <v/>
      </c>
      <c r="Y127" s="71" t="str">
        <f t="shared" si="19"/>
        <v/>
      </c>
      <c r="Z127" s="71" t="str">
        <f t="shared" si="19"/>
        <v/>
      </c>
      <c r="AA127" s="71" t="str">
        <f t="shared" si="19"/>
        <v/>
      </c>
      <c r="AB127" s="71" t="str">
        <f t="shared" si="19"/>
        <v/>
      </c>
      <c r="AC127" s="71" t="str">
        <f t="shared" si="19"/>
        <v/>
      </c>
      <c r="AD127" s="71" t="str">
        <f t="shared" si="19"/>
        <v/>
      </c>
      <c r="AE127" s="71" t="str">
        <f t="shared" si="19"/>
        <v/>
      </c>
      <c r="AF127" s="71" t="str">
        <f t="shared" si="19"/>
        <v/>
      </c>
      <c r="AG127" s="71" t="str">
        <f t="shared" si="19"/>
        <v/>
      </c>
      <c r="AH127" s="71" t="str">
        <f t="shared" si="19"/>
        <v/>
      </c>
      <c r="AI127" s="71" t="str">
        <f t="shared" si="19"/>
        <v/>
      </c>
      <c r="AJ127" s="71" t="str">
        <f t="shared" si="19"/>
        <v/>
      </c>
      <c r="AK127" s="71" t="str">
        <f t="shared" si="19"/>
        <v/>
      </c>
    </row>
    <row r="128" spans="2:37" ht="14.25" customHeight="1" x14ac:dyDescent="0.15"/>
    <row r="129" spans="2:37" ht="31.5" customHeight="1" x14ac:dyDescent="0.2">
      <c r="B129" s="118" t="str">
        <f>B6</f>
        <v>Hammersmith, Fulham, Kensington, Chelsea and Westminster</v>
      </c>
      <c r="C129" s="390" t="s">
        <v>1177</v>
      </c>
      <c r="D129" s="391"/>
      <c r="E129" s="391"/>
      <c r="F129" s="391"/>
      <c r="G129" s="391"/>
      <c r="H129" s="391"/>
      <c r="I129" s="391"/>
      <c r="J129" s="391"/>
      <c r="K129" s="391"/>
      <c r="L129" s="391"/>
      <c r="M129" s="391"/>
      <c r="N129" s="391"/>
      <c r="O129" s="391"/>
      <c r="P129" s="391"/>
      <c r="Q129" s="391"/>
      <c r="R129" s="391"/>
      <c r="U129" s="118" t="str">
        <f>B6</f>
        <v>Hammersmith, Fulham, Kensington, Chelsea and Westminster</v>
      </c>
      <c r="V129" s="392" t="s">
        <v>1239</v>
      </c>
      <c r="W129" s="393"/>
      <c r="X129" s="393"/>
      <c r="Y129" s="393"/>
      <c r="Z129" s="393"/>
      <c r="AA129" s="393"/>
      <c r="AB129" s="393"/>
      <c r="AC129" s="393"/>
      <c r="AD129" s="393"/>
      <c r="AE129" s="393"/>
      <c r="AF129" s="393"/>
      <c r="AG129" s="393"/>
      <c r="AH129" s="393"/>
      <c r="AI129" s="393"/>
      <c r="AJ129" s="393"/>
      <c r="AK129" s="393"/>
    </row>
    <row r="130" spans="2:37" ht="14.25" customHeight="1" x14ac:dyDescent="0.15">
      <c r="B130" s="99" t="s">
        <v>1170</v>
      </c>
      <c r="C130" s="40" t="s">
        <v>1022</v>
      </c>
      <c r="D130" s="40" t="s">
        <v>1023</v>
      </c>
      <c r="E130" s="40" t="s">
        <v>1024</v>
      </c>
      <c r="F130" s="40" t="s">
        <v>1025</v>
      </c>
      <c r="G130" s="40" t="s">
        <v>1026</v>
      </c>
      <c r="H130" s="40" t="s">
        <v>1027</v>
      </c>
      <c r="I130" s="40" t="s">
        <v>1028</v>
      </c>
      <c r="J130" s="40" t="s">
        <v>1029</v>
      </c>
      <c r="K130" s="40" t="s">
        <v>1030</v>
      </c>
      <c r="L130" s="40" t="s">
        <v>1031</v>
      </c>
      <c r="M130" s="40" t="s">
        <v>1032</v>
      </c>
      <c r="N130" s="40" t="s">
        <v>1033</v>
      </c>
      <c r="O130" s="40" t="s">
        <v>1034</v>
      </c>
      <c r="P130" s="40" t="s">
        <v>1035</v>
      </c>
      <c r="Q130" s="40" t="s">
        <v>1036</v>
      </c>
      <c r="R130" s="40" t="s">
        <v>1037</v>
      </c>
      <c r="U130" s="54" t="s">
        <v>1171</v>
      </c>
      <c r="V130" s="40" t="s">
        <v>1022</v>
      </c>
      <c r="W130" s="40" t="s">
        <v>1023</v>
      </c>
      <c r="X130" s="40" t="s">
        <v>1024</v>
      </c>
      <c r="Y130" s="40" t="s">
        <v>1025</v>
      </c>
      <c r="Z130" s="40" t="s">
        <v>1026</v>
      </c>
      <c r="AA130" s="40" t="s">
        <v>1027</v>
      </c>
      <c r="AB130" s="40" t="s">
        <v>1028</v>
      </c>
      <c r="AC130" s="40" t="s">
        <v>1029</v>
      </c>
      <c r="AD130" s="40" t="s">
        <v>1030</v>
      </c>
      <c r="AE130" s="40" t="s">
        <v>1031</v>
      </c>
      <c r="AF130" s="40" t="s">
        <v>1032</v>
      </c>
      <c r="AG130" s="40" t="s">
        <v>1033</v>
      </c>
      <c r="AH130" s="40" t="s">
        <v>1034</v>
      </c>
      <c r="AI130" s="40" t="s">
        <v>1035</v>
      </c>
      <c r="AJ130" s="40" t="s">
        <v>1036</v>
      </c>
      <c r="AK130" s="40" t="s">
        <v>1037</v>
      </c>
    </row>
    <row r="131" spans="2:37" ht="14.25" customHeight="1" x14ac:dyDescent="0.15">
      <c r="B131" s="79" t="s">
        <v>1166</v>
      </c>
      <c r="C131" s="79">
        <f>SUMIFS('caseload data'!E:E,'caseload data'!$D:$D,"PO",'caseload data'!$C:$C,'cluster overview'!$B$115)</f>
        <v>0</v>
      </c>
      <c r="D131" s="79">
        <f>SUMIFS('caseload data'!F:F,'caseload data'!$D:$D,"PO",'caseload data'!$C:$C,'cluster overview'!$B$115)</f>
        <v>0</v>
      </c>
      <c r="E131" s="79">
        <f>SUMIFS('caseload data'!G:G,'caseload data'!$D:$D,"PO",'caseload data'!$C:$C,'cluster overview'!$B$115)</f>
        <v>0</v>
      </c>
      <c r="F131" s="79">
        <f>SUMIFS('caseload data'!H:H,'caseload data'!$D:$D,"PO",'caseload data'!$C:$C,'cluster overview'!$B$115)</f>
        <v>0</v>
      </c>
      <c r="G131" s="79">
        <f>SUMIFS('caseload data'!I:I,'caseload data'!$D:$D,"PO",'caseload data'!$C:$C,'cluster overview'!$B$115)</f>
        <v>0</v>
      </c>
      <c r="H131" s="79">
        <f>SUMIFS('caseload data'!J:J,'caseload data'!$D:$D,"PO",'caseload data'!$C:$C,'cluster overview'!$B$115)</f>
        <v>0</v>
      </c>
      <c r="I131" s="79">
        <f>SUMIFS('caseload data'!K:K,'caseload data'!$D:$D,"PO",'caseload data'!$C:$C,'cluster overview'!$B$115)</f>
        <v>0</v>
      </c>
      <c r="J131" s="79">
        <f>SUMIFS('caseload data'!L:L,'caseload data'!$D:$D,"PO",'caseload data'!$C:$C,'cluster overview'!$B$115)</f>
        <v>0</v>
      </c>
      <c r="K131" s="79">
        <f>SUMIFS('caseload data'!M:M,'caseload data'!$D:$D,"PO",'caseload data'!$C:$C,'cluster overview'!$B$115)</f>
        <v>0</v>
      </c>
      <c r="L131" s="79">
        <f>SUMIFS('caseload data'!N:N,'caseload data'!$D:$D,"PO",'caseload data'!$C:$C,'cluster overview'!$B$115)</f>
        <v>0</v>
      </c>
      <c r="M131" s="79">
        <f>SUMIFS('caseload data'!O:O,'caseload data'!$D:$D,"PO",'caseload data'!$C:$C,'cluster overview'!$B$115)</f>
        <v>0</v>
      </c>
      <c r="N131" s="79">
        <f>SUMIFS('caseload data'!P:P,'caseload data'!$D:$D,"PO",'caseload data'!$C:$C,'cluster overview'!$B$115)</f>
        <v>0</v>
      </c>
      <c r="O131" s="79">
        <f>SUMIFS('caseload data'!Q:Q,'caseload data'!$D:$D,"PO",'caseload data'!$C:$C,'cluster overview'!$B$115)</f>
        <v>0</v>
      </c>
      <c r="P131" s="79">
        <f>SUMIFS('caseload data'!R:R,'caseload data'!$D:$D,"PO",'caseload data'!$C:$C,'cluster overview'!$B$115)</f>
        <v>0</v>
      </c>
      <c r="Q131" s="79">
        <f>SUMIFS('caseload data'!S:S,'caseload data'!$D:$D,"PO",'caseload data'!$C:$C,'cluster overview'!$B$115)</f>
        <v>0</v>
      </c>
      <c r="R131" s="79">
        <f>SUMIFS('caseload data'!T:T,'caseload data'!$D:$D,"PO",'caseload data'!$C:$C,'cluster overview'!$B$115)</f>
        <v>0</v>
      </c>
      <c r="U131" s="79" t="s">
        <v>1166</v>
      </c>
      <c r="V131" s="71" t="str">
        <f>IFERROR(C$131/SUM(C$131:C$134),"")</f>
        <v/>
      </c>
      <c r="W131" s="71" t="str">
        <f>IFERROR(D$131/SUM(D$131:D$134),"")</f>
        <v/>
      </c>
      <c r="X131" s="71" t="str">
        <f t="shared" ref="X131:AK131" si="20">IFERROR(E$131/SUM(E$131:E$134),"")</f>
        <v/>
      </c>
      <c r="Y131" s="71" t="str">
        <f t="shared" si="20"/>
        <v/>
      </c>
      <c r="Z131" s="71" t="str">
        <f t="shared" si="20"/>
        <v/>
      </c>
      <c r="AA131" s="71" t="str">
        <f t="shared" si="20"/>
        <v/>
      </c>
      <c r="AB131" s="71" t="str">
        <f t="shared" si="20"/>
        <v/>
      </c>
      <c r="AC131" s="71" t="str">
        <f t="shared" si="20"/>
        <v/>
      </c>
      <c r="AD131" s="71" t="str">
        <f t="shared" si="20"/>
        <v/>
      </c>
      <c r="AE131" s="71" t="str">
        <f t="shared" si="20"/>
        <v/>
      </c>
      <c r="AF131" s="71" t="str">
        <f t="shared" si="20"/>
        <v/>
      </c>
      <c r="AG131" s="71" t="str">
        <f t="shared" si="20"/>
        <v/>
      </c>
      <c r="AH131" s="71" t="str">
        <f t="shared" si="20"/>
        <v/>
      </c>
      <c r="AI131" s="71" t="str">
        <f t="shared" si="20"/>
        <v/>
      </c>
      <c r="AJ131" s="71" t="str">
        <f t="shared" si="20"/>
        <v/>
      </c>
      <c r="AK131" s="71" t="str">
        <f t="shared" si="20"/>
        <v/>
      </c>
    </row>
    <row r="132" spans="2:37" ht="14.25" customHeight="1" x14ac:dyDescent="0.15">
      <c r="B132" s="79" t="s">
        <v>1172</v>
      </c>
      <c r="C132" s="79">
        <f>SUMIFS('caseload data'!E:E,'caseload data'!$D:$D,"PSO",'caseload data'!$C:$C,'cluster overview'!$B$115)</f>
        <v>0</v>
      </c>
      <c r="D132" s="79">
        <f>SUMIFS('caseload data'!F:F,'caseload data'!$D:$D,"PSO",'caseload data'!$C:$C,'cluster overview'!$B$115)</f>
        <v>0</v>
      </c>
      <c r="E132" s="79">
        <f>SUMIFS('caseload data'!G:G,'caseload data'!$D:$D,"PSO",'caseload data'!$C:$C,'cluster overview'!$B$115)</f>
        <v>0</v>
      </c>
      <c r="F132" s="79">
        <f>SUMIFS('caseload data'!H:H,'caseload data'!$D:$D,"PSO",'caseload data'!$C:$C,'cluster overview'!$B$115)</f>
        <v>0</v>
      </c>
      <c r="G132" s="79">
        <f>SUMIFS('caseload data'!I:I,'caseload data'!$D:$D,"PSO",'caseload data'!$C:$C,'cluster overview'!$B$115)</f>
        <v>0</v>
      </c>
      <c r="H132" s="79">
        <f>SUMIFS('caseload data'!J:J,'caseload data'!$D:$D,"PSO",'caseload data'!$C:$C,'cluster overview'!$B$115)</f>
        <v>0</v>
      </c>
      <c r="I132" s="79">
        <f>SUMIFS('caseload data'!K:K,'caseload data'!$D:$D,"PSO",'caseload data'!$C:$C,'cluster overview'!$B$115)</f>
        <v>0</v>
      </c>
      <c r="J132" s="79">
        <f>SUMIFS('caseload data'!L:L,'caseload data'!$D:$D,"PSO",'caseload data'!$C:$C,'cluster overview'!$B$115)</f>
        <v>0</v>
      </c>
      <c r="K132" s="79">
        <f>SUMIFS('caseload data'!M:M,'caseload data'!$D:$D,"PSO",'caseload data'!$C:$C,'cluster overview'!$B$115)</f>
        <v>0</v>
      </c>
      <c r="L132" s="79">
        <f>SUMIFS('caseload data'!N:N,'caseload data'!$D:$D,"PSO",'caseload data'!$C:$C,'cluster overview'!$B$115)</f>
        <v>0</v>
      </c>
      <c r="M132" s="79">
        <f>SUMIFS('caseload data'!O:O,'caseload data'!$D:$D,"PSO",'caseload data'!$C:$C,'cluster overview'!$B$115)</f>
        <v>0</v>
      </c>
      <c r="N132" s="79">
        <f>SUMIFS('caseload data'!P:P,'caseload data'!$D:$D,"PSO",'caseload data'!$C:$C,'cluster overview'!$B$115)</f>
        <v>0</v>
      </c>
      <c r="O132" s="79">
        <f>SUMIFS('caseload data'!Q:Q,'caseload data'!$D:$D,"PSO",'caseload data'!$C:$C,'cluster overview'!$B$115)</f>
        <v>0</v>
      </c>
      <c r="P132" s="79">
        <f>SUMIFS('caseload data'!R:R,'caseload data'!$D:$D,"PSO",'caseload data'!$C:$C,'cluster overview'!$B$115)</f>
        <v>0</v>
      </c>
      <c r="Q132" s="79">
        <f>SUMIFS('caseload data'!S:S,'caseload data'!$D:$D,"PSO",'caseload data'!$C:$C,'cluster overview'!$B$115)</f>
        <v>0</v>
      </c>
      <c r="R132" s="79">
        <f>SUMIFS('caseload data'!T:T,'caseload data'!$D:$D,"PSO",'caseload data'!$C:$C,'cluster overview'!$B$115)</f>
        <v>0</v>
      </c>
      <c r="U132" s="79" t="s">
        <v>1172</v>
      </c>
      <c r="V132" s="71" t="str">
        <f>IFERROR(C$132/SUM(C$131:C$134),"")</f>
        <v/>
      </c>
      <c r="W132" s="71" t="str">
        <f>IFERROR(D$132/SUM(D$131:D$134),"")</f>
        <v/>
      </c>
      <c r="X132" s="71" t="str">
        <f t="shared" ref="X132:AK132" si="21">IFERROR(E$132/SUM(E$131:E$134),"")</f>
        <v/>
      </c>
      <c r="Y132" s="71" t="str">
        <f t="shared" si="21"/>
        <v/>
      </c>
      <c r="Z132" s="71" t="str">
        <f t="shared" si="21"/>
        <v/>
      </c>
      <c r="AA132" s="71" t="str">
        <f t="shared" si="21"/>
        <v/>
      </c>
      <c r="AB132" s="71" t="str">
        <f t="shared" si="21"/>
        <v/>
      </c>
      <c r="AC132" s="71" t="str">
        <f t="shared" si="21"/>
        <v/>
      </c>
      <c r="AD132" s="71" t="str">
        <f t="shared" si="21"/>
        <v/>
      </c>
      <c r="AE132" s="71" t="str">
        <f t="shared" si="21"/>
        <v/>
      </c>
      <c r="AF132" s="71" t="str">
        <f t="shared" si="21"/>
        <v/>
      </c>
      <c r="AG132" s="71" t="str">
        <f t="shared" si="21"/>
        <v/>
      </c>
      <c r="AH132" s="71" t="str">
        <f t="shared" si="21"/>
        <v/>
      </c>
      <c r="AI132" s="71" t="str">
        <f t="shared" si="21"/>
        <v/>
      </c>
      <c r="AJ132" s="71" t="str">
        <f t="shared" si="21"/>
        <v/>
      </c>
      <c r="AK132" s="71" t="str">
        <f t="shared" si="21"/>
        <v/>
      </c>
    </row>
    <row r="133" spans="2:37" ht="14.25" customHeight="1" x14ac:dyDescent="0.15">
      <c r="B133" s="79" t="s">
        <v>1173</v>
      </c>
      <c r="C133" s="79">
        <f>SUMIFS('caseload data'!E:E,'caseload data'!$D:$D,"TPO",'caseload data'!$C:$C,'cluster overview'!$B$115)</f>
        <v>0</v>
      </c>
      <c r="D133" s="79">
        <f>SUMIFS('caseload data'!F:F,'caseload data'!$D:$D,"TPO",'caseload data'!$C:$C,'cluster overview'!$B$115)</f>
        <v>0</v>
      </c>
      <c r="E133" s="79">
        <f>SUMIFS('caseload data'!G:G,'caseload data'!$D:$D,"TPO",'caseload data'!$C:$C,'cluster overview'!$B$115)</f>
        <v>0</v>
      </c>
      <c r="F133" s="79">
        <f>SUMIFS('caseload data'!H:H,'caseload data'!$D:$D,"TPO",'caseload data'!$C:$C,'cluster overview'!$B$115)</f>
        <v>0</v>
      </c>
      <c r="G133" s="79">
        <f>SUMIFS('caseload data'!I:I,'caseload data'!$D:$D,"TPO",'caseload data'!$C:$C,'cluster overview'!$B$115)</f>
        <v>0</v>
      </c>
      <c r="H133" s="79">
        <f>SUMIFS('caseload data'!J:J,'caseload data'!$D:$D,"TPO",'caseload data'!$C:$C,'cluster overview'!$B$115)</f>
        <v>0</v>
      </c>
      <c r="I133" s="79">
        <f>SUMIFS('caseload data'!K:K,'caseload data'!$D:$D,"TPO",'caseload data'!$C:$C,'cluster overview'!$B$115)</f>
        <v>0</v>
      </c>
      <c r="J133" s="79">
        <f>SUMIFS('caseload data'!L:L,'caseload data'!$D:$D,"TPO",'caseload data'!$C:$C,'cluster overview'!$B$115)</f>
        <v>0</v>
      </c>
      <c r="K133" s="79">
        <f>SUMIFS('caseload data'!M:M,'caseload data'!$D:$D,"TPO",'caseload data'!$C:$C,'cluster overview'!$B$115)</f>
        <v>0</v>
      </c>
      <c r="L133" s="79">
        <f>SUMIFS('caseload data'!N:N,'caseload data'!$D:$D,"TPO",'caseload data'!$C:$C,'cluster overview'!$B$115)</f>
        <v>0</v>
      </c>
      <c r="M133" s="79">
        <f>SUMIFS('caseload data'!O:O,'caseload data'!$D:$D,"TPO",'caseload data'!$C:$C,'cluster overview'!$B$115)</f>
        <v>0</v>
      </c>
      <c r="N133" s="79">
        <f>SUMIFS('caseload data'!P:P,'caseload data'!$D:$D,"TPO",'caseload data'!$C:$C,'cluster overview'!$B$115)</f>
        <v>0</v>
      </c>
      <c r="O133" s="79">
        <f>SUMIFS('caseload data'!Q:Q,'caseload data'!$D:$D,"TPO",'caseload data'!$C:$C,'cluster overview'!$B$115)</f>
        <v>0</v>
      </c>
      <c r="P133" s="79">
        <f>SUMIFS('caseload data'!R:R,'caseload data'!$D:$D,"TPO",'caseload data'!$C:$C,'cluster overview'!$B$115)</f>
        <v>0</v>
      </c>
      <c r="Q133" s="79">
        <f>SUMIFS('caseload data'!S:S,'caseload data'!$D:$D,"TPO",'caseload data'!$C:$C,'cluster overview'!$B$115)</f>
        <v>0</v>
      </c>
      <c r="R133" s="79">
        <f>SUMIFS('caseload data'!T:T,'caseload data'!$D:$D,"TPO",'caseload data'!$C:$C,'cluster overview'!$B$115)</f>
        <v>0</v>
      </c>
      <c r="U133" s="79" t="s">
        <v>1173</v>
      </c>
      <c r="V133" s="71" t="str">
        <f>IFERROR(C$133/SUM(C$131:C$134),"")</f>
        <v/>
      </c>
      <c r="W133" s="71" t="str">
        <f>IFERROR(D$133/SUM(D$131:D$134),"")</f>
        <v/>
      </c>
      <c r="X133" s="71" t="str">
        <f t="shared" ref="X133:AK133" si="22">IFERROR(E$133/SUM(E$131:E$134),"")</f>
        <v/>
      </c>
      <c r="Y133" s="71" t="str">
        <f t="shared" si="22"/>
        <v/>
      </c>
      <c r="Z133" s="71" t="str">
        <f t="shared" si="22"/>
        <v/>
      </c>
      <c r="AA133" s="71" t="str">
        <f t="shared" si="22"/>
        <v/>
      </c>
      <c r="AB133" s="71" t="str">
        <f t="shared" si="22"/>
        <v/>
      </c>
      <c r="AC133" s="71" t="str">
        <f t="shared" si="22"/>
        <v/>
      </c>
      <c r="AD133" s="71" t="str">
        <f t="shared" si="22"/>
        <v/>
      </c>
      <c r="AE133" s="71" t="str">
        <f t="shared" si="22"/>
        <v/>
      </c>
      <c r="AF133" s="71" t="str">
        <f t="shared" si="22"/>
        <v/>
      </c>
      <c r="AG133" s="71" t="str">
        <f t="shared" si="22"/>
        <v/>
      </c>
      <c r="AH133" s="71" t="str">
        <f t="shared" si="22"/>
        <v/>
      </c>
      <c r="AI133" s="71" t="str">
        <f t="shared" si="22"/>
        <v/>
      </c>
      <c r="AJ133" s="71" t="str">
        <f t="shared" si="22"/>
        <v/>
      </c>
      <c r="AK133" s="71" t="str">
        <f t="shared" si="22"/>
        <v/>
      </c>
    </row>
    <row r="134" spans="2:37" ht="14.25" customHeight="1" x14ac:dyDescent="0.15">
      <c r="B134" s="79" t="s">
        <v>1174</v>
      </c>
      <c r="C134" s="79">
        <f>SUMIFS('caseload data'!E:E,'caseload data'!$D:$D,"SPO",'caseload data'!$C:$C,'cluster overview'!$B$115)</f>
        <v>0</v>
      </c>
      <c r="D134" s="79">
        <f>SUMIFS('caseload data'!F:F,'caseload data'!$D:$D,"SPO",'caseload data'!$C:$C,'cluster overview'!$B$115)</f>
        <v>0</v>
      </c>
      <c r="E134" s="79">
        <f>SUMIFS('caseload data'!G:G,'caseload data'!$D:$D,"SPO",'caseload data'!$C:$C,'cluster overview'!$B$115)</f>
        <v>0</v>
      </c>
      <c r="F134" s="79">
        <f>SUMIFS('caseload data'!H:H,'caseload data'!$D:$D,"SPO",'caseload data'!$C:$C,'cluster overview'!$B$115)</f>
        <v>0</v>
      </c>
      <c r="G134" s="79">
        <f>SUMIFS('caseload data'!I:I,'caseload data'!$D:$D,"SPO",'caseload data'!$C:$C,'cluster overview'!$B$115)</f>
        <v>0</v>
      </c>
      <c r="H134" s="79">
        <f>SUMIFS('caseload data'!J:J,'caseload data'!$D:$D,"SPO",'caseload data'!$C:$C,'cluster overview'!$B$115)</f>
        <v>0</v>
      </c>
      <c r="I134" s="79">
        <f>SUMIFS('caseload data'!K:K,'caseload data'!$D:$D,"SPO",'caseload data'!$C:$C,'cluster overview'!$B$115)</f>
        <v>0</v>
      </c>
      <c r="J134" s="79">
        <f>SUMIFS('caseload data'!L:L,'caseload data'!$D:$D,"SPO",'caseload data'!$C:$C,'cluster overview'!$B$115)</f>
        <v>0</v>
      </c>
      <c r="K134" s="79">
        <f>SUMIFS('caseload data'!M:M,'caseload data'!$D:$D,"SPO",'caseload data'!$C:$C,'cluster overview'!$B$115)</f>
        <v>0</v>
      </c>
      <c r="L134" s="79">
        <f>SUMIFS('caseload data'!N:N,'caseload data'!$D:$D,"SPO",'caseload data'!$C:$C,'cluster overview'!$B$115)</f>
        <v>0</v>
      </c>
      <c r="M134" s="79">
        <f>SUMIFS('caseload data'!O:O,'caseload data'!$D:$D,"SPO",'caseload data'!$C:$C,'cluster overview'!$B$115)</f>
        <v>0</v>
      </c>
      <c r="N134" s="79">
        <f>SUMIFS('caseload data'!P:P,'caseload data'!$D:$D,"SPO",'caseload data'!$C:$C,'cluster overview'!$B$115)</f>
        <v>0</v>
      </c>
      <c r="O134" s="79">
        <f>SUMIFS('caseload data'!Q:Q,'caseload data'!$D:$D,"SPO",'caseload data'!$C:$C,'cluster overview'!$B$115)</f>
        <v>0</v>
      </c>
      <c r="P134" s="79">
        <f>SUMIFS('caseload data'!R:R,'caseload data'!$D:$D,"SPO",'caseload data'!$C:$C,'cluster overview'!$B$115)</f>
        <v>0</v>
      </c>
      <c r="Q134" s="79">
        <f>SUMIFS('caseload data'!S:S,'caseload data'!$D:$D,"SPO",'caseload data'!$C:$C,'cluster overview'!$B$115)</f>
        <v>0</v>
      </c>
      <c r="R134" s="79">
        <f>SUMIFS('caseload data'!T:T,'caseload data'!$D:$D,"SPO",'caseload data'!$C:$C,'cluster overview'!$B$115)</f>
        <v>0</v>
      </c>
      <c r="U134" s="79" t="s">
        <v>1174</v>
      </c>
      <c r="V134" s="71" t="str">
        <f>IFERROR(C$134/SUM(C$131:C$134),"")</f>
        <v/>
      </c>
      <c r="W134" s="71" t="str">
        <f>IFERROR(D$134/SUM(D$131:D$134),"")</f>
        <v/>
      </c>
      <c r="X134" s="71" t="str">
        <f t="shared" ref="X134:AK134" si="23">IFERROR(E$134/SUM(E$131:E$134),"")</f>
        <v/>
      </c>
      <c r="Y134" s="71" t="str">
        <f t="shared" si="23"/>
        <v/>
      </c>
      <c r="Z134" s="71" t="str">
        <f t="shared" si="23"/>
        <v/>
      </c>
      <c r="AA134" s="71" t="str">
        <f t="shared" si="23"/>
        <v/>
      </c>
      <c r="AB134" s="71" t="str">
        <f t="shared" si="23"/>
        <v/>
      </c>
      <c r="AC134" s="71" t="str">
        <f t="shared" si="23"/>
        <v/>
      </c>
      <c r="AD134" s="71" t="str">
        <f t="shared" si="23"/>
        <v/>
      </c>
      <c r="AE134" s="71" t="str">
        <f t="shared" si="23"/>
        <v/>
      </c>
      <c r="AF134" s="71" t="str">
        <f t="shared" si="23"/>
        <v/>
      </c>
      <c r="AG134" s="71" t="str">
        <f t="shared" si="23"/>
        <v/>
      </c>
      <c r="AH134" s="71" t="str">
        <f t="shared" si="23"/>
        <v/>
      </c>
      <c r="AI134" s="71" t="str">
        <f t="shared" si="23"/>
        <v/>
      </c>
      <c r="AJ134" s="71" t="str">
        <f t="shared" si="23"/>
        <v/>
      </c>
      <c r="AK134" s="71" t="str">
        <f t="shared" si="23"/>
        <v/>
      </c>
    </row>
  </sheetData>
  <sortState xmlns:xlrd2="http://schemas.microsoft.com/office/spreadsheetml/2017/richdata2" ref="B34:D85">
    <sortCondition ref="B34:B85"/>
  </sortState>
  <mergeCells count="28">
    <mergeCell ref="B26:F26"/>
    <mergeCell ref="G26:H26"/>
    <mergeCell ref="I26:K26"/>
    <mergeCell ref="F47:F51"/>
    <mergeCell ref="G47:G51"/>
    <mergeCell ref="F34:F36"/>
    <mergeCell ref="G34:G36"/>
    <mergeCell ref="B32:D32"/>
    <mergeCell ref="F32:G32"/>
    <mergeCell ref="F37:F39"/>
    <mergeCell ref="G37:G39"/>
    <mergeCell ref="F41:F46"/>
    <mergeCell ref="G41:G46"/>
    <mergeCell ref="B8:F8"/>
    <mergeCell ref="A1:M1"/>
    <mergeCell ref="A2:M2"/>
    <mergeCell ref="B19:F19"/>
    <mergeCell ref="G19:H19"/>
    <mergeCell ref="C129:R129"/>
    <mergeCell ref="V108:AK108"/>
    <mergeCell ref="V115:AK115"/>
    <mergeCell ref="V122:AK122"/>
    <mergeCell ref="V129:AK129"/>
    <mergeCell ref="C99:R99"/>
    <mergeCell ref="C108:R108"/>
    <mergeCell ref="C115:R115"/>
    <mergeCell ref="C122:R122"/>
    <mergeCell ref="C92:R92"/>
  </mergeCells>
  <phoneticPr fontId="78" type="noConversion"/>
  <conditionalFormatting sqref="C11:E11 C10:F10">
    <cfRule type="cellIs" dxfId="6607" priority="201" operator="lessThan">
      <formula>0.9</formula>
    </cfRule>
    <cfRule type="cellIs" dxfId="6606" priority="202" operator="greaterThanOrEqual">
      <formula>1.1</formula>
    </cfRule>
  </conditionalFormatting>
  <conditionalFormatting sqref="F11">
    <cfRule type="cellIs" dxfId="6605" priority="197" operator="lessThan">
      <formula>0.9</formula>
    </cfRule>
    <cfRule type="cellIs" dxfId="6604" priority="198" operator="greaterThanOrEqual">
      <formula>1.1</formula>
    </cfRule>
  </conditionalFormatting>
  <conditionalFormatting sqref="C111:C112">
    <cfRule type="cellIs" dxfId="6603" priority="191" operator="equal">
      <formula>0</formula>
    </cfRule>
    <cfRule type="cellIs" dxfId="6602" priority="192" operator="greaterThan">
      <formula>0</formula>
    </cfRule>
  </conditionalFormatting>
  <conditionalFormatting sqref="D111:D112">
    <cfRule type="cellIs" dxfId="6601" priority="189" operator="equal">
      <formula>0</formula>
    </cfRule>
    <cfRule type="cellIs" dxfId="6600" priority="190" operator="greaterThan">
      <formula>0</formula>
    </cfRule>
  </conditionalFormatting>
  <conditionalFormatting sqref="E111:E112">
    <cfRule type="cellIs" dxfId="6599" priority="187" operator="equal">
      <formula>0</formula>
    </cfRule>
    <cfRule type="cellIs" dxfId="6598" priority="188" operator="greaterThan">
      <formula>0</formula>
    </cfRule>
  </conditionalFormatting>
  <conditionalFormatting sqref="F111:F112">
    <cfRule type="cellIs" dxfId="6597" priority="185" operator="equal">
      <formula>0</formula>
    </cfRule>
    <cfRule type="cellIs" dxfId="6596" priority="186" operator="greaterThan">
      <formula>0</formula>
    </cfRule>
  </conditionalFormatting>
  <conditionalFormatting sqref="G111:G112">
    <cfRule type="cellIs" dxfId="6595" priority="183" operator="equal">
      <formula>0</formula>
    </cfRule>
    <cfRule type="cellIs" dxfId="6594" priority="184" operator="greaterThan">
      <formula>0</formula>
    </cfRule>
  </conditionalFormatting>
  <conditionalFormatting sqref="H111:H112">
    <cfRule type="cellIs" dxfId="6593" priority="181" operator="equal">
      <formula>0</formula>
    </cfRule>
    <cfRule type="cellIs" dxfId="6592" priority="182" operator="greaterThan">
      <formula>0</formula>
    </cfRule>
  </conditionalFormatting>
  <conditionalFormatting sqref="I111:I112">
    <cfRule type="cellIs" dxfId="6591" priority="179" operator="equal">
      <formula>0</formula>
    </cfRule>
    <cfRule type="cellIs" dxfId="6590" priority="180" operator="greaterThan">
      <formula>0</formula>
    </cfRule>
  </conditionalFormatting>
  <conditionalFormatting sqref="J111:J112">
    <cfRule type="cellIs" dxfId="6589" priority="177" operator="equal">
      <formula>0</formula>
    </cfRule>
    <cfRule type="cellIs" dxfId="6588" priority="178" operator="greaterThan">
      <formula>0</formula>
    </cfRule>
  </conditionalFormatting>
  <conditionalFormatting sqref="O110">
    <cfRule type="cellIs" dxfId="6587" priority="175" operator="equal">
      <formula>0</formula>
    </cfRule>
    <cfRule type="cellIs" dxfId="6586" priority="176" operator="greaterThan">
      <formula>0</formula>
    </cfRule>
  </conditionalFormatting>
  <conditionalFormatting sqref="P110">
    <cfRule type="cellIs" dxfId="6585" priority="173" operator="equal">
      <formula>0</formula>
    </cfRule>
    <cfRule type="cellIs" dxfId="6584" priority="174" operator="greaterThan">
      <formula>0</formula>
    </cfRule>
  </conditionalFormatting>
  <conditionalFormatting sqref="Q110">
    <cfRule type="cellIs" dxfId="6583" priority="171" operator="equal">
      <formula>0</formula>
    </cfRule>
    <cfRule type="cellIs" dxfId="6582" priority="172" operator="greaterThan">
      <formula>0</formula>
    </cfRule>
  </conditionalFormatting>
  <conditionalFormatting sqref="R110">
    <cfRule type="cellIs" dxfId="6581" priority="169" operator="equal">
      <formula>0</formula>
    </cfRule>
    <cfRule type="cellIs" dxfId="6580" priority="170" operator="greaterThan">
      <formula>0</formula>
    </cfRule>
  </conditionalFormatting>
  <conditionalFormatting sqref="C118:C119">
    <cfRule type="cellIs" dxfId="6579" priority="167" operator="equal">
      <formula>0</formula>
    </cfRule>
    <cfRule type="cellIs" dxfId="6578" priority="168" operator="greaterThan">
      <formula>0</formula>
    </cfRule>
  </conditionalFormatting>
  <conditionalFormatting sqref="D118:D119">
    <cfRule type="cellIs" dxfId="6577" priority="165" operator="equal">
      <formula>0</formula>
    </cfRule>
    <cfRule type="cellIs" dxfId="6576" priority="166" operator="greaterThan">
      <formula>0</formula>
    </cfRule>
  </conditionalFormatting>
  <conditionalFormatting sqref="E118:E119">
    <cfRule type="cellIs" dxfId="6575" priority="163" operator="equal">
      <formula>0</formula>
    </cfRule>
    <cfRule type="cellIs" dxfId="6574" priority="164" operator="greaterThan">
      <formula>0</formula>
    </cfRule>
  </conditionalFormatting>
  <conditionalFormatting sqref="F118:F119">
    <cfRule type="cellIs" dxfId="6573" priority="161" operator="equal">
      <formula>0</formula>
    </cfRule>
    <cfRule type="cellIs" dxfId="6572" priority="162" operator="greaterThan">
      <formula>0</formula>
    </cfRule>
  </conditionalFormatting>
  <conditionalFormatting sqref="G118:G119">
    <cfRule type="cellIs" dxfId="6571" priority="159" operator="equal">
      <formula>0</formula>
    </cfRule>
    <cfRule type="cellIs" dxfId="6570" priority="160" operator="greaterThan">
      <formula>0</formula>
    </cfRule>
  </conditionalFormatting>
  <conditionalFormatting sqref="H118:H119">
    <cfRule type="cellIs" dxfId="6569" priority="157" operator="equal">
      <formula>0</formula>
    </cfRule>
    <cfRule type="cellIs" dxfId="6568" priority="158" operator="greaterThan">
      <formula>0</formula>
    </cfRule>
  </conditionalFormatting>
  <conditionalFormatting sqref="I118:I119">
    <cfRule type="cellIs" dxfId="6567" priority="155" operator="equal">
      <formula>0</formula>
    </cfRule>
    <cfRule type="cellIs" dxfId="6566" priority="156" operator="greaterThan">
      <formula>0</formula>
    </cfRule>
  </conditionalFormatting>
  <conditionalFormatting sqref="J118:J119">
    <cfRule type="cellIs" dxfId="6565" priority="153" operator="equal">
      <formula>0</formula>
    </cfRule>
    <cfRule type="cellIs" dxfId="6564" priority="154" operator="greaterThan">
      <formula>0</formula>
    </cfRule>
  </conditionalFormatting>
  <conditionalFormatting sqref="O117">
    <cfRule type="cellIs" dxfId="6563" priority="151" operator="equal">
      <formula>0</formula>
    </cfRule>
    <cfRule type="cellIs" dxfId="6562" priority="152" operator="greaterThan">
      <formula>0</formula>
    </cfRule>
  </conditionalFormatting>
  <conditionalFormatting sqref="P117">
    <cfRule type="cellIs" dxfId="6561" priority="149" operator="equal">
      <formula>0</formula>
    </cfRule>
    <cfRule type="cellIs" dxfId="6560" priority="150" operator="greaterThan">
      <formula>0</formula>
    </cfRule>
  </conditionalFormatting>
  <conditionalFormatting sqref="Q117">
    <cfRule type="cellIs" dxfId="6559" priority="147" operator="equal">
      <formula>0</formula>
    </cfRule>
    <cfRule type="cellIs" dxfId="6558" priority="148" operator="greaterThan">
      <formula>0</formula>
    </cfRule>
  </conditionalFormatting>
  <conditionalFormatting sqref="R117">
    <cfRule type="cellIs" dxfId="6557" priority="145" operator="equal">
      <formula>0</formula>
    </cfRule>
    <cfRule type="cellIs" dxfId="6556" priority="146" operator="greaterThan">
      <formula>0</formula>
    </cfRule>
  </conditionalFormatting>
  <conditionalFormatting sqref="C125:C126">
    <cfRule type="cellIs" dxfId="6555" priority="143" operator="equal">
      <formula>0</formula>
    </cfRule>
    <cfRule type="cellIs" dxfId="6554" priority="144" operator="greaterThan">
      <formula>0</formula>
    </cfRule>
  </conditionalFormatting>
  <conditionalFormatting sqref="D125:D126">
    <cfRule type="cellIs" dxfId="6553" priority="141" operator="equal">
      <formula>0</formula>
    </cfRule>
    <cfRule type="cellIs" dxfId="6552" priority="142" operator="greaterThan">
      <formula>0</formula>
    </cfRule>
  </conditionalFormatting>
  <conditionalFormatting sqref="E125:E126">
    <cfRule type="cellIs" dxfId="6551" priority="139" operator="equal">
      <formula>0</formula>
    </cfRule>
    <cfRule type="cellIs" dxfId="6550" priority="140" operator="greaterThan">
      <formula>0</formula>
    </cfRule>
  </conditionalFormatting>
  <conditionalFormatting sqref="F125:F126">
    <cfRule type="cellIs" dxfId="6549" priority="137" operator="equal">
      <formula>0</formula>
    </cfRule>
    <cfRule type="cellIs" dxfId="6548" priority="138" operator="greaterThan">
      <formula>0</formula>
    </cfRule>
  </conditionalFormatting>
  <conditionalFormatting sqref="G125:G126">
    <cfRule type="cellIs" dxfId="6547" priority="135" operator="equal">
      <formula>0</formula>
    </cfRule>
    <cfRule type="cellIs" dxfId="6546" priority="136" operator="greaterThan">
      <formula>0</formula>
    </cfRule>
  </conditionalFormatting>
  <conditionalFormatting sqref="H125:H126">
    <cfRule type="cellIs" dxfId="6545" priority="133" operator="equal">
      <formula>0</formula>
    </cfRule>
    <cfRule type="cellIs" dxfId="6544" priority="134" operator="greaterThan">
      <formula>0</formula>
    </cfRule>
  </conditionalFormatting>
  <conditionalFormatting sqref="I125:I126">
    <cfRule type="cellIs" dxfId="6543" priority="131" operator="equal">
      <formula>0</formula>
    </cfRule>
    <cfRule type="cellIs" dxfId="6542" priority="132" operator="greaterThan">
      <formula>0</formula>
    </cfRule>
  </conditionalFormatting>
  <conditionalFormatting sqref="J125:J126">
    <cfRule type="cellIs" dxfId="6541" priority="129" operator="equal">
      <formula>0</formula>
    </cfRule>
    <cfRule type="cellIs" dxfId="6540" priority="130" operator="greaterThan">
      <formula>0</formula>
    </cfRule>
  </conditionalFormatting>
  <conditionalFormatting sqref="O124">
    <cfRule type="cellIs" dxfId="6539" priority="127" operator="equal">
      <formula>0</formula>
    </cfRule>
    <cfRule type="cellIs" dxfId="6538" priority="128" operator="greaterThan">
      <formula>0</formula>
    </cfRule>
  </conditionalFormatting>
  <conditionalFormatting sqref="P124">
    <cfRule type="cellIs" dxfId="6537" priority="125" operator="equal">
      <formula>0</formula>
    </cfRule>
    <cfRule type="cellIs" dxfId="6536" priority="126" operator="greaterThan">
      <formula>0</formula>
    </cfRule>
  </conditionalFormatting>
  <conditionalFormatting sqref="Q124">
    <cfRule type="cellIs" dxfId="6535" priority="123" operator="equal">
      <formula>0</formula>
    </cfRule>
    <cfRule type="cellIs" dxfId="6534" priority="124" operator="greaterThan">
      <formula>0</formula>
    </cfRule>
  </conditionalFormatting>
  <conditionalFormatting sqref="R124">
    <cfRule type="cellIs" dxfId="6533" priority="121" operator="equal">
      <formula>0</formula>
    </cfRule>
    <cfRule type="cellIs" dxfId="6532" priority="122" operator="greaterThan">
      <formula>0</formula>
    </cfRule>
  </conditionalFormatting>
  <conditionalFormatting sqref="C132:C133">
    <cfRule type="cellIs" dxfId="6531" priority="119" operator="equal">
      <formula>0</formula>
    </cfRule>
    <cfRule type="cellIs" dxfId="6530" priority="120" operator="greaterThan">
      <formula>0</formula>
    </cfRule>
  </conditionalFormatting>
  <conditionalFormatting sqref="D132:D133">
    <cfRule type="cellIs" dxfId="6529" priority="117" operator="equal">
      <formula>0</formula>
    </cfRule>
    <cfRule type="cellIs" dxfId="6528" priority="118" operator="greaterThan">
      <formula>0</formula>
    </cfRule>
  </conditionalFormatting>
  <conditionalFormatting sqref="E132:E133">
    <cfRule type="cellIs" dxfId="6527" priority="115" operator="equal">
      <formula>0</formula>
    </cfRule>
    <cfRule type="cellIs" dxfId="6526" priority="116" operator="greaterThan">
      <formula>0</formula>
    </cfRule>
  </conditionalFormatting>
  <conditionalFormatting sqref="F132:F133">
    <cfRule type="cellIs" dxfId="6525" priority="113" operator="equal">
      <formula>0</formula>
    </cfRule>
    <cfRule type="cellIs" dxfId="6524" priority="114" operator="greaterThan">
      <formula>0</formula>
    </cfRule>
  </conditionalFormatting>
  <conditionalFormatting sqref="G132:G133">
    <cfRule type="cellIs" dxfId="6523" priority="111" operator="equal">
      <formula>0</formula>
    </cfRule>
    <cfRule type="cellIs" dxfId="6522" priority="112" operator="greaterThan">
      <formula>0</formula>
    </cfRule>
  </conditionalFormatting>
  <conditionalFormatting sqref="H132:H133">
    <cfRule type="cellIs" dxfId="6521" priority="109" operator="equal">
      <formula>0</formula>
    </cfRule>
    <cfRule type="cellIs" dxfId="6520" priority="110" operator="greaterThan">
      <formula>0</formula>
    </cfRule>
  </conditionalFormatting>
  <conditionalFormatting sqref="I132:I133">
    <cfRule type="cellIs" dxfId="6519" priority="107" operator="equal">
      <formula>0</formula>
    </cfRule>
    <cfRule type="cellIs" dxfId="6518" priority="108" operator="greaterThan">
      <formula>0</formula>
    </cfRule>
  </conditionalFormatting>
  <conditionalFormatting sqref="J132:J133">
    <cfRule type="cellIs" dxfId="6517" priority="105" operator="equal">
      <formula>0</formula>
    </cfRule>
    <cfRule type="cellIs" dxfId="6516" priority="106" operator="greaterThan">
      <formula>0</formula>
    </cfRule>
  </conditionalFormatting>
  <conditionalFormatting sqref="O131">
    <cfRule type="cellIs" dxfId="6515" priority="103" operator="equal">
      <formula>0</formula>
    </cfRule>
    <cfRule type="cellIs" dxfId="6514" priority="104" operator="greaterThan">
      <formula>0</formula>
    </cfRule>
  </conditionalFormatting>
  <conditionalFormatting sqref="P131">
    <cfRule type="cellIs" dxfId="6513" priority="101" operator="equal">
      <formula>0</formula>
    </cfRule>
    <cfRule type="cellIs" dxfId="6512" priority="102" operator="greaterThan">
      <formula>0</formula>
    </cfRule>
  </conditionalFormatting>
  <conditionalFormatting sqref="Q131">
    <cfRule type="cellIs" dxfId="6511" priority="99" operator="equal">
      <formula>0</formula>
    </cfRule>
    <cfRule type="cellIs" dxfId="6510" priority="100" operator="greaterThan">
      <formula>0</formula>
    </cfRule>
  </conditionalFormatting>
  <conditionalFormatting sqref="R131">
    <cfRule type="cellIs" dxfId="6509" priority="97" operator="equal">
      <formula>0</formula>
    </cfRule>
    <cfRule type="cellIs" dxfId="6508" priority="98" operator="greaterThan">
      <formula>0</formula>
    </cfRule>
  </conditionalFormatting>
  <conditionalFormatting sqref="V111:V112">
    <cfRule type="cellIs" dxfId="6507" priority="95" operator="equal">
      <formula>0</formula>
    </cfRule>
    <cfRule type="cellIs" dxfId="6506" priority="96" operator="greaterThan">
      <formula>0</formula>
    </cfRule>
  </conditionalFormatting>
  <conditionalFormatting sqref="W111:W112">
    <cfRule type="cellIs" dxfId="6505" priority="93" operator="equal">
      <formula>0</formula>
    </cfRule>
    <cfRule type="cellIs" dxfId="6504" priority="94" operator="greaterThan">
      <formula>0</formula>
    </cfRule>
  </conditionalFormatting>
  <conditionalFormatting sqref="X111:X112">
    <cfRule type="cellIs" dxfId="6503" priority="91" operator="equal">
      <formula>0</formula>
    </cfRule>
    <cfRule type="cellIs" dxfId="6502" priority="92" operator="greaterThan">
      <formula>0</formula>
    </cfRule>
  </conditionalFormatting>
  <conditionalFormatting sqref="Y111:Y112">
    <cfRule type="cellIs" dxfId="6501" priority="89" operator="equal">
      <formula>0</formula>
    </cfRule>
    <cfRule type="cellIs" dxfId="6500" priority="90" operator="greaterThan">
      <formula>0</formula>
    </cfRule>
  </conditionalFormatting>
  <conditionalFormatting sqref="Z111:Z112">
    <cfRule type="cellIs" dxfId="6499" priority="87" operator="equal">
      <formula>0</formula>
    </cfRule>
    <cfRule type="cellIs" dxfId="6498" priority="88" operator="greaterThan">
      <formula>0</formula>
    </cfRule>
  </conditionalFormatting>
  <conditionalFormatting sqref="AA111:AA112">
    <cfRule type="cellIs" dxfId="6497" priority="85" operator="equal">
      <formula>0</formula>
    </cfRule>
    <cfRule type="cellIs" dxfId="6496" priority="86" operator="greaterThan">
      <formula>0</formula>
    </cfRule>
  </conditionalFormatting>
  <conditionalFormatting sqref="AB111:AB112">
    <cfRule type="cellIs" dxfId="6495" priority="83" operator="equal">
      <formula>0</formula>
    </cfRule>
    <cfRule type="cellIs" dxfId="6494" priority="84" operator="greaterThan">
      <formula>0</formula>
    </cfRule>
  </conditionalFormatting>
  <conditionalFormatting sqref="AC111:AC112">
    <cfRule type="cellIs" dxfId="6493" priority="81" operator="equal">
      <formula>0</formula>
    </cfRule>
    <cfRule type="cellIs" dxfId="6492" priority="82" operator="greaterThan">
      <formula>0</formula>
    </cfRule>
  </conditionalFormatting>
  <conditionalFormatting sqref="AH110">
    <cfRule type="cellIs" dxfId="6491" priority="79" operator="equal">
      <formula>0</formula>
    </cfRule>
    <cfRule type="cellIs" dxfId="6490" priority="80" operator="greaterThan">
      <formula>0</formula>
    </cfRule>
  </conditionalFormatting>
  <conditionalFormatting sqref="AI110">
    <cfRule type="cellIs" dxfId="6489" priority="77" operator="equal">
      <formula>0</formula>
    </cfRule>
    <cfRule type="cellIs" dxfId="6488" priority="78" operator="greaterThan">
      <formula>0</formula>
    </cfRule>
  </conditionalFormatting>
  <conditionalFormatting sqref="AJ110">
    <cfRule type="cellIs" dxfId="6487" priority="75" operator="equal">
      <formula>0</formula>
    </cfRule>
    <cfRule type="cellIs" dxfId="6486" priority="76" operator="greaterThan">
      <formula>0</formula>
    </cfRule>
  </conditionalFormatting>
  <conditionalFormatting sqref="AK110">
    <cfRule type="cellIs" dxfId="6485" priority="73" operator="equal">
      <formula>0</formula>
    </cfRule>
    <cfRule type="cellIs" dxfId="6484" priority="74" operator="greaterThan">
      <formula>0</formula>
    </cfRule>
  </conditionalFormatting>
  <conditionalFormatting sqref="V118:V119">
    <cfRule type="cellIs" dxfId="6483" priority="71" operator="equal">
      <formula>0</formula>
    </cfRule>
    <cfRule type="cellIs" dxfId="6482" priority="72" operator="greaterThan">
      <formula>0</formula>
    </cfRule>
  </conditionalFormatting>
  <conditionalFormatting sqref="W118:W119">
    <cfRule type="cellIs" dxfId="6481" priority="69" operator="equal">
      <formula>0</formula>
    </cfRule>
    <cfRule type="cellIs" dxfId="6480" priority="70" operator="greaterThan">
      <formula>0</formula>
    </cfRule>
  </conditionalFormatting>
  <conditionalFormatting sqref="X118:X119">
    <cfRule type="cellIs" dxfId="6479" priority="67" operator="equal">
      <formula>0</formula>
    </cfRule>
    <cfRule type="cellIs" dxfId="6478" priority="68" operator="greaterThan">
      <formula>0</formula>
    </cfRule>
  </conditionalFormatting>
  <conditionalFormatting sqref="Y118:Y119">
    <cfRule type="cellIs" dxfId="6477" priority="65" operator="equal">
      <formula>0</formula>
    </cfRule>
    <cfRule type="cellIs" dxfId="6476" priority="66" operator="greaterThan">
      <formula>0</formula>
    </cfRule>
  </conditionalFormatting>
  <conditionalFormatting sqref="Z118:Z119">
    <cfRule type="cellIs" dxfId="6475" priority="63" operator="equal">
      <formula>0</formula>
    </cfRule>
    <cfRule type="cellIs" dxfId="6474" priority="64" operator="greaterThan">
      <formula>0</formula>
    </cfRule>
  </conditionalFormatting>
  <conditionalFormatting sqref="AA118:AA119">
    <cfRule type="cellIs" dxfId="6473" priority="61" operator="equal">
      <formula>0</formula>
    </cfRule>
    <cfRule type="cellIs" dxfId="6472" priority="62" operator="greaterThan">
      <formula>0</formula>
    </cfRule>
  </conditionalFormatting>
  <conditionalFormatting sqref="AB118:AB119">
    <cfRule type="cellIs" dxfId="6471" priority="59" operator="equal">
      <formula>0</formula>
    </cfRule>
    <cfRule type="cellIs" dxfId="6470" priority="60" operator="greaterThan">
      <formula>0</formula>
    </cfRule>
  </conditionalFormatting>
  <conditionalFormatting sqref="AC118:AC119">
    <cfRule type="cellIs" dxfId="6469" priority="57" operator="equal">
      <formula>0</formula>
    </cfRule>
    <cfRule type="cellIs" dxfId="6468" priority="58" operator="greaterThan">
      <formula>0</formula>
    </cfRule>
  </conditionalFormatting>
  <conditionalFormatting sqref="AH117">
    <cfRule type="cellIs" dxfId="6467" priority="55" operator="equal">
      <formula>0</formula>
    </cfRule>
    <cfRule type="cellIs" dxfId="6466" priority="56" operator="greaterThan">
      <formula>0</formula>
    </cfRule>
  </conditionalFormatting>
  <conditionalFormatting sqref="AI117">
    <cfRule type="cellIs" dxfId="6465" priority="53" operator="equal">
      <formula>0</formula>
    </cfRule>
    <cfRule type="cellIs" dxfId="6464" priority="54" operator="greaterThan">
      <formula>0</formula>
    </cfRule>
  </conditionalFormatting>
  <conditionalFormatting sqref="AJ117">
    <cfRule type="cellIs" dxfId="6463" priority="51" operator="equal">
      <formula>0</formula>
    </cfRule>
    <cfRule type="cellIs" dxfId="6462" priority="52" operator="greaterThan">
      <formula>0</formula>
    </cfRule>
  </conditionalFormatting>
  <conditionalFormatting sqref="AK117">
    <cfRule type="cellIs" dxfId="6461" priority="49" operator="equal">
      <formula>0</formula>
    </cfRule>
    <cfRule type="cellIs" dxfId="6460" priority="50" operator="greaterThan">
      <formula>0</formula>
    </cfRule>
  </conditionalFormatting>
  <conditionalFormatting sqref="V125:V126">
    <cfRule type="cellIs" dxfId="6459" priority="47" operator="equal">
      <formula>0</formula>
    </cfRule>
    <cfRule type="cellIs" dxfId="6458" priority="48" operator="greaterThan">
      <formula>0</formula>
    </cfRule>
  </conditionalFormatting>
  <conditionalFormatting sqref="W125:W126">
    <cfRule type="cellIs" dxfId="6457" priority="45" operator="equal">
      <formula>0</formula>
    </cfRule>
    <cfRule type="cellIs" dxfId="6456" priority="46" operator="greaterThan">
      <formula>0</formula>
    </cfRule>
  </conditionalFormatting>
  <conditionalFormatting sqref="X125:X126">
    <cfRule type="cellIs" dxfId="6455" priority="43" operator="equal">
      <formula>0</formula>
    </cfRule>
    <cfRule type="cellIs" dxfId="6454" priority="44" operator="greaterThan">
      <formula>0</formula>
    </cfRule>
  </conditionalFormatting>
  <conditionalFormatting sqref="Y125:Y126">
    <cfRule type="cellIs" dxfId="6453" priority="41" operator="equal">
      <formula>0</formula>
    </cfRule>
    <cfRule type="cellIs" dxfId="6452" priority="42" operator="greaterThan">
      <formula>0</formula>
    </cfRule>
  </conditionalFormatting>
  <conditionalFormatting sqref="Z125:Z126">
    <cfRule type="cellIs" dxfId="6451" priority="39" operator="equal">
      <formula>0</formula>
    </cfRule>
    <cfRule type="cellIs" dxfId="6450" priority="40" operator="greaterThan">
      <formula>0</formula>
    </cfRule>
  </conditionalFormatting>
  <conditionalFormatting sqref="AA125:AA126">
    <cfRule type="cellIs" dxfId="6449" priority="37" operator="equal">
      <formula>0</formula>
    </cfRule>
    <cfRule type="cellIs" dxfId="6448" priority="38" operator="greaterThan">
      <formula>0</formula>
    </cfRule>
  </conditionalFormatting>
  <conditionalFormatting sqref="AB125:AB126">
    <cfRule type="cellIs" dxfId="6447" priority="35" operator="equal">
      <formula>0</formula>
    </cfRule>
    <cfRule type="cellIs" dxfId="6446" priority="36" operator="greaterThan">
      <formula>0</formula>
    </cfRule>
  </conditionalFormatting>
  <conditionalFormatting sqref="AC125:AC126">
    <cfRule type="cellIs" dxfId="6445" priority="33" operator="equal">
      <formula>0</formula>
    </cfRule>
    <cfRule type="cellIs" dxfId="6444" priority="34" operator="greaterThan">
      <formula>0</formula>
    </cfRule>
  </conditionalFormatting>
  <conditionalFormatting sqref="AH124">
    <cfRule type="cellIs" dxfId="6443" priority="31" operator="equal">
      <formula>0</formula>
    </cfRule>
    <cfRule type="cellIs" dxfId="6442" priority="32" operator="greaterThan">
      <formula>0</formula>
    </cfRule>
  </conditionalFormatting>
  <conditionalFormatting sqref="AI124">
    <cfRule type="cellIs" dxfId="6441" priority="29" operator="equal">
      <formula>0</formula>
    </cfRule>
    <cfRule type="cellIs" dxfId="6440" priority="30" operator="greaterThan">
      <formula>0</formula>
    </cfRule>
  </conditionalFormatting>
  <conditionalFormatting sqref="AJ124">
    <cfRule type="cellIs" dxfId="6439" priority="27" operator="equal">
      <formula>0</formula>
    </cfRule>
    <cfRule type="cellIs" dxfId="6438" priority="28" operator="greaterThan">
      <formula>0</formula>
    </cfRule>
  </conditionalFormatting>
  <conditionalFormatting sqref="AK124">
    <cfRule type="cellIs" dxfId="6437" priority="25" operator="equal">
      <formula>0</formula>
    </cfRule>
    <cfRule type="cellIs" dxfId="6436" priority="26" operator="greaterThan">
      <formula>0</formula>
    </cfRule>
  </conditionalFormatting>
  <conditionalFormatting sqref="V132:V133">
    <cfRule type="cellIs" dxfId="6435" priority="23" operator="equal">
      <formula>0</formula>
    </cfRule>
    <cfRule type="cellIs" dxfId="6434" priority="24" operator="greaterThan">
      <formula>0</formula>
    </cfRule>
  </conditionalFormatting>
  <conditionalFormatting sqref="W132:W133">
    <cfRule type="cellIs" dxfId="6433" priority="21" operator="equal">
      <formula>0</formula>
    </cfRule>
    <cfRule type="cellIs" dxfId="6432" priority="22" operator="greaterThan">
      <formula>0</formula>
    </cfRule>
  </conditionalFormatting>
  <conditionalFormatting sqref="X132:X133">
    <cfRule type="cellIs" dxfId="6431" priority="19" operator="equal">
      <formula>0</formula>
    </cfRule>
    <cfRule type="cellIs" dxfId="6430" priority="20" operator="greaterThan">
      <formula>0</formula>
    </cfRule>
  </conditionalFormatting>
  <conditionalFormatting sqref="Y132:Y133">
    <cfRule type="cellIs" dxfId="6429" priority="17" operator="equal">
      <formula>0</formula>
    </cfRule>
    <cfRule type="cellIs" dxfId="6428" priority="18" operator="greaterThan">
      <formula>0</formula>
    </cfRule>
  </conditionalFormatting>
  <conditionalFormatting sqref="Z132:Z133">
    <cfRule type="cellIs" dxfId="6427" priority="15" operator="equal">
      <formula>0</formula>
    </cfRule>
    <cfRule type="cellIs" dxfId="6426" priority="16" operator="greaterThan">
      <formula>0</formula>
    </cfRule>
  </conditionalFormatting>
  <conditionalFormatting sqref="AA132:AA133">
    <cfRule type="cellIs" dxfId="6425" priority="13" operator="equal">
      <formula>0</formula>
    </cfRule>
    <cfRule type="cellIs" dxfId="6424" priority="14" operator="greaterThan">
      <formula>0</formula>
    </cfRule>
  </conditionalFormatting>
  <conditionalFormatting sqref="AB132:AB133">
    <cfRule type="cellIs" dxfId="6423" priority="11" operator="equal">
      <formula>0</formula>
    </cfRule>
    <cfRule type="cellIs" dxfId="6422" priority="12" operator="greaterThan">
      <formula>0</formula>
    </cfRule>
  </conditionalFormatting>
  <conditionalFormatting sqref="AC132:AC133">
    <cfRule type="cellIs" dxfId="6421" priority="9" operator="equal">
      <formula>0</formula>
    </cfRule>
    <cfRule type="cellIs" dxfId="6420" priority="10" operator="greaterThan">
      <formula>0</formula>
    </cfRule>
  </conditionalFormatting>
  <conditionalFormatting sqref="AH131">
    <cfRule type="cellIs" dxfId="6419" priority="7" operator="equal">
      <formula>0</formula>
    </cfRule>
    <cfRule type="cellIs" dxfId="6418" priority="8" operator="greaterThan">
      <formula>0</formula>
    </cfRule>
  </conditionalFormatting>
  <conditionalFormatting sqref="AI131">
    <cfRule type="cellIs" dxfId="6417" priority="5" operator="equal">
      <formula>0</formula>
    </cfRule>
    <cfRule type="cellIs" dxfId="6416" priority="6" operator="greaterThan">
      <formula>0</formula>
    </cfRule>
  </conditionalFormatting>
  <conditionalFormatting sqref="AJ131">
    <cfRule type="cellIs" dxfId="6415" priority="3" operator="equal">
      <formula>0</formula>
    </cfRule>
    <cfRule type="cellIs" dxfId="6414" priority="4" operator="greaterThan">
      <formula>0</formula>
    </cfRule>
  </conditionalFormatting>
  <conditionalFormatting sqref="AK131">
    <cfRule type="cellIs" dxfId="6413" priority="1" operator="equal">
      <formula>0</formula>
    </cfRule>
    <cfRule type="cellIs" dxfId="6412"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8"/>
  <sheetViews>
    <sheetView showGridLines="0" topLeftCell="A62" zoomScale="85" zoomScaleNormal="85" workbookViewId="0">
      <selection activeCell="B78" sqref="B78"/>
    </sheetView>
  </sheetViews>
  <sheetFormatPr baseColWidth="10" defaultColWidth="9.1640625" defaultRowHeight="14" x14ac:dyDescent="0.15"/>
  <cols>
    <col min="2" max="2" width="42.5" customWidth="1"/>
    <col min="3" max="3" width="19.1640625" customWidth="1"/>
    <col min="4" max="4" width="20.5" bestFit="1" customWidth="1"/>
    <col min="5" max="5" width="16.33203125" customWidth="1"/>
    <col min="6" max="6" width="17.1640625" customWidth="1"/>
    <col min="7" max="7" width="18.5" customWidth="1"/>
    <col min="8" max="8" width="19.1640625" customWidth="1"/>
    <col min="9" max="9" width="17.5" customWidth="1"/>
    <col min="10" max="10" width="20.5" customWidth="1"/>
    <col min="11" max="11" width="23.6640625" customWidth="1"/>
    <col min="12" max="12" width="19.83203125" customWidth="1"/>
    <col min="13" max="13" width="17.83203125" bestFit="1" customWidth="1"/>
    <col min="14" max="14" width="8.5" bestFit="1" customWidth="1"/>
    <col min="17" max="17" width="10" bestFit="1" customWidth="1"/>
  </cols>
  <sheetData>
    <row r="1" spans="1:19" ht="43.5" customHeight="1" x14ac:dyDescent="0.15">
      <c r="A1" s="419" t="s">
        <v>1240</v>
      </c>
      <c r="B1" s="419"/>
      <c r="C1" s="419"/>
      <c r="D1" s="419"/>
      <c r="E1" s="419"/>
      <c r="F1" s="419"/>
      <c r="G1" s="419"/>
      <c r="H1" s="419"/>
      <c r="I1" s="419"/>
      <c r="J1" s="419"/>
      <c r="K1" s="419"/>
      <c r="L1" s="419"/>
      <c r="M1" s="419"/>
      <c r="N1" s="420"/>
      <c r="O1" s="420"/>
      <c r="P1" s="420"/>
      <c r="Q1" s="420"/>
      <c r="R1" s="420"/>
      <c r="S1" s="420"/>
    </row>
    <row r="2" spans="1:19" ht="37.5" customHeight="1" x14ac:dyDescent="0.15">
      <c r="A2" s="374"/>
      <c r="B2" s="374"/>
      <c r="C2" s="374"/>
      <c r="D2" s="374"/>
      <c r="E2" s="374"/>
      <c r="F2" s="374"/>
      <c r="G2" s="374"/>
      <c r="H2" s="374"/>
      <c r="I2" s="374"/>
      <c r="J2" s="374"/>
      <c r="K2" s="374"/>
      <c r="L2" s="374"/>
      <c r="M2" s="374"/>
      <c r="N2" s="250"/>
      <c r="O2" s="250"/>
      <c r="P2" s="250"/>
      <c r="Q2" s="250"/>
      <c r="R2" s="250"/>
      <c r="S2" s="250"/>
    </row>
    <row r="4" spans="1:19" ht="33.75" customHeight="1" x14ac:dyDescent="0.15">
      <c r="B4" s="38" t="s">
        <v>1241</v>
      </c>
    </row>
    <row r="5" spans="1:19" ht="24" customHeight="1" x14ac:dyDescent="0.15">
      <c r="B5" s="251" t="s">
        <v>33</v>
      </c>
      <c r="D5" t="s">
        <v>1242</v>
      </c>
      <c r="F5" s="42"/>
    </row>
    <row r="6" spans="1:19" ht="33" customHeight="1" x14ac:dyDescent="0.15">
      <c r="B6" s="318" t="s">
        <v>732</v>
      </c>
    </row>
    <row r="8" spans="1:19" ht="23" x14ac:dyDescent="0.15">
      <c r="B8" s="394" t="s">
        <v>1104</v>
      </c>
      <c r="C8" s="395"/>
      <c r="D8" s="395"/>
      <c r="E8" s="395"/>
      <c r="F8" s="396"/>
    </row>
    <row r="9" spans="1:19" ht="56" x14ac:dyDescent="0.15">
      <c r="B9" s="66"/>
      <c r="C9" s="227" t="s">
        <v>1105</v>
      </c>
      <c r="D9" s="67" t="s">
        <v>1106</v>
      </c>
      <c r="E9" s="67" t="s">
        <v>1107</v>
      </c>
      <c r="F9" s="67" t="s">
        <v>1108</v>
      </c>
      <c r="G9" s="68"/>
      <c r="H9" s="227" t="s">
        <v>1216</v>
      </c>
      <c r="I9" s="227" t="s">
        <v>1110</v>
      </c>
      <c r="J9" s="68"/>
      <c r="K9" s="227" t="s">
        <v>1111</v>
      </c>
      <c r="L9" s="227" t="s">
        <v>1112</v>
      </c>
      <c r="M9" s="68"/>
    </row>
    <row r="10" spans="1:19" x14ac:dyDescent="0.15">
      <c r="B10" s="69" t="str">
        <f>B6</f>
        <v>South Birmingham 2</v>
      </c>
      <c r="C10" s="115" t="str">
        <f>IFERROR(SUM((SUMIFS('capacity data'!$G:$G,'capacity data'!$E:$E,"PO",'capacity data'!$C:$C,B6))-SUMIFS('capacity data'!$H:$H,'capacity data'!$E:$E,"PO",'capacity data'!$C:$C,B6))/SUMIFS('capacity data'!$G:$G,'capacity data'!$E:$E,"PO",'capacity data'!$C:$C,B6),"")</f>
        <v/>
      </c>
      <c r="D10" s="71" t="str">
        <f>IFERROR(SUM((SUMIFS('capacity data'!$G:$G,'capacity data'!$E:$E,"PSO",'capacity data'!$C:$C,B6))-SUMIFS('capacity data'!$H:$H,'capacity data'!$E:$E,"PSO",'capacity data'!$C:$C,B6))/SUMIFS('capacity data'!$G:$G,'capacity data'!$E:$E,"PSO",'capacity data'!$C:$C,B6),"")</f>
        <v/>
      </c>
      <c r="E10" s="71" t="str">
        <f>IFERROR(SUM((SUMIFS('capacity data'!$G:$G,'capacity data'!$E:$E,"TPO",'capacity data'!$C:$C,B6))-SUMIFS('capacity data'!$H:$H,'capacity data'!$E:$E,"TPO",'capacity data'!$C:$C,B6))/SUMIFS('capacity data'!$G:$G,'capacity data'!$E:$E,"TPO",'capacity data'!$C:$C,B6),"")</f>
        <v/>
      </c>
      <c r="F10" s="71" t="str">
        <f>IFERROR(SUM((SUMIFS('capacity data'!G:G,'capacity data'!C:C,'team overview'!B6))-SUMIFS('capacity data'!H:H,'capacity data'!C:C,'team overview'!B6))/SUMIFS('capacity data'!G:G,'capacity data'!C:C,'team overview'!B6),"")</f>
        <v/>
      </c>
      <c r="G10" s="68"/>
      <c r="H10" s="70" t="e">
        <f>SUMIFS('capacity data'!$L:$L,'capacity data'!$C:$C,$B$6,'capacity data'!$E:$E,"PSO")/SUM((SUMIFS('capacity data'!$G:$G,'capacity data'!$E:$E,"PSO",'capacity data'!$C:$C,$B$6))-SUMIFS('capacity data'!$H:$H,'capacity data'!$E:$E,"PSO",'capacity data'!$C:$C,$B$6))</f>
        <v>#DIV/0!</v>
      </c>
      <c r="I10" s="219" t="e">
        <f>SUMIFS('capacity data'!$L:$L,'capacity data'!$C:$C,$B$6,'capacity data'!$E:$E,"PSO")/SUMIFS('capacity data'!$G:$G,'capacity data'!$E:$E,"PSO",'capacity data'!$C:$C,$B$6)</f>
        <v>#DIV/0!</v>
      </c>
      <c r="J10" s="68"/>
      <c r="K10" s="70" t="e">
        <f>SUMIFS('capacity data'!$L:$L,'capacity data'!$C:$C,$B$6,'capacity data'!$E:$E,"TPO")/SUM((SUMIFS('capacity data'!$G:$G,'capacity data'!$E:$E,"TPO",'capacity data'!$C:$C,$B$6))-SUMIFS('capacity data'!$H:$H,'capacity data'!$E:$E,"TPO",'capacity data'!$C:$C,$B$6))</f>
        <v>#DIV/0!</v>
      </c>
      <c r="L10" s="219" t="e">
        <f>SUMIFS('capacity data'!$L:$L,'capacity data'!$C:$C,$B$6,'capacity data'!$E:$E,"TPO")/SUMIFS('capacity data'!$G:$G,'capacity data'!$E:$E,"TPO",'capacity data'!$C:$C,$B$6)</f>
        <v>#DIV/0!</v>
      </c>
      <c r="M10" s="68"/>
    </row>
    <row r="11" spans="1:19" x14ac:dyDescent="0.15">
      <c r="B11" s="110" t="s">
        <v>1113</v>
      </c>
      <c r="C11" s="111" t="e">
        <f>SUM((SUMIF('capacity data'!E:E,"PO",'capacity data'!G:G))-SUMIF('capacity data'!E:E,"PO",'capacity data'!H:H))/SUMIF('capacity data'!E:E,"PO",'capacity data'!G:G)</f>
        <v>#DIV/0!</v>
      </c>
      <c r="D11" s="111" t="e">
        <f>SUM((SUMIF('capacity data'!E:E,"PSO",'capacity data'!G:G))-SUMIF('capacity data'!E:E,"PSO",'capacity data'!H:H))/SUMIF('capacity data'!E:E,"PSO",'capacity data'!G:G)</f>
        <v>#DIV/0!</v>
      </c>
      <c r="E11" s="111" t="e">
        <f>SUM((SUMIF('capacity data'!E:E,"PSO",'capacity data'!G:G))-SUMIF('capacity data'!E:E,"PSO",'capacity data'!H:H))/SUMIF('capacity data'!E:E,"PSO",'capacity data'!G:G)</f>
        <v>#DIV/0!</v>
      </c>
      <c r="F11" s="86" t="e">
        <f>SUM((SUM('capacity data'!G:G)-SUM('capacity data'!H:H))/SUM('capacity data'!G:G))</f>
        <v>#DIV/0!</v>
      </c>
      <c r="G11" s="68"/>
      <c r="H11" s="121" t="e">
        <f>SUMIF('capacity data'!$E:$E,"PSO",'capacity data'!$L:$L)/SUM(SUMIF('capacity data'!$E:$E,"PSO",'capacity data'!$G:$G)-SUMIF('capacity data'!$E:$E,"PSO",'capacity data'!$H:$H))</f>
        <v>#DIV/0!</v>
      </c>
      <c r="I11" s="122" t="e">
        <f>SUMIF('capacity data'!$E:$E,"PSO",'capacity data'!$L:$L)/SUMIF('capacity data'!$E:$E,"PSO",'capacity data'!$G:$G)</f>
        <v>#DIV/0!</v>
      </c>
      <c r="J11" s="68"/>
      <c r="K11" s="121" t="e">
        <f>SUMIF('capacity data'!$E:$E,"TPO",'capacity data'!$L:$L)/SUM(SUMIF('capacity data'!$E:$E,"TPO",'capacity data'!$G:$G)-SUMIF('capacity data'!$E:$E,"TPO",'capacity data'!$H:$H))</f>
        <v>#DIV/0!</v>
      </c>
      <c r="L11" s="122" t="e">
        <f>SUMIF('capacity data'!$E:$E,"TPO",'capacity data'!$L:$L)/SUMIF('capacity data'!$E:$E,"TPO",'capacity data'!$G:$G)</f>
        <v>#DIV/0!</v>
      </c>
      <c r="M11" s="68"/>
    </row>
    <row r="12" spans="1:19" x14ac:dyDescent="0.15">
      <c r="B12" s="123" t="s">
        <v>1206</v>
      </c>
      <c r="C12" s="124" t="e">
        <f>+C10-C11</f>
        <v>#VALUE!</v>
      </c>
      <c r="D12" s="107" t="str">
        <f>IFERROR(+D10-D11,"N/A")</f>
        <v>N/A</v>
      </c>
      <c r="E12" s="107" t="str">
        <f>IFERROR(+E10-E11,"N/A")</f>
        <v>N/A</v>
      </c>
      <c r="F12" s="107" t="e">
        <f>+F10-F11</f>
        <v>#VALUE!</v>
      </c>
      <c r="G12" s="68"/>
      <c r="H12" s="103" t="e">
        <f>+H10-H11</f>
        <v>#DIV/0!</v>
      </c>
      <c r="I12" s="125" t="e">
        <f>+I10-I11</f>
        <v>#DIV/0!</v>
      </c>
      <c r="J12" s="68"/>
      <c r="K12" s="103" t="e">
        <f>+K10-K11</f>
        <v>#DIV/0!</v>
      </c>
      <c r="L12" s="125" t="e">
        <f>+L10-L11</f>
        <v>#DIV/0!</v>
      </c>
      <c r="M12" s="68"/>
    </row>
    <row r="13" spans="1:19" x14ac:dyDescent="0.15">
      <c r="B13" s="68"/>
      <c r="C13" s="68"/>
      <c r="D13" s="68"/>
      <c r="E13" s="68"/>
      <c r="F13" s="68"/>
      <c r="G13" s="68"/>
      <c r="H13" s="68"/>
      <c r="I13" s="68"/>
      <c r="J13" s="68"/>
      <c r="K13" s="68"/>
      <c r="L13" s="68"/>
      <c r="M13" s="68"/>
    </row>
    <row r="14" spans="1:19" ht="50.25" customHeight="1" x14ac:dyDescent="0.15">
      <c r="B14" s="73"/>
      <c r="C14" s="74" t="s">
        <v>1116</v>
      </c>
      <c r="D14" s="74" t="s">
        <v>1117</v>
      </c>
      <c r="E14" s="74" t="s">
        <v>1118</v>
      </c>
      <c r="F14" s="74" t="s">
        <v>1119</v>
      </c>
      <c r="G14" s="74" t="s">
        <v>1120</v>
      </c>
      <c r="H14" s="74" t="s">
        <v>1121</v>
      </c>
      <c r="I14" s="74" t="s">
        <v>1122</v>
      </c>
      <c r="J14" s="75" t="s">
        <v>1123</v>
      </c>
      <c r="K14" s="74" t="s">
        <v>1124</v>
      </c>
      <c r="L14" s="74" t="s">
        <v>1125</v>
      </c>
      <c r="M14" s="74" t="s">
        <v>1126</v>
      </c>
    </row>
    <row r="15" spans="1:19" ht="20.25" customHeight="1" x14ac:dyDescent="0.15">
      <c r="B15" s="76" t="str">
        <f>B6</f>
        <v>South Birmingham 2</v>
      </c>
      <c r="C15" s="221">
        <f>COUNTIFS('capacity data'!C:C,'team overview'!B6,'capacity data'!E:E,"PO")</f>
        <v>0</v>
      </c>
      <c r="D15" s="221">
        <f>COUNTIFS('capacity data'!C:C,B6,'capacity data'!E:E,"PO",'capacity data'!F:F,"&gt;110%")</f>
        <v>0</v>
      </c>
      <c r="E15" s="77" t="e">
        <f>D15/C15</f>
        <v>#DIV/0!</v>
      </c>
      <c r="F15" s="221">
        <f>COUNTIFS('capacity data'!C:C,'team overview'!B6,'capacity data'!E:E,"PSO")</f>
        <v>0</v>
      </c>
      <c r="G15" s="221">
        <f>COUNTIFS('capacity data'!C:C,B6,'capacity data'!E:E,"PSO",'capacity data'!F:F,"&gt;110%")</f>
        <v>0</v>
      </c>
      <c r="H15" s="78" t="str">
        <f>IFERROR(G15/F15,"N/A")</f>
        <v>N/A</v>
      </c>
      <c r="I15" s="221">
        <f>COUNTIFS('capacity data'!C:C,B6,'capacity data'!E:E,"PSO",'capacity data'!F:F,"&lt;910%")</f>
        <v>0</v>
      </c>
      <c r="J15" s="78" t="str">
        <f>IFERROR(I15/F15,"")</f>
        <v/>
      </c>
      <c r="K15" s="221">
        <f>COUNTIFS('capacity data'!C:C,'team overview'!B6,'capacity data'!E:E,"TPO")</f>
        <v>0</v>
      </c>
      <c r="L15" s="221">
        <f>COUNTIFS('capacity data'!C:C,B6,'capacity data'!E:E,"TPO",'capacity data'!F:F,"&gt;110%")</f>
        <v>0</v>
      </c>
      <c r="M15" s="71" t="str">
        <f>IFERROR(L15/K15,"N/A")</f>
        <v>N/A</v>
      </c>
    </row>
    <row r="16" spans="1:19" x14ac:dyDescent="0.15">
      <c r="B16" s="110" t="s">
        <v>1223</v>
      </c>
      <c r="C16" s="84">
        <f>COUNTIF('capacity data'!E:E,"PO")</f>
        <v>0</v>
      </c>
      <c r="D16" s="84">
        <f>COUNTIFS('capacity data'!E:E,"PO",'capacity data'!F:F,"&gt;110%")</f>
        <v>0</v>
      </c>
      <c r="E16" s="111" t="e">
        <f>D16/C16</f>
        <v>#DIV/0!</v>
      </c>
      <c r="F16" s="84">
        <f>COUNTIF('capacity data'!E:E,"PSO")</f>
        <v>0</v>
      </c>
      <c r="G16" s="84">
        <f>COUNTIFS('capacity data'!E:E,"PSO",'capacity data'!F:F,"&gt;110%")</f>
        <v>0</v>
      </c>
      <c r="H16" s="111" t="e">
        <f>G16/F16</f>
        <v>#DIV/0!</v>
      </c>
      <c r="I16" s="84">
        <f>COUNTIFS('capacity data'!E:E,"PSO",'capacity data'!F:F,"&lt;90%")</f>
        <v>0</v>
      </c>
      <c r="J16" s="111" t="e">
        <f>I16/F16</f>
        <v>#DIV/0!</v>
      </c>
      <c r="K16" s="84">
        <f>COUNTIF('capacity data'!E:E,"TPO")</f>
        <v>0</v>
      </c>
      <c r="L16" s="84">
        <f>COUNTIFS('capacity data'!E:E,"TPO",'capacity data'!F:F,"&gt;110%")</f>
        <v>0</v>
      </c>
      <c r="M16" s="111" t="e">
        <f>L16/K16</f>
        <v>#DIV/0!</v>
      </c>
    </row>
    <row r="17" spans="2:13" x14ac:dyDescent="0.15">
      <c r="B17" s="109" t="s">
        <v>1206</v>
      </c>
      <c r="C17" s="104" t="s">
        <v>1128</v>
      </c>
      <c r="D17" s="104" t="s">
        <v>1128</v>
      </c>
      <c r="E17" s="105" t="e">
        <f>+E15-E16</f>
        <v>#DIV/0!</v>
      </c>
      <c r="F17" s="104" t="s">
        <v>1128</v>
      </c>
      <c r="G17" s="104" t="s">
        <v>1128</v>
      </c>
      <c r="H17" s="105" t="str">
        <f>IFERROR(+H15-H16,"N/A")</f>
        <v>N/A</v>
      </c>
      <c r="I17" s="104" t="s">
        <v>1128</v>
      </c>
      <c r="J17" s="105" t="str">
        <f>IFERROR(+J15-J16,"N/A")</f>
        <v>N/A</v>
      </c>
      <c r="K17" s="104" t="s">
        <v>1128</v>
      </c>
      <c r="L17" s="104" t="s">
        <v>1128</v>
      </c>
      <c r="M17" s="105" t="str">
        <f>IFERROR(+M15-M16,"N/A")</f>
        <v>N/A</v>
      </c>
    </row>
    <row r="19" spans="2:13" ht="23" x14ac:dyDescent="0.15">
      <c r="B19" s="394" t="s">
        <v>1129</v>
      </c>
      <c r="C19" s="395"/>
      <c r="D19" s="395"/>
      <c r="E19" s="395"/>
      <c r="F19" s="395"/>
      <c r="G19" s="395"/>
      <c r="H19" s="395"/>
    </row>
    <row r="20" spans="2:13" ht="49.5" customHeight="1" x14ac:dyDescent="0.15">
      <c r="B20" s="80"/>
      <c r="C20" s="67" t="s">
        <v>1218</v>
      </c>
      <c r="D20" s="67" t="s">
        <v>1219</v>
      </c>
      <c r="E20" s="67" t="s">
        <v>1220</v>
      </c>
      <c r="F20" s="67" t="s">
        <v>1133</v>
      </c>
      <c r="G20" s="227" t="s">
        <v>1243</v>
      </c>
      <c r="H20" s="227" t="s">
        <v>1222</v>
      </c>
    </row>
    <row r="21" spans="2:13" x14ac:dyDescent="0.15">
      <c r="B21" s="66" t="str">
        <f>B6</f>
        <v>South Birmingham 2</v>
      </c>
      <c r="C21" s="79">
        <f>SUMIFS('capacity data'!K:K,'capacity data'!C:C,'team overview'!B6,'capacity data'!E:E,"SPO")</f>
        <v>0</v>
      </c>
      <c r="D21" s="79">
        <f>SUMIFS('capacity data'!K:K,'capacity data'!C:C,'team overview'!B6,'capacity data'!E:E,"DMY")</f>
        <v>0</v>
      </c>
      <c r="E21" s="79">
        <f>SUM(C21:D21)</f>
        <v>0</v>
      </c>
      <c r="F21" s="81">
        <f>SUMIF('capacity data'!C:C,'team overview'!B6,'capacity data'!K:K)</f>
        <v>0</v>
      </c>
      <c r="G21" s="70" t="e">
        <f>E21/F21</f>
        <v>#DIV/0!</v>
      </c>
      <c r="H21" s="82">
        <f>SUMIF('caseload data'!C:C,'team overview'!#REF!,'caseload data'!U:U)</f>
        <v>0</v>
      </c>
    </row>
    <row r="22" spans="2:13" x14ac:dyDescent="0.15">
      <c r="B22" s="83" t="s">
        <v>1223</v>
      </c>
      <c r="C22" s="84">
        <f>SUMIF('capacity data'!E:E,"SPO",'capacity data'!K:K)</f>
        <v>0</v>
      </c>
      <c r="D22" s="84">
        <f>SUMIF('capacity data'!E:E,"DMY",'capacity data'!K:K)</f>
        <v>0</v>
      </c>
      <c r="E22" s="84">
        <f>SUM(C22:D22)</f>
        <v>0</v>
      </c>
      <c r="F22" s="85">
        <f>SUM('capacity data'!K:K)</f>
        <v>0</v>
      </c>
      <c r="G22" s="86" t="e">
        <f>E22/F22</f>
        <v>#DIV/0!</v>
      </c>
      <c r="H22" s="84">
        <f>SUM('caseload data'!U:U)</f>
        <v>0</v>
      </c>
    </row>
    <row r="23" spans="2:13" x14ac:dyDescent="0.15">
      <c r="B23" s="120" t="s">
        <v>1206</v>
      </c>
      <c r="C23" s="104" t="s">
        <v>1128</v>
      </c>
      <c r="D23" s="104" t="s">
        <v>1128</v>
      </c>
      <c r="E23" s="104" t="s">
        <v>1128</v>
      </c>
      <c r="F23" s="108" t="s">
        <v>1128</v>
      </c>
      <c r="G23" s="108" t="e">
        <f>+G21-G22</f>
        <v>#DIV/0!</v>
      </c>
      <c r="H23" s="104" t="s">
        <v>1128</v>
      </c>
    </row>
    <row r="26" spans="2:13" ht="23" x14ac:dyDescent="0.15">
      <c r="B26" s="394" t="s">
        <v>1136</v>
      </c>
      <c r="C26" s="395"/>
      <c r="D26" s="395"/>
      <c r="E26" s="395"/>
      <c r="F26" s="395"/>
      <c r="G26" s="395"/>
      <c r="H26" s="395"/>
      <c r="I26" s="395"/>
      <c r="J26" s="395"/>
      <c r="K26" s="395"/>
    </row>
    <row r="27" spans="2:13" ht="48.75" customHeight="1" x14ac:dyDescent="0.15">
      <c r="B27" s="88"/>
      <c r="C27" s="227" t="s">
        <v>1137</v>
      </c>
      <c r="D27" s="227" t="s">
        <v>1138</v>
      </c>
      <c r="E27" s="227" t="s">
        <v>1139</v>
      </c>
      <c r="F27" s="227" t="s">
        <v>1140</v>
      </c>
      <c r="G27" s="227" t="s">
        <v>1141</v>
      </c>
      <c r="H27" s="227" t="s">
        <v>1142</v>
      </c>
      <c r="I27" s="227" t="s">
        <v>1143</v>
      </c>
      <c r="J27" s="227" t="s">
        <v>1144</v>
      </c>
      <c r="K27" s="227" t="s">
        <v>1145</v>
      </c>
    </row>
    <row r="28" spans="2:13" x14ac:dyDescent="0.15">
      <c r="B28" s="66" t="str">
        <f>B6</f>
        <v>South Birmingham 2</v>
      </c>
      <c r="C28" s="89">
        <f>SUMIFS('capacity data'!I:I,'capacity data'!C:C,'team overview'!B6,'capacity data'!E:E,"PO")</f>
        <v>0</v>
      </c>
      <c r="D28" s="90">
        <f>SUMIFS('capacity data'!J:J,'capacity data'!C:C,'team overview'!B6,'capacity data'!E:E,"PO")</f>
        <v>0</v>
      </c>
      <c r="E28" s="91" t="e">
        <f>D28/C28</f>
        <v>#DIV/0!</v>
      </c>
      <c r="F28" s="90">
        <f>SUMIFS('capacity data'!I:I,'capacity data'!C:C,'team overview'!B6,'capacity data'!E:E,"PSO")</f>
        <v>0</v>
      </c>
      <c r="G28" s="90">
        <f>SUMIFS('capacity data'!J:J,'capacity data'!C:C,'team overview'!B6,'capacity data'!E:E,"PSO")</f>
        <v>0</v>
      </c>
      <c r="H28" s="91" t="str">
        <f>IFERROR(G28/F28,"N/A")</f>
        <v>N/A</v>
      </c>
      <c r="I28" s="90">
        <f>SUMIFS('capacity data'!I:I,'capacity data'!C:C,'team overview'!B6,'capacity data'!E:E,"TPO")</f>
        <v>0</v>
      </c>
      <c r="J28" s="92">
        <f>SUMIFS('capacity data'!J:J,'capacity data'!C:C,'team overview'!B6,'capacity data'!E:E,"TPO")</f>
        <v>0</v>
      </c>
      <c r="K28" s="91" t="str">
        <f>IFERROR(J28/I28,"N/A")</f>
        <v>N/A</v>
      </c>
    </row>
    <row r="29" spans="2:13" x14ac:dyDescent="0.15">
      <c r="B29" s="110" t="s">
        <v>1127</v>
      </c>
      <c r="C29" s="112">
        <f>SUMIF('capacity data'!E:E,"PO",'capacity data'!I:I)</f>
        <v>0</v>
      </c>
      <c r="D29" s="112">
        <f>SUMIF('capacity data'!E:E,"PO",'capacity data'!J:J)</f>
        <v>0</v>
      </c>
      <c r="E29" s="113" t="e">
        <f>D29/C29</f>
        <v>#DIV/0!</v>
      </c>
      <c r="F29" s="112">
        <f>SUMIF('capacity data'!E:E,"PSO",'capacity data'!I:I)</f>
        <v>0</v>
      </c>
      <c r="G29" s="112">
        <f>SUMIF('capacity data'!E:E,"PSO",'capacity data'!J:J)</f>
        <v>0</v>
      </c>
      <c r="H29" s="113" t="e">
        <f>G29/F29</f>
        <v>#DIV/0!</v>
      </c>
      <c r="I29" s="112">
        <f>SUMIF('capacity data'!E:E,"TPO",'capacity data'!I:I)</f>
        <v>0</v>
      </c>
      <c r="J29" s="112">
        <f>SUMIF('capacity data'!E:E,"TPO",'capacity data'!J:J)</f>
        <v>0</v>
      </c>
      <c r="K29" s="113" t="e">
        <f>J29/I29</f>
        <v>#DIV/0!</v>
      </c>
    </row>
    <row r="30" spans="2:13" x14ac:dyDescent="0.15">
      <c r="B30" s="109" t="s">
        <v>1206</v>
      </c>
      <c r="C30" s="104" t="s">
        <v>1128</v>
      </c>
      <c r="D30" s="104" t="s">
        <v>1128</v>
      </c>
      <c r="E30" s="103" t="e">
        <f>+E28-E29</f>
        <v>#DIV/0!</v>
      </c>
      <c r="F30" s="104" t="s">
        <v>1128</v>
      </c>
      <c r="G30" s="104" t="s">
        <v>1128</v>
      </c>
      <c r="H30" s="103" t="str">
        <f>IFERROR(+H28-H29,"N/A")</f>
        <v>N/A</v>
      </c>
      <c r="I30" s="104" t="s">
        <v>1128</v>
      </c>
      <c r="J30" s="104" t="s">
        <v>1128</v>
      </c>
      <c r="K30" s="103" t="str">
        <f>IFERROR(+K28-K29,"N/A")</f>
        <v>N/A</v>
      </c>
    </row>
    <row r="32" spans="2:13" ht="37.5" customHeight="1" x14ac:dyDescent="0.15">
      <c r="B32" s="416" t="s">
        <v>1244</v>
      </c>
      <c r="C32" s="417"/>
      <c r="D32" s="417"/>
      <c r="F32" s="418" t="s">
        <v>1245</v>
      </c>
      <c r="G32" s="418"/>
    </row>
    <row r="33" spans="1:7" ht="60.75" customHeight="1" x14ac:dyDescent="0.15">
      <c r="B33" s="80" t="s">
        <v>1149</v>
      </c>
      <c r="C33" s="227" t="s">
        <v>1227</v>
      </c>
      <c r="D33" s="227" t="s">
        <v>1151</v>
      </c>
      <c r="E33" s="68"/>
      <c r="F33" s="223" t="s">
        <v>1246</v>
      </c>
      <c r="G33" s="222">
        <f>COUNTIFS('reductions data'!C:C,'team overview'!B6,'reductions data'!K:K,"ACTIVE")</f>
        <v>0</v>
      </c>
    </row>
    <row r="34" spans="1:7" x14ac:dyDescent="0.15">
      <c r="B34" s="116" t="s">
        <v>1050</v>
      </c>
      <c r="C34" s="93">
        <f>COUNTIFS('reductions data'!C:C,'team overview'!$B$6,'reductions data'!G:G,'team overview'!B34)</f>
        <v>0</v>
      </c>
      <c r="D34" s="94">
        <f>SUMIFS('reductions data'!H:H,'reductions data'!$C:$C,'team overview'!$B$6,'reductions data'!G:G,'team overview'!B34)</f>
        <v>0</v>
      </c>
      <c r="E34" s="68"/>
      <c r="F34" s="405" t="s">
        <v>1247</v>
      </c>
      <c r="G34" s="406">
        <f>SUMIF('reductions data'!C:C,'team overview'!B6,'reductions data'!H:H)</f>
        <v>0</v>
      </c>
    </row>
    <row r="35" spans="1:7" x14ac:dyDescent="0.15">
      <c r="B35" s="117" t="s">
        <v>1052</v>
      </c>
      <c r="C35" s="93">
        <f>COUNTIFS('reductions data'!C:C,'team overview'!$B$6,'reductions data'!G:G,'team overview'!B35)</f>
        <v>0</v>
      </c>
      <c r="D35" s="94">
        <f>SUMIFS('reductions data'!H:H,'reductions data'!$C:$C,'team overview'!$B$6,'reductions data'!G:G,'team overview'!B35)</f>
        <v>0</v>
      </c>
      <c r="E35" s="68"/>
      <c r="F35" s="368"/>
      <c r="G35" s="368"/>
    </row>
    <row r="36" spans="1:7" x14ac:dyDescent="0.15">
      <c r="B36" s="117" t="s">
        <v>1051</v>
      </c>
      <c r="C36" s="93">
        <f>COUNTIFS('reductions data'!C:C,'team overview'!$B$6,'reductions data'!G:G,'team overview'!B36)</f>
        <v>0</v>
      </c>
      <c r="D36" s="94">
        <f>SUMIFS('reductions data'!H:H,'reductions data'!$C:$C,'team overview'!$B$6,'reductions data'!G:G,'team overview'!B36)</f>
        <v>0</v>
      </c>
      <c r="E36" s="95"/>
      <c r="F36" s="368"/>
      <c r="G36" s="368"/>
    </row>
    <row r="37" spans="1:7" x14ac:dyDescent="0.15">
      <c r="B37" s="117" t="s">
        <v>1053</v>
      </c>
      <c r="C37" s="93">
        <f>COUNTIFS('reductions data'!C:C,'team overview'!$B$6,'reductions data'!G:G,'team overview'!B37)</f>
        <v>0</v>
      </c>
      <c r="D37" s="94">
        <f>SUMIFS('reductions data'!H:H,'reductions data'!$C:$C,'team overview'!$B$6,'reductions data'!G:G,'team overview'!B37)</f>
        <v>0</v>
      </c>
      <c r="E37" s="95"/>
      <c r="F37" s="411" t="s">
        <v>1248</v>
      </c>
      <c r="G37" s="406">
        <f>SUMIF('capacity data'!C:C,'team overview'!B6,'capacity data'!I:I)</f>
        <v>0</v>
      </c>
    </row>
    <row r="38" spans="1:7" x14ac:dyDescent="0.15">
      <c r="B38" s="117" t="s">
        <v>1054</v>
      </c>
      <c r="C38" s="93">
        <f>COUNTIFS('reductions data'!C:C,'team overview'!$B$6,'reductions data'!G:G,'team overview'!B38)</f>
        <v>0</v>
      </c>
      <c r="D38" s="94">
        <f>SUMIFS('reductions data'!H:H,'reductions data'!$C:$C,'team overview'!$B$6,'reductions data'!G:G,'team overview'!B38)</f>
        <v>0</v>
      </c>
      <c r="E38" s="95"/>
      <c r="F38" s="368"/>
      <c r="G38" s="368"/>
    </row>
    <row r="39" spans="1:7" x14ac:dyDescent="0.15">
      <c r="B39" s="117" t="s">
        <v>1055</v>
      </c>
      <c r="C39" s="93">
        <f>COUNTIFS('reductions data'!C:C,'team overview'!$B$6,'reductions data'!G:G,'team overview'!B39)</f>
        <v>0</v>
      </c>
      <c r="D39" s="94">
        <f>SUMIFS('reductions data'!H:H,'reductions data'!$C:$C,'team overview'!$B$6,'reductions data'!G:G,'team overview'!B39)</f>
        <v>0</v>
      </c>
      <c r="E39" s="95"/>
      <c r="F39" s="368"/>
      <c r="G39" s="368"/>
    </row>
    <row r="40" spans="1:7" x14ac:dyDescent="0.15">
      <c r="B40" s="117" t="s">
        <v>1056</v>
      </c>
      <c r="C40" s="93">
        <f>COUNTIFS('reductions data'!C:C,'team overview'!$B$6,'reductions data'!G:G,'team overview'!B40)</f>
        <v>0</v>
      </c>
      <c r="D40" s="94">
        <f>SUMIFS('reductions data'!H:H,'reductions data'!$C:$C,'team overview'!$B$6,'reductions data'!G:G,'team overview'!B40)</f>
        <v>0</v>
      </c>
      <c r="E40" s="95"/>
      <c r="F40" s="232"/>
      <c r="G40" s="232"/>
    </row>
    <row r="41" spans="1:7" ht="15.75" customHeight="1" x14ac:dyDescent="0.15">
      <c r="A41" s="95"/>
      <c r="B41" s="117" t="s">
        <v>1057</v>
      </c>
      <c r="C41" s="93">
        <f>COUNTIFS('reductions data'!C:C,'team overview'!$B$6,'reductions data'!G:G,'team overview'!B41)</f>
        <v>0</v>
      </c>
      <c r="D41" s="94">
        <f>SUMIFS('reductions data'!H:H,'reductions data'!$C:$C,'team overview'!$B$6,'reductions data'!G:G,'team overview'!B41)</f>
        <v>0</v>
      </c>
      <c r="E41" s="95"/>
      <c r="F41" s="412" t="s">
        <v>1249</v>
      </c>
      <c r="G41" s="414" t="e">
        <f>G34/G37</f>
        <v>#DIV/0!</v>
      </c>
    </row>
    <row r="42" spans="1:7" ht="15.75" customHeight="1" x14ac:dyDescent="0.15">
      <c r="A42" s="95"/>
      <c r="B42" s="117" t="s">
        <v>1444</v>
      </c>
      <c r="C42" s="93">
        <f>COUNTIFS('reductions data'!C:C,'team overview'!$B$6,'reductions data'!G:G,'team overview'!B42)</f>
        <v>0</v>
      </c>
      <c r="D42" s="94">
        <f>SUMIFS('reductions data'!H:H,'reductions data'!$C:$C,'team overview'!$B$6,'reductions data'!G:G,'team overview'!B42)</f>
        <v>0</v>
      </c>
      <c r="E42" s="95"/>
      <c r="F42" s="413"/>
      <c r="G42" s="415"/>
    </row>
    <row r="43" spans="1:7" x14ac:dyDescent="0.15">
      <c r="B43" s="117" t="s">
        <v>1058</v>
      </c>
      <c r="C43" s="93">
        <f>COUNTIFS('reductions data'!C:C,'team overview'!$B$6,'reductions data'!G:G,'team overview'!B43)</f>
        <v>0</v>
      </c>
      <c r="D43" s="94">
        <f>SUMIFS('reductions data'!H:H,'reductions data'!$C:$C,'team overview'!$B$6,'reductions data'!G:G,'team overview'!B43)</f>
        <v>0</v>
      </c>
      <c r="E43" s="95"/>
      <c r="F43" s="400"/>
      <c r="G43" s="403"/>
    </row>
    <row r="44" spans="1:7" x14ac:dyDescent="0.15">
      <c r="B44" s="117" t="s">
        <v>1059</v>
      </c>
      <c r="C44" s="93">
        <f>COUNTIFS('reductions data'!C:C,'team overview'!$B$6,'reductions data'!G:G,'team overview'!B44)</f>
        <v>0</v>
      </c>
      <c r="D44" s="94">
        <f>SUMIFS('reductions data'!H:H,'reductions data'!$C:$C,'team overview'!$B$6,'reductions data'!G:G,'team overview'!B44)</f>
        <v>0</v>
      </c>
      <c r="E44" s="95"/>
      <c r="F44" s="400"/>
      <c r="G44" s="403"/>
    </row>
    <row r="45" spans="1:7" x14ac:dyDescent="0.15">
      <c r="B45" s="117" t="s">
        <v>1060</v>
      </c>
      <c r="C45" s="93">
        <f>COUNTIFS('reductions data'!C:C,'team overview'!$B$6,'reductions data'!G:G,'team overview'!B45)</f>
        <v>0</v>
      </c>
      <c r="D45" s="94">
        <f>SUMIFS('reductions data'!H:H,'reductions data'!$C:$C,'team overview'!$B$6,'reductions data'!G:G,'team overview'!B45)</f>
        <v>0</v>
      </c>
      <c r="E45" s="95"/>
      <c r="F45" s="400"/>
      <c r="G45" s="403"/>
    </row>
    <row r="46" spans="1:7" x14ac:dyDescent="0.15">
      <c r="B46" s="117" t="s">
        <v>1061</v>
      </c>
      <c r="C46" s="93">
        <f>COUNTIFS('reductions data'!C:C,'team overview'!$B$6,'reductions data'!G:G,'team overview'!B46)</f>
        <v>0</v>
      </c>
      <c r="D46" s="94">
        <f>SUMIFS('reductions data'!H:H,'reductions data'!$C:$C,'team overview'!$B$6,'reductions data'!G:G,'team overview'!B46)</f>
        <v>0</v>
      </c>
      <c r="E46" s="95"/>
      <c r="F46" s="401"/>
      <c r="G46" s="404"/>
    </row>
    <row r="47" spans="1:7" ht="15.75" customHeight="1" x14ac:dyDescent="0.15">
      <c r="B47" s="117" t="s">
        <v>1063</v>
      </c>
      <c r="C47" s="93">
        <f>COUNTIFS('reductions data'!C:C,'team overview'!$B$6,'reductions data'!G:G,'team overview'!B47)</f>
        <v>0</v>
      </c>
      <c r="D47" s="94">
        <f>SUMIFS('reductions data'!H:H,'reductions data'!$C:$C,'team overview'!$B$6,'reductions data'!G:G,'team overview'!B47)</f>
        <v>0</v>
      </c>
      <c r="E47" s="95"/>
      <c r="F47" s="399" t="s">
        <v>1233</v>
      </c>
      <c r="G47" s="402" t="e">
        <f>+G41-'div &amp; regional reduction hours'!N18</f>
        <v>#DIV/0!</v>
      </c>
    </row>
    <row r="48" spans="1:7" x14ac:dyDescent="0.15">
      <c r="B48" s="117" t="s">
        <v>1066</v>
      </c>
      <c r="C48" s="93">
        <f>COUNTIFS('reductions data'!C:C,'team overview'!$B$6,'reductions data'!G:G,'team overview'!B48)</f>
        <v>0</v>
      </c>
      <c r="D48" s="94">
        <f>SUMIFS('reductions data'!H:H,'reductions data'!$C:$C,'team overview'!$B$6,'reductions data'!G:G,'team overview'!B48)</f>
        <v>0</v>
      </c>
      <c r="E48" s="95"/>
      <c r="F48" s="400"/>
      <c r="G48" s="403"/>
    </row>
    <row r="49" spans="2:7" x14ac:dyDescent="0.15">
      <c r="B49" s="117" t="s">
        <v>1062</v>
      </c>
      <c r="C49" s="93">
        <f>COUNTIFS('reductions data'!C:C,'team overview'!$B$6,'reductions data'!G:G,'team overview'!B49)</f>
        <v>0</v>
      </c>
      <c r="D49" s="94">
        <f>SUMIFS('reductions data'!H:H,'reductions data'!$C:$C,'team overview'!$B$6,'reductions data'!G:G,'team overview'!B49)</f>
        <v>0</v>
      </c>
      <c r="E49" s="95"/>
      <c r="F49" s="400"/>
      <c r="G49" s="403"/>
    </row>
    <row r="50" spans="2:7" x14ac:dyDescent="0.15">
      <c r="B50" s="117" t="s">
        <v>1157</v>
      </c>
      <c r="C50" s="93">
        <f>COUNTIFS('reductions data'!C:C,'team overview'!$B$6,'reductions data'!G:G,'team overview'!B50)</f>
        <v>0</v>
      </c>
      <c r="D50" s="94">
        <f>SUMIFS('reductions data'!H:H,'reductions data'!$C:$C,'team overview'!$B$6,'reductions data'!G:G,'team overview'!B50)</f>
        <v>0</v>
      </c>
      <c r="E50" s="95"/>
      <c r="F50" s="400"/>
      <c r="G50" s="403"/>
    </row>
    <row r="51" spans="2:7" x14ac:dyDescent="0.15">
      <c r="B51" s="117" t="s">
        <v>1067</v>
      </c>
      <c r="C51" s="93">
        <f>COUNTIFS('reductions data'!C:C,'team overview'!$B$6,'reductions data'!G:G,'team overview'!B51)</f>
        <v>0</v>
      </c>
      <c r="D51" s="94">
        <f>SUMIFS('reductions data'!H:H,'reductions data'!$C:$C,'team overview'!$B$6,'reductions data'!G:G,'team overview'!B51)</f>
        <v>0</v>
      </c>
      <c r="E51" s="95"/>
      <c r="F51" s="401"/>
      <c r="G51" s="404"/>
    </row>
    <row r="52" spans="2:7" x14ac:dyDescent="0.15">
      <c r="B52" s="117" t="s">
        <v>1068</v>
      </c>
      <c r="C52" s="93">
        <f>COUNTIFS('reductions data'!C:C,'team overview'!$B$6,'reductions data'!G:G,'team overview'!B52)</f>
        <v>0</v>
      </c>
      <c r="D52" s="94">
        <f>SUMIFS('reductions data'!H:H,'reductions data'!$C:$C,'team overview'!$B$6,'reductions data'!G:G,'team overview'!B52)</f>
        <v>0</v>
      </c>
      <c r="E52" s="95"/>
      <c r="F52" s="95"/>
      <c r="G52" s="68"/>
    </row>
    <row r="53" spans="2:7" x14ac:dyDescent="0.15">
      <c r="B53" s="117" t="s">
        <v>1069</v>
      </c>
      <c r="C53" s="93">
        <f>COUNTIFS('reductions data'!C:C,'team overview'!$B$6,'reductions data'!G:G,'team overview'!B53)</f>
        <v>0</v>
      </c>
      <c r="D53" s="94">
        <f>SUMIFS('reductions data'!H:H,'reductions data'!$C:$C,'team overview'!$B$6,'reductions data'!G:G,'team overview'!B53)</f>
        <v>0</v>
      </c>
      <c r="E53" s="95"/>
      <c r="F53" s="95"/>
      <c r="G53" s="68"/>
    </row>
    <row r="54" spans="2:7" x14ac:dyDescent="0.15">
      <c r="B54" s="117" t="s">
        <v>1070</v>
      </c>
      <c r="C54" s="93">
        <f>COUNTIFS('reductions data'!C:C,'team overview'!$B$6,'reductions data'!G:G,'team overview'!B54)</f>
        <v>0</v>
      </c>
      <c r="D54" s="94">
        <f>SUMIFS('reductions data'!H:H,'reductions data'!$C:$C,'team overview'!$B$6,'reductions data'!G:G,'team overview'!B54)</f>
        <v>0</v>
      </c>
      <c r="E54" s="95"/>
      <c r="F54" s="95"/>
      <c r="G54" s="68"/>
    </row>
    <row r="55" spans="2:7" x14ac:dyDescent="0.15">
      <c r="B55" s="117" t="s">
        <v>1071</v>
      </c>
      <c r="C55" s="93">
        <f>COUNTIFS('reductions data'!C:C,'team overview'!$B$6,'reductions data'!G:G,'team overview'!B55)</f>
        <v>0</v>
      </c>
      <c r="D55" s="94">
        <f>SUMIFS('reductions data'!H:H,'reductions data'!$C:$C,'team overview'!$B$6,'reductions data'!G:G,'team overview'!B55)</f>
        <v>0</v>
      </c>
      <c r="E55" s="95"/>
      <c r="F55" s="95"/>
      <c r="G55" s="68"/>
    </row>
    <row r="56" spans="2:7" x14ac:dyDescent="0.15">
      <c r="B56" s="117" t="s">
        <v>1072</v>
      </c>
      <c r="C56" s="93">
        <f>COUNTIFS('reductions data'!C:C,'team overview'!$B$6,'reductions data'!G:G,'team overview'!B56)</f>
        <v>0</v>
      </c>
      <c r="D56" s="94">
        <f>SUMIFS('reductions data'!H:H,'reductions data'!$C:$C,'team overview'!$B$6,'reductions data'!G:G,'team overview'!B56)</f>
        <v>0</v>
      </c>
      <c r="E56" s="95"/>
      <c r="F56" s="95"/>
      <c r="G56" s="68"/>
    </row>
    <row r="57" spans="2:7" x14ac:dyDescent="0.15">
      <c r="B57" s="117" t="s">
        <v>1073</v>
      </c>
      <c r="C57" s="93">
        <f>COUNTIFS('reductions data'!C:C,'team overview'!$B$6,'reductions data'!G:G,'team overview'!B57)</f>
        <v>0</v>
      </c>
      <c r="D57" s="94">
        <f>SUMIFS('reductions data'!H:H,'reductions data'!$C:$C,'team overview'!$B$6,'reductions data'!G:G,'team overview'!B57)</f>
        <v>0</v>
      </c>
      <c r="E57" s="95"/>
      <c r="F57" s="95"/>
      <c r="G57" s="68"/>
    </row>
    <row r="58" spans="2:7" x14ac:dyDescent="0.15">
      <c r="B58" s="117" t="s">
        <v>1075</v>
      </c>
      <c r="C58" s="93">
        <f>COUNTIFS('reductions data'!C:C,'team overview'!$B$6,'reductions data'!G:G,'team overview'!B58)</f>
        <v>0</v>
      </c>
      <c r="D58" s="94">
        <f>SUMIFS('reductions data'!H:H,'reductions data'!$C:$C,'team overview'!$B$6,'reductions data'!G:G,'team overview'!B58)</f>
        <v>0</v>
      </c>
      <c r="E58" s="95"/>
      <c r="F58" s="95"/>
      <c r="G58" s="68"/>
    </row>
    <row r="59" spans="2:7" x14ac:dyDescent="0.15">
      <c r="B59" s="117" t="s">
        <v>1077</v>
      </c>
      <c r="C59" s="93">
        <f>COUNTIFS('reductions data'!C:C,'team overview'!$B$6,'reductions data'!G:G,'team overview'!B59)</f>
        <v>0</v>
      </c>
      <c r="D59" s="94">
        <f>SUMIFS('reductions data'!H:H,'reductions data'!$C:$C,'team overview'!$B$6,'reductions data'!G:G,'team overview'!B59)</f>
        <v>0</v>
      </c>
      <c r="E59" s="95"/>
      <c r="F59" s="95"/>
      <c r="G59" s="68"/>
    </row>
    <row r="60" spans="2:7" x14ac:dyDescent="0.15">
      <c r="B60" s="117" t="s">
        <v>1079</v>
      </c>
      <c r="C60" s="93">
        <f>COUNTIFS('reductions data'!C:C,'team overview'!$B$6,'reductions data'!G:G,'team overview'!B60)</f>
        <v>0</v>
      </c>
      <c r="D60" s="94">
        <f>SUMIFS('reductions data'!H:H,'reductions data'!$C:$C,'team overview'!$B$6,'reductions data'!G:G,'team overview'!B60)</f>
        <v>0</v>
      </c>
      <c r="E60" s="95"/>
      <c r="F60" s="95"/>
      <c r="G60" s="68"/>
    </row>
    <row r="61" spans="2:7" x14ac:dyDescent="0.15">
      <c r="B61" s="117" t="s">
        <v>1437</v>
      </c>
      <c r="C61" s="93">
        <f>COUNTIFS('reductions data'!C:C,'team overview'!$B$6,'reductions data'!G:G,'team overview'!B61)</f>
        <v>0</v>
      </c>
      <c r="D61" s="94">
        <f>SUMIFS('reductions data'!H:H,'reductions data'!$C:$C,'team overview'!$B$6,'reductions data'!G:G,'team overview'!B61)</f>
        <v>0</v>
      </c>
      <c r="E61" s="95"/>
      <c r="F61" s="95"/>
      <c r="G61" s="68"/>
    </row>
    <row r="62" spans="2:7" x14ac:dyDescent="0.15">
      <c r="B62" s="117" t="s">
        <v>1438</v>
      </c>
      <c r="C62" s="93">
        <f>COUNTIFS('reductions data'!C:C,'team overview'!$B$6,'reductions data'!G:G,'team overview'!B62)</f>
        <v>0</v>
      </c>
      <c r="D62" s="94">
        <f>SUMIFS('reductions data'!H:H,'reductions data'!$C:$C,'team overview'!$B$6,'reductions data'!G:G,'team overview'!B62)</f>
        <v>0</v>
      </c>
      <c r="E62" s="95"/>
      <c r="F62" s="95"/>
      <c r="G62" s="68"/>
    </row>
    <row r="63" spans="2:7" x14ac:dyDescent="0.15">
      <c r="B63" s="342" t="s">
        <v>1434</v>
      </c>
      <c r="C63" s="93">
        <f>COUNTIFS('reductions data'!C:C,'team overview'!$B$6,'reductions data'!G:G,'team overview'!B63)</f>
        <v>0</v>
      </c>
      <c r="D63" s="94">
        <f>SUMIFS('reductions data'!H:H,'reductions data'!$C:$C,'team overview'!$B$6,'reductions data'!G:G,'team overview'!B63)</f>
        <v>0</v>
      </c>
      <c r="E63" s="95"/>
      <c r="F63" s="95"/>
      <c r="G63" s="68"/>
    </row>
    <row r="64" spans="2:7" x14ac:dyDescent="0.15">
      <c r="B64" s="342" t="s">
        <v>1435</v>
      </c>
      <c r="C64" s="93">
        <f>COUNTIFS('reductions data'!C:C,'team overview'!$B$6,'reductions data'!G:G,'team overview'!B64)</f>
        <v>0</v>
      </c>
      <c r="D64" s="94">
        <f>SUMIFS('reductions data'!H:H,'reductions data'!$C:$C,'team overview'!$B$6,'reductions data'!G:G,'team overview'!B64)</f>
        <v>0</v>
      </c>
      <c r="E64" s="95"/>
      <c r="F64" s="95"/>
      <c r="G64" s="68"/>
    </row>
    <row r="65" spans="2:19" x14ac:dyDescent="0.15">
      <c r="B65" s="342" t="s">
        <v>1445</v>
      </c>
      <c r="C65" s="93">
        <f>COUNTIFS('reductions data'!C:C,'team overview'!$B$6,'reductions data'!G:G,'team overview'!B65)</f>
        <v>0</v>
      </c>
      <c r="D65" s="94">
        <f>SUMIFS('reductions data'!H:H,'reductions data'!$C:$C,'team overview'!$B$6,'reductions data'!G:G,'team overview'!B65)</f>
        <v>0</v>
      </c>
      <c r="E65" s="95"/>
      <c r="F65" s="95"/>
      <c r="G65" s="68"/>
    </row>
    <row r="66" spans="2:19" x14ac:dyDescent="0.15">
      <c r="B66" s="117" t="s">
        <v>1076</v>
      </c>
      <c r="C66" s="93">
        <f>COUNTIFS('reductions data'!C:C,'team overview'!$B$6,'reductions data'!G:G,'team overview'!B66)</f>
        <v>0</v>
      </c>
      <c r="D66" s="94">
        <f>SUMIFS('reductions data'!H:H,'reductions data'!$C:$C,'team overview'!$B$6,'reductions data'!G:G,'team overview'!B66)</f>
        <v>0</v>
      </c>
      <c r="E66" s="95"/>
      <c r="F66" s="95"/>
      <c r="G66" s="68"/>
    </row>
    <row r="67" spans="2:19" x14ac:dyDescent="0.15">
      <c r="B67" s="117" t="s">
        <v>1081</v>
      </c>
      <c r="C67" s="93">
        <f>COUNTIFS('reductions data'!C:C,'team overview'!$B$6,'reductions data'!G:G,'team overview'!B67)</f>
        <v>0</v>
      </c>
      <c r="D67" s="94">
        <f>SUMIFS('reductions data'!H:H,'reductions data'!$C:$C,'team overview'!$B$6,'reductions data'!G:G,'team overview'!B67)</f>
        <v>0</v>
      </c>
      <c r="E67" s="95"/>
      <c r="F67" s="95"/>
      <c r="G67" s="68"/>
    </row>
    <row r="68" spans="2:19" x14ac:dyDescent="0.15">
      <c r="B68" s="117" t="s">
        <v>1078</v>
      </c>
      <c r="C68" s="93">
        <f>COUNTIFS('reductions data'!C:C,'team overview'!$B$6,'reductions data'!G:G,'team overview'!B68)</f>
        <v>0</v>
      </c>
      <c r="D68" s="94">
        <f>SUMIFS('reductions data'!H:H,'reductions data'!$C:$C,'team overview'!$B$6,'reductions data'!G:G,'team overview'!B68)</f>
        <v>0</v>
      </c>
      <c r="E68" s="95"/>
      <c r="F68" s="95"/>
      <c r="G68" s="68"/>
    </row>
    <row r="69" spans="2:19" x14ac:dyDescent="0.15">
      <c r="B69" s="116" t="s">
        <v>1439</v>
      </c>
      <c r="C69" s="93">
        <f>COUNTIFS('reductions data'!C:C,'team overview'!$B$6,'reductions data'!G:G,'team overview'!B69)</f>
        <v>0</v>
      </c>
      <c r="D69" s="94">
        <f>SUMIFS('reductions data'!H:H,'reductions data'!$C:$C,'team overview'!$B$6,'reductions data'!G:G,'team overview'!B69)</f>
        <v>0</v>
      </c>
      <c r="E69" s="95"/>
      <c r="F69" s="95"/>
      <c r="G69" s="68"/>
    </row>
    <row r="70" spans="2:19" x14ac:dyDescent="0.15">
      <c r="B70" s="117" t="s">
        <v>1440</v>
      </c>
      <c r="C70" s="93">
        <f>COUNTIFS('reductions data'!C:C,'team overview'!$B$6,'reductions data'!G:G,'team overview'!B70)</f>
        <v>0</v>
      </c>
      <c r="D70" s="94">
        <f>SUMIFS('reductions data'!H:H,'reductions data'!$C:$C,'team overview'!$B$6,'reductions data'!G:G,'team overview'!B70)</f>
        <v>0</v>
      </c>
      <c r="E70" s="95"/>
      <c r="F70" s="95"/>
      <c r="G70" s="68"/>
    </row>
    <row r="71" spans="2:19" x14ac:dyDescent="0.15">
      <c r="B71" s="117" t="s">
        <v>1082</v>
      </c>
      <c r="C71" s="93">
        <f>COUNTIFS('reductions data'!C:C,'team overview'!$B$6,'reductions data'!G:G,'team overview'!B71)</f>
        <v>0</v>
      </c>
      <c r="D71" s="94">
        <f>SUMIFS('reductions data'!H:H,'reductions data'!$C:$C,'team overview'!$B$6,'reductions data'!G:G,'team overview'!B71)</f>
        <v>0</v>
      </c>
      <c r="E71" s="95"/>
      <c r="F71" s="95"/>
      <c r="G71" s="68"/>
    </row>
    <row r="72" spans="2:19" x14ac:dyDescent="0.15">
      <c r="B72" s="117" t="s">
        <v>1083</v>
      </c>
      <c r="C72" s="93">
        <f>COUNTIFS('reductions data'!C:C,'team overview'!$B$6,'reductions data'!G:G,'team overview'!B72)</f>
        <v>0</v>
      </c>
      <c r="D72" s="94">
        <f>SUMIFS('reductions data'!H:H,'reductions data'!$C:$C,'team overview'!$B$6,'reductions data'!G:G,'team overview'!B72)</f>
        <v>0</v>
      </c>
      <c r="E72" s="95"/>
      <c r="F72" s="95"/>
      <c r="G72" s="68"/>
    </row>
    <row r="73" spans="2:19" x14ac:dyDescent="0.15">
      <c r="B73" s="117" t="s">
        <v>1084</v>
      </c>
      <c r="C73" s="93">
        <f>COUNTIFS('reductions data'!C:C,'team overview'!$B$6,'reductions data'!G:G,'team overview'!B73)</f>
        <v>0</v>
      </c>
      <c r="D73" s="94">
        <f>SUMIFS('reductions data'!H:H,'reductions data'!$C:$C,'team overview'!$B$6,'reductions data'!G:G,'team overview'!B73)</f>
        <v>0</v>
      </c>
      <c r="E73" s="95"/>
      <c r="F73" s="95"/>
      <c r="G73" s="68"/>
    </row>
    <row r="74" spans="2:19" x14ac:dyDescent="0.15">
      <c r="B74" s="117" t="s">
        <v>1085</v>
      </c>
      <c r="C74" s="93">
        <f>COUNTIFS('reductions data'!C:C,'team overview'!$B$6,'reductions data'!G:G,'team overview'!B74)</f>
        <v>0</v>
      </c>
      <c r="D74" s="94">
        <f>SUMIFS('reductions data'!H:H,'reductions data'!$C:$C,'team overview'!$B$6,'reductions data'!G:G,'team overview'!B74)</f>
        <v>0</v>
      </c>
      <c r="E74" s="95"/>
      <c r="F74" s="95"/>
      <c r="G74" s="68"/>
    </row>
    <row r="75" spans="2:19" x14ac:dyDescent="0.15">
      <c r="B75" s="117" t="s">
        <v>1086</v>
      </c>
      <c r="C75" s="93">
        <f>COUNTIFS('reductions data'!C:C,'team overview'!$B$6,'reductions data'!G:G,'team overview'!B75)</f>
        <v>0</v>
      </c>
      <c r="D75" s="94">
        <f>SUMIFS('reductions data'!H:H,'reductions data'!$C:$C,'team overview'!$B$6,'reductions data'!G:G,'team overview'!B75)</f>
        <v>0</v>
      </c>
      <c r="E75" s="95"/>
      <c r="F75" s="95"/>
      <c r="G75" s="68"/>
    </row>
    <row r="76" spans="2:19" x14ac:dyDescent="0.15">
      <c r="B76" s="117" t="s">
        <v>1087</v>
      </c>
      <c r="C76" s="93">
        <f>COUNTIFS('reductions data'!C:C,'team overview'!$B$6,'reductions data'!G:G,'team overview'!B76)</f>
        <v>0</v>
      </c>
      <c r="D76" s="94">
        <f>SUMIFS('reductions data'!H:H,'reductions data'!$C:$C,'team overview'!$B$6,'reductions data'!G:G,'team overview'!B76)</f>
        <v>0</v>
      </c>
      <c r="E76" s="95"/>
      <c r="F76" s="95"/>
      <c r="G76" s="68"/>
    </row>
    <row r="77" spans="2:19" x14ac:dyDescent="0.15">
      <c r="B77" s="117" t="s">
        <v>1074</v>
      </c>
      <c r="C77" s="93">
        <f>COUNTIFS('reductions data'!C:C,'team overview'!$B$6,'reductions data'!G:G,'team overview'!B77)</f>
        <v>0</v>
      </c>
      <c r="D77" s="94">
        <f>SUMIFS('reductions data'!H:H,'reductions data'!$C:$C,'team overview'!$B$6,'reductions data'!G:G,'team overview'!B77)</f>
        <v>0</v>
      </c>
      <c r="E77" s="95"/>
      <c r="F77" s="95"/>
      <c r="G77" s="68"/>
    </row>
    <row r="78" spans="2:19" x14ac:dyDescent="0.15">
      <c r="B78" s="117" t="s">
        <v>1091</v>
      </c>
      <c r="C78" s="93">
        <f>COUNTIFS('reductions data'!C:C,'team overview'!$B$6,'reductions data'!G:G,'team overview'!B78)</f>
        <v>0</v>
      </c>
      <c r="D78" s="94">
        <f>SUMIFS('reductions data'!H:H,'reductions data'!$C:$C,'team overview'!$B$6,'reductions data'!G:G,'team overview'!B78)</f>
        <v>0</v>
      </c>
      <c r="E78" s="95"/>
      <c r="F78" s="95"/>
      <c r="G78" s="68"/>
      <c r="S78" s="43"/>
    </row>
    <row r="79" spans="2:19" x14ac:dyDescent="0.15">
      <c r="B79" s="342" t="s">
        <v>1441</v>
      </c>
      <c r="C79" s="348">
        <f>COUNTIFS('reductions data'!C:C,'team overview'!$B$6,'reductions data'!G:G,'team overview'!B79)</f>
        <v>0</v>
      </c>
      <c r="D79" s="94">
        <f>SUMIFS('reductions data'!H:H,'reductions data'!$C:$C,'team overview'!$B$6,'reductions data'!G:G,'team overview'!B79)</f>
        <v>0</v>
      </c>
      <c r="E79" s="95"/>
      <c r="F79" s="95"/>
      <c r="G79" s="68"/>
    </row>
    <row r="80" spans="2:19" ht="16" x14ac:dyDescent="0.2">
      <c r="B80" s="342" t="s">
        <v>1442</v>
      </c>
      <c r="C80" s="348">
        <f>COUNTIFS('reductions data'!C:C,'team overview'!$B$6,'reductions data'!G:G,'team overview'!B80)</f>
        <v>0</v>
      </c>
      <c r="D80" s="94">
        <f>SUMIFS('reductions data'!H:H,'reductions data'!$C:$C,'team overview'!$B$6,'reductions data'!G:G,'team overview'!B80)</f>
        <v>0</v>
      </c>
      <c r="E80" s="1"/>
      <c r="F80" s="1"/>
    </row>
    <row r="81" spans="2:4" x14ac:dyDescent="0.15">
      <c r="B81" s="342" t="s">
        <v>1446</v>
      </c>
      <c r="C81" s="348">
        <f>COUNTIFS('reductions data'!C:C,'team overview'!$B$6,'reductions data'!G:G,'team overview'!B81)</f>
        <v>0</v>
      </c>
      <c r="D81" s="94">
        <f>SUMIFS('reductions data'!H:H,'reductions data'!$C:$C,'team overview'!$B$6,'reductions data'!G:G,'team overview'!B81)</f>
        <v>0</v>
      </c>
    </row>
    <row r="82" spans="2:4" x14ac:dyDescent="0.15">
      <c r="B82" s="116" t="s">
        <v>1092</v>
      </c>
      <c r="C82" s="93">
        <f>COUNTIFS('reductions data'!C:C,'team overview'!$B$6,'reductions data'!G:G,'team overview'!B82)</f>
        <v>0</v>
      </c>
      <c r="D82" s="94">
        <f>SUMIFS('reductions data'!H:H,'reductions data'!$C:$C,'team overview'!$B$6,'reductions data'!G:G,'team overview'!B82)</f>
        <v>0</v>
      </c>
    </row>
    <row r="83" spans="2:4" x14ac:dyDescent="0.15">
      <c r="B83" s="117" t="s">
        <v>1093</v>
      </c>
      <c r="C83" s="93">
        <f>COUNTIFS('reductions data'!C:C,'team overview'!$B$6,'reductions data'!G:G,'team overview'!B83)</f>
        <v>0</v>
      </c>
      <c r="D83" s="94">
        <f>SUMIFS('reductions data'!H:H,'reductions data'!$C:$C,'team overview'!$B$6,'reductions data'!G:G,'team overview'!B83)</f>
        <v>0</v>
      </c>
    </row>
    <row r="84" spans="2:4" x14ac:dyDescent="0.15">
      <c r="B84" s="117" t="s">
        <v>1094</v>
      </c>
      <c r="C84" s="93">
        <f>COUNTIFS('reductions data'!C:C,'team overview'!$B$6,'reductions data'!G:G,'team overview'!B84)</f>
        <v>0</v>
      </c>
      <c r="D84" s="94">
        <f>SUMIFS('reductions data'!H:H,'reductions data'!$C:$C,'team overview'!$B$6,'reductions data'!G:G,'team overview'!B84)</f>
        <v>0</v>
      </c>
    </row>
    <row r="85" spans="2:4" x14ac:dyDescent="0.15">
      <c r="B85" s="117" t="s">
        <v>1095</v>
      </c>
      <c r="C85" s="93">
        <f>COUNTIFS('reductions data'!C:C,'team overview'!$B$6,'reductions data'!G:G,'team overview'!B85)</f>
        <v>0</v>
      </c>
      <c r="D85" s="94">
        <f>SUMIFS('reductions data'!H:H,'reductions data'!$C:$C,'team overview'!$B$6,'reductions data'!G:G,'team overview'!B85)</f>
        <v>0</v>
      </c>
    </row>
    <row r="86" spans="2:4" x14ac:dyDescent="0.15">
      <c r="B86" s="117" t="s">
        <v>1096</v>
      </c>
      <c r="C86" s="93">
        <f>COUNTIFS('reductions data'!C:C,'team overview'!$B$6,'reductions data'!G:G,'team overview'!B86)</f>
        <v>0</v>
      </c>
      <c r="D86" s="94">
        <f>SUMIFS('reductions data'!H:H,'reductions data'!$C:$C,'team overview'!$B$6,'reductions data'!G:G,'team overview'!B86)</f>
        <v>0</v>
      </c>
    </row>
    <row r="87" spans="2:4" x14ac:dyDescent="0.15">
      <c r="B87" s="117" t="s">
        <v>1097</v>
      </c>
      <c r="C87" s="93">
        <f>COUNTIFS('reductions data'!C:C,'team overview'!$B$6,'reductions data'!G:G,'team overview'!B87)</f>
        <v>0</v>
      </c>
      <c r="D87" s="94">
        <f>SUMIFS('reductions data'!H:H,'reductions data'!$C:$C,'team overview'!$B$6,'reductions data'!G:G,'team overview'!B87)</f>
        <v>0</v>
      </c>
    </row>
    <row r="88" spans="2:4" x14ac:dyDescent="0.15">
      <c r="B88" s="117" t="s">
        <v>1098</v>
      </c>
      <c r="C88" s="93">
        <f>COUNTIFS('reductions data'!C:C,'team overview'!$B$6,'reductions data'!G:G,'team overview'!B88)</f>
        <v>0</v>
      </c>
      <c r="D88" s="94">
        <f>SUMIFS('reductions data'!H:H,'reductions data'!$C:$C,'team overview'!$B$6,'reductions data'!G:G,'team overview'!B88)</f>
        <v>0</v>
      </c>
    </row>
  </sheetData>
  <sortState xmlns:xlrd2="http://schemas.microsoft.com/office/spreadsheetml/2017/richdata2" ref="B34:D85">
    <sortCondition ref="B34:B85"/>
  </sortState>
  <mergeCells count="16">
    <mergeCell ref="B32:D32"/>
    <mergeCell ref="F32:G32"/>
    <mergeCell ref="B8:F8"/>
    <mergeCell ref="A1:M1"/>
    <mergeCell ref="N1:S1"/>
    <mergeCell ref="A2:M2"/>
    <mergeCell ref="B26:K26"/>
    <mergeCell ref="B19:H19"/>
    <mergeCell ref="F47:F51"/>
    <mergeCell ref="G47:G51"/>
    <mergeCell ref="F34:F36"/>
    <mergeCell ref="G34:G36"/>
    <mergeCell ref="F37:F39"/>
    <mergeCell ref="G37:G39"/>
    <mergeCell ref="F41:F46"/>
    <mergeCell ref="G41:G46"/>
  </mergeCells>
  <conditionalFormatting sqref="C11:E11 C10:F10">
    <cfRule type="cellIs" dxfId="6411" priority="3" operator="lessThan">
      <formula>0.9</formula>
    </cfRule>
    <cfRule type="cellIs" dxfId="6410" priority="4" operator="greaterThanOrEqual">
      <formula>1.1</formula>
    </cfRule>
  </conditionalFormatting>
  <conditionalFormatting sqref="F11">
    <cfRule type="cellIs" dxfId="6409" priority="1" operator="lessThan">
      <formula>0.9</formula>
    </cfRule>
    <cfRule type="cellIs" dxfId="6408"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N173"/>
  <sheetViews>
    <sheetView showGridLines="0" topLeftCell="A55" zoomScale="85" zoomScaleNormal="70" workbookViewId="0">
      <selection activeCell="D65" sqref="D65"/>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0" ht="70.5" customHeight="1" x14ac:dyDescent="0.15">
      <c r="A1" s="421" t="s">
        <v>1250</v>
      </c>
      <c r="B1" s="422"/>
      <c r="C1" s="422"/>
      <c r="D1" s="422"/>
      <c r="E1" s="422"/>
      <c r="F1" s="422"/>
      <c r="G1" s="422"/>
      <c r="H1" s="422"/>
      <c r="I1" s="422"/>
      <c r="J1" s="422"/>
      <c r="K1" s="422"/>
      <c r="L1" s="422"/>
      <c r="M1" s="422"/>
      <c r="N1" s="419"/>
      <c r="O1" s="419"/>
      <c r="P1" s="419"/>
      <c r="Q1" s="419"/>
      <c r="R1" s="419"/>
      <c r="S1" s="419"/>
      <c r="T1" s="419"/>
      <c r="U1" s="419"/>
      <c r="V1" s="419"/>
      <c r="W1" s="419"/>
      <c r="X1" s="419"/>
      <c r="Y1" s="419"/>
      <c r="Z1" s="419"/>
      <c r="AA1" s="419"/>
      <c r="AB1" s="419"/>
      <c r="AC1" s="419"/>
      <c r="AD1" s="419"/>
      <c r="AE1" s="419"/>
      <c r="AF1" s="419"/>
      <c r="AG1" s="419"/>
      <c r="AH1" s="419"/>
      <c r="AI1" s="419"/>
      <c r="AJ1" s="419"/>
      <c r="AK1" s="419"/>
      <c r="AL1" s="419"/>
      <c r="AM1" s="419"/>
      <c r="AN1" s="267"/>
    </row>
    <row r="2" spans="1:40" ht="51" customHeight="1" x14ac:dyDescent="0.15">
      <c r="A2" s="435"/>
      <c r="B2" s="435"/>
      <c r="C2" s="435"/>
      <c r="D2" s="435"/>
      <c r="E2" s="435"/>
      <c r="F2" s="435"/>
      <c r="G2" s="435"/>
      <c r="H2" s="435"/>
      <c r="I2" s="435"/>
      <c r="J2" s="435"/>
      <c r="K2" s="435"/>
      <c r="L2" s="435"/>
      <c r="M2" s="435"/>
      <c r="N2" s="435"/>
      <c r="O2" s="435"/>
      <c r="P2" s="435"/>
      <c r="Q2" s="435"/>
      <c r="R2" s="435"/>
      <c r="S2" s="435"/>
      <c r="T2" s="435"/>
      <c r="U2" s="435"/>
      <c r="V2" s="435"/>
      <c r="W2" s="435"/>
      <c r="X2" s="435"/>
      <c r="Y2" s="435"/>
      <c r="Z2" s="435"/>
      <c r="AA2" s="435"/>
      <c r="AB2" s="435"/>
      <c r="AC2" s="435"/>
      <c r="AD2" s="435"/>
      <c r="AE2" s="435"/>
      <c r="AF2" s="435"/>
      <c r="AG2" s="435"/>
      <c r="AH2" s="435"/>
      <c r="AI2" s="435"/>
      <c r="AJ2" s="435"/>
      <c r="AK2" s="435"/>
      <c r="AL2" s="435"/>
      <c r="AM2" s="435"/>
      <c r="AN2" s="435"/>
    </row>
    <row r="4" spans="1:40" ht="15" thickBot="1" x14ac:dyDescent="0.2"/>
    <row r="5" spans="1:40" ht="27.75" customHeight="1" thickBot="1" x14ac:dyDescent="0.25">
      <c r="B5" s="1"/>
      <c r="C5" s="2"/>
      <c r="D5" s="432" t="s">
        <v>1251</v>
      </c>
      <c r="E5" s="433"/>
      <c r="F5" s="433"/>
      <c r="G5" s="433"/>
      <c r="H5" s="433"/>
      <c r="I5" s="433"/>
      <c r="J5" s="433"/>
      <c r="K5" s="433"/>
      <c r="L5" s="433"/>
      <c r="M5" s="433"/>
      <c r="N5" s="433"/>
      <c r="O5" s="433"/>
      <c r="P5" s="433"/>
      <c r="Q5" s="433"/>
      <c r="R5" s="433"/>
      <c r="S5" s="433"/>
      <c r="T5" s="434"/>
      <c r="W5" s="1"/>
      <c r="X5" s="2"/>
      <c r="Y5" s="436" t="s">
        <v>1252</v>
      </c>
      <c r="Z5" s="437"/>
      <c r="AA5" s="437"/>
      <c r="AB5" s="437"/>
      <c r="AC5" s="437"/>
      <c r="AD5" s="437"/>
      <c r="AE5" s="437"/>
      <c r="AF5" s="437"/>
      <c r="AG5" s="437"/>
      <c r="AH5" s="437"/>
      <c r="AI5" s="437"/>
      <c r="AJ5" s="437"/>
      <c r="AK5" s="437"/>
      <c r="AL5" s="437"/>
      <c r="AM5" s="437"/>
      <c r="AN5" s="437"/>
    </row>
    <row r="6" spans="1:40" x14ac:dyDescent="0.15">
      <c r="B6" s="128" t="s">
        <v>996</v>
      </c>
      <c r="C6" s="129" t="s">
        <v>1253</v>
      </c>
      <c r="D6" s="40" t="s">
        <v>1022</v>
      </c>
      <c r="E6" s="40" t="s">
        <v>1023</v>
      </c>
      <c r="F6" s="40" t="s">
        <v>1024</v>
      </c>
      <c r="G6" s="40" t="s">
        <v>1025</v>
      </c>
      <c r="H6" s="40" t="s">
        <v>1026</v>
      </c>
      <c r="I6" s="40" t="s">
        <v>1027</v>
      </c>
      <c r="J6" s="40" t="s">
        <v>1028</v>
      </c>
      <c r="K6" s="40" t="s">
        <v>1029</v>
      </c>
      <c r="L6" s="40" t="s">
        <v>1030</v>
      </c>
      <c r="M6" s="40" t="s">
        <v>1031</v>
      </c>
      <c r="N6" s="40" t="s">
        <v>1032</v>
      </c>
      <c r="O6" s="40" t="s">
        <v>1033</v>
      </c>
      <c r="P6" s="40" t="s">
        <v>1034</v>
      </c>
      <c r="Q6" s="40" t="s">
        <v>1035</v>
      </c>
      <c r="R6" s="40" t="s">
        <v>1036</v>
      </c>
      <c r="S6" s="40" t="s">
        <v>1037</v>
      </c>
      <c r="T6" s="129" t="s">
        <v>1039</v>
      </c>
      <c r="U6" s="68"/>
      <c r="V6" s="68"/>
      <c r="W6" s="128" t="s">
        <v>996</v>
      </c>
      <c r="X6" s="130" t="s">
        <v>1253</v>
      </c>
      <c r="Y6" s="40" t="s">
        <v>1022</v>
      </c>
      <c r="Z6" s="40" t="s">
        <v>1023</v>
      </c>
      <c r="AA6" s="40" t="s">
        <v>1024</v>
      </c>
      <c r="AB6" s="40" t="s">
        <v>1025</v>
      </c>
      <c r="AC6" s="40" t="s">
        <v>1026</v>
      </c>
      <c r="AD6" s="40" t="s">
        <v>1027</v>
      </c>
      <c r="AE6" s="40" t="s">
        <v>1028</v>
      </c>
      <c r="AF6" s="40" t="s">
        <v>1029</v>
      </c>
      <c r="AG6" s="40" t="s">
        <v>1030</v>
      </c>
      <c r="AH6" s="40" t="s">
        <v>1031</v>
      </c>
      <c r="AI6" s="40" t="s">
        <v>1032</v>
      </c>
      <c r="AJ6" s="40" t="s">
        <v>1033</v>
      </c>
      <c r="AK6" s="40" t="s">
        <v>1034</v>
      </c>
      <c r="AL6" s="40" t="s">
        <v>1035</v>
      </c>
      <c r="AM6" s="40" t="s">
        <v>1036</v>
      </c>
      <c r="AN6" s="40" t="s">
        <v>1037</v>
      </c>
    </row>
    <row r="7" spans="1:40" x14ac:dyDescent="0.15">
      <c r="B7" s="426" t="s">
        <v>23</v>
      </c>
      <c r="C7" s="132" t="s">
        <v>1166</v>
      </c>
      <c r="D7" s="98">
        <f>SUMIFS('caseload data'!E:E,'caseload data'!$D:$D,"PO",'caseload data'!$A:$A,EMR)</f>
        <v>0</v>
      </c>
      <c r="E7" s="98">
        <f>SUMIFS('caseload data'!F:F,'caseload data'!$D:$D,"PO",'caseload data'!$A:$A,EMR)</f>
        <v>0</v>
      </c>
      <c r="F7" s="98">
        <f>SUMIFS('caseload data'!G:G,'caseload data'!$D:$D,"PO",'caseload data'!$A:$A,EMR)</f>
        <v>0</v>
      </c>
      <c r="G7" s="98">
        <f>SUMIFS('caseload data'!H:H,'caseload data'!$D:$D,"PO",'caseload data'!$A:$A,EMR)</f>
        <v>0</v>
      </c>
      <c r="H7" s="98">
        <f>SUMIFS('caseload data'!I:I,'caseload data'!$D:$D,"PO",'caseload data'!$A:$A,EMR)</f>
        <v>0</v>
      </c>
      <c r="I7" s="98">
        <f>SUMIFS('caseload data'!J:J,'caseload data'!$D:$D,"PO",'caseload data'!$A:$A,EMR)</f>
        <v>0</v>
      </c>
      <c r="J7" s="98">
        <f>SUMIFS('caseload data'!K:K,'caseload data'!$D:$D,"PO",'caseload data'!$A:$A,EMR)</f>
        <v>0</v>
      </c>
      <c r="K7" s="98">
        <f>SUMIFS('caseload data'!L:L,'caseload data'!$D:$D,"PO",'caseload data'!$A:$A,EMR)</f>
        <v>0</v>
      </c>
      <c r="L7" s="98">
        <f>SUMIFS('caseload data'!M:M,'caseload data'!$D:$D,"PO",'caseload data'!$A:$A,EMR)</f>
        <v>0</v>
      </c>
      <c r="M7" s="98">
        <f>SUMIFS('caseload data'!N:N,'caseload data'!$D:$D,"PO",'caseload data'!$A:$A,EMR)</f>
        <v>0</v>
      </c>
      <c r="N7" s="98">
        <f>SUMIFS('caseload data'!O:O,'caseload data'!$D:$D,"PO",'caseload data'!$A:$A,EMR)</f>
        <v>0</v>
      </c>
      <c r="O7" s="98">
        <f>SUMIFS('caseload data'!P:P,'caseload data'!$D:$D,"PO",'caseload data'!$A:$A,EMR)</f>
        <v>0</v>
      </c>
      <c r="P7" s="98">
        <f>SUMIFS('caseload data'!Q:Q,'caseload data'!$D:$D,"PO",'caseload data'!$A:$A,EMR)</f>
        <v>0</v>
      </c>
      <c r="Q7" s="98">
        <f>SUMIFS('caseload data'!R:R,'caseload data'!$D:$D,"PO",'caseload data'!$A:$A,EMR)</f>
        <v>0</v>
      </c>
      <c r="R7" s="98">
        <f>SUMIFS('caseload data'!S:S,'caseload data'!$D:$D,"PO",'caseload data'!$A:$A,EMR)</f>
        <v>0</v>
      </c>
      <c r="S7" s="98">
        <f>SUMIFS('caseload data'!T:T,'caseload data'!$D:$D,"PO",'caseload data'!$A:$A,EMR)</f>
        <v>0</v>
      </c>
      <c r="T7" s="98">
        <f>SUMIFS('caseload data'!V:V,'caseload data'!$D:$D,"PO",'caseload data'!$A:$A,'national caseload'!B7:B9)</f>
        <v>0</v>
      </c>
      <c r="U7" s="68"/>
      <c r="V7" s="68"/>
      <c r="W7" s="426" t="s">
        <v>23</v>
      </c>
      <c r="X7" s="132" t="s">
        <v>1166</v>
      </c>
      <c r="Y7" s="175" t="e">
        <f t="shared" ref="Y7:AN10" si="0">SUM(D7)/SUM(D$7:D$10)</f>
        <v>#DIV/0!</v>
      </c>
      <c r="Z7" s="175" t="e">
        <f t="shared" si="0"/>
        <v>#DIV/0!</v>
      </c>
      <c r="AA7" s="175" t="e">
        <f t="shared" si="0"/>
        <v>#DIV/0!</v>
      </c>
      <c r="AB7" s="175" t="e">
        <f t="shared" si="0"/>
        <v>#DIV/0!</v>
      </c>
      <c r="AC7" s="175" t="e">
        <f t="shared" si="0"/>
        <v>#DIV/0!</v>
      </c>
      <c r="AD7" s="175" t="e">
        <f t="shared" si="0"/>
        <v>#DIV/0!</v>
      </c>
      <c r="AE7" s="175" t="e">
        <f t="shared" si="0"/>
        <v>#DIV/0!</v>
      </c>
      <c r="AF7" s="175" t="e">
        <f t="shared" si="0"/>
        <v>#DIV/0!</v>
      </c>
      <c r="AG7" s="175" t="e">
        <f t="shared" si="0"/>
        <v>#DIV/0!</v>
      </c>
      <c r="AH7" s="175" t="e">
        <f t="shared" si="0"/>
        <v>#DIV/0!</v>
      </c>
      <c r="AI7" s="175" t="e">
        <f t="shared" si="0"/>
        <v>#DIV/0!</v>
      </c>
      <c r="AJ7" s="175" t="e">
        <f t="shared" si="0"/>
        <v>#DIV/0!</v>
      </c>
      <c r="AK7" s="175" t="e">
        <f t="shared" si="0"/>
        <v>#DIV/0!</v>
      </c>
      <c r="AL7" s="175" t="e">
        <f t="shared" si="0"/>
        <v>#DIV/0!</v>
      </c>
      <c r="AM7" s="175" t="e">
        <f t="shared" si="0"/>
        <v>#DIV/0!</v>
      </c>
      <c r="AN7" s="175" t="e">
        <f t="shared" si="0"/>
        <v>#DIV/0!</v>
      </c>
    </row>
    <row r="8" spans="1:40" x14ac:dyDescent="0.15">
      <c r="B8" s="427"/>
      <c r="C8" s="133" t="s">
        <v>1172</v>
      </c>
      <c r="D8" s="98">
        <f>SUMIFS('caseload data'!E:E,'caseload data'!$D:$D,"PSO",'caseload data'!$A:$A,"East Midlands Region")</f>
        <v>0</v>
      </c>
      <c r="E8" s="98">
        <f>SUMIFS('caseload data'!F:F,'caseload data'!$D:$D,"PSO",'caseload data'!$A:$A,"East Midlands Region")</f>
        <v>0</v>
      </c>
      <c r="F8" s="98">
        <f>SUMIFS('caseload data'!G:G,'caseload data'!$D:$D,"PSO",'caseload data'!$A:$A,"East Midlands Region")</f>
        <v>0</v>
      </c>
      <c r="G8" s="98">
        <f>SUMIFS('caseload data'!H:H,'caseload data'!$D:$D,"PSO",'caseload data'!$A:$A,"East Midlands Region")</f>
        <v>0</v>
      </c>
      <c r="H8" s="98">
        <f>SUMIFS('caseload data'!I:I,'caseload data'!$D:$D,"PSO",'caseload data'!$A:$A,"East Midlands Region")</f>
        <v>0</v>
      </c>
      <c r="I8" s="98">
        <f>SUMIFS('caseload data'!J:J,'caseload data'!$D:$D,"PSO",'caseload data'!$A:$A,"East Midlands Region")</f>
        <v>0</v>
      </c>
      <c r="J8" s="98">
        <f>SUMIFS('caseload data'!K:K,'caseload data'!$D:$D,"PSO",'caseload data'!$A:$A,"East Midlands Region")</f>
        <v>0</v>
      </c>
      <c r="K8" s="98">
        <f>SUMIFS('caseload data'!L:L,'caseload data'!$D:$D,"PSO",'caseload data'!$A:$A,"East Midlands Region")</f>
        <v>0</v>
      </c>
      <c r="L8" s="98">
        <f>SUMIFS('caseload data'!M:M,'caseload data'!$D:$D,"PSO",'caseload data'!$A:$A,"East Midlands Region")</f>
        <v>0</v>
      </c>
      <c r="M8" s="98">
        <f>SUMIFS('caseload data'!N:N,'caseload data'!$D:$D,"PSO",'caseload data'!$A:$A,"East Midlands Region")</f>
        <v>0</v>
      </c>
      <c r="N8" s="98">
        <f>SUMIFS('caseload data'!O:O,'caseload data'!$D:$D,"PSO",'caseload data'!$A:$A,"East Midlands Region")</f>
        <v>0</v>
      </c>
      <c r="O8" s="98">
        <f>SUMIFS('caseload data'!P:P,'caseload data'!$D:$D,"PSO",'caseload data'!$A:$A,"East Midlands Region")</f>
        <v>0</v>
      </c>
      <c r="P8" s="98">
        <f>SUMIFS('caseload data'!Q:Q,'caseload data'!$D:$D,"PSO",'caseload data'!$A:$A,"East Midlands Region")</f>
        <v>0</v>
      </c>
      <c r="Q8" s="98">
        <f>SUMIFS('caseload data'!R:R,'caseload data'!$D:$D,"PSO",'caseload data'!$A:$A,"East Midlands Region")</f>
        <v>0</v>
      </c>
      <c r="R8" s="98">
        <f>SUMIFS('caseload data'!S:S,'caseload data'!$D:$D,"PSO",'caseload data'!$A:$A,"East Midlands Region")</f>
        <v>0</v>
      </c>
      <c r="S8" s="98">
        <f>SUMIFS('caseload data'!T:T,'caseload data'!$D:$D,"PSO",'caseload data'!$A:$A,"East Midlands Region")</f>
        <v>0</v>
      </c>
      <c r="T8" s="98">
        <f>SUMIFS('caseload data'!V:V,'caseload data'!$D:$D,"PSO",'caseload data'!$A:$A,"East Midlands Region")</f>
        <v>0</v>
      </c>
      <c r="U8" s="68"/>
      <c r="V8" s="68"/>
      <c r="W8" s="427"/>
      <c r="X8" s="133" t="s">
        <v>1172</v>
      </c>
      <c r="Y8" s="175" t="e">
        <f t="shared" si="0"/>
        <v>#DIV/0!</v>
      </c>
      <c r="Z8" s="175" t="e">
        <f t="shared" si="0"/>
        <v>#DIV/0!</v>
      </c>
      <c r="AA8" s="175" t="e">
        <f t="shared" si="0"/>
        <v>#DIV/0!</v>
      </c>
      <c r="AB8" s="175" t="e">
        <f t="shared" si="0"/>
        <v>#DIV/0!</v>
      </c>
      <c r="AC8" s="175" t="e">
        <f t="shared" si="0"/>
        <v>#DIV/0!</v>
      </c>
      <c r="AD8" s="175" t="e">
        <f t="shared" si="0"/>
        <v>#DIV/0!</v>
      </c>
      <c r="AE8" s="175" t="e">
        <f t="shared" si="0"/>
        <v>#DIV/0!</v>
      </c>
      <c r="AF8" s="175" t="e">
        <f t="shared" si="0"/>
        <v>#DIV/0!</v>
      </c>
      <c r="AG8" s="175" t="e">
        <f t="shared" si="0"/>
        <v>#DIV/0!</v>
      </c>
      <c r="AH8" s="175" t="e">
        <f t="shared" si="0"/>
        <v>#DIV/0!</v>
      </c>
      <c r="AI8" s="175" t="e">
        <f t="shared" si="0"/>
        <v>#DIV/0!</v>
      </c>
      <c r="AJ8" s="175" t="e">
        <f t="shared" si="0"/>
        <v>#DIV/0!</v>
      </c>
      <c r="AK8" s="175" t="e">
        <f t="shared" si="0"/>
        <v>#DIV/0!</v>
      </c>
      <c r="AL8" s="175" t="e">
        <f t="shared" si="0"/>
        <v>#DIV/0!</v>
      </c>
      <c r="AM8" s="175" t="e">
        <f t="shared" si="0"/>
        <v>#DIV/0!</v>
      </c>
      <c r="AN8" s="175" t="e">
        <f t="shared" si="0"/>
        <v>#DIV/0!</v>
      </c>
    </row>
    <row r="9" spans="1:40" x14ac:dyDescent="0.15">
      <c r="B9" s="427"/>
      <c r="C9" s="133" t="s">
        <v>1173</v>
      </c>
      <c r="D9" s="98">
        <f>SUMIFS('caseload data'!E:E,'caseload data'!$D:$D,"TPO",'caseload data'!$A:$A,"East Midlands Region")</f>
        <v>0</v>
      </c>
      <c r="E9" s="98">
        <f>SUMIFS('caseload data'!F:F,'caseload data'!$D:$D,"TPO",'caseload data'!$A:$A,"East Midlands Region")</f>
        <v>0</v>
      </c>
      <c r="F9" s="98">
        <f>SUMIFS('caseload data'!G:G,'caseload data'!$D:$D,"TPO",'caseload data'!$A:$A,"East Midlands Region")</f>
        <v>0</v>
      </c>
      <c r="G9" s="98">
        <f>SUMIFS('caseload data'!H:H,'caseload data'!$D:$D,"TPO",'caseload data'!$A:$A,"East Midlands Region")</f>
        <v>0</v>
      </c>
      <c r="H9" s="98">
        <f>SUMIFS('caseload data'!I:I,'caseload data'!$D:$D,"TPO",'caseload data'!$A:$A,"East Midlands Region")</f>
        <v>0</v>
      </c>
      <c r="I9" s="98">
        <f>SUMIFS('caseload data'!J:J,'caseload data'!$D:$D,"TPO",'caseload data'!$A:$A,"East Midlands Region")</f>
        <v>0</v>
      </c>
      <c r="J9" s="98">
        <f>SUMIFS('caseload data'!K:K,'caseload data'!$D:$D,"TPO",'caseload data'!$A:$A,"East Midlands Region")</f>
        <v>0</v>
      </c>
      <c r="K9" s="98">
        <f>SUMIFS('caseload data'!L:L,'caseload data'!$D:$D,"TPO",'caseload data'!$A:$A,"East Midlands Region")</f>
        <v>0</v>
      </c>
      <c r="L9" s="98">
        <f>SUMIFS('caseload data'!M:M,'caseload data'!$D:$D,"TPO",'caseload data'!$A:$A,"East Midlands Region")</f>
        <v>0</v>
      </c>
      <c r="M9" s="98">
        <f>SUMIFS('caseload data'!N:N,'caseload data'!$D:$D,"TPO",'caseload data'!$A:$A,"East Midlands Region")</f>
        <v>0</v>
      </c>
      <c r="N9" s="98">
        <f>SUMIFS('caseload data'!O:O,'caseload data'!$D:$D,"TPO",'caseload data'!$A:$A,"East Midlands Region")</f>
        <v>0</v>
      </c>
      <c r="O9" s="98">
        <f>SUMIFS('caseload data'!P:P,'caseload data'!$D:$D,"TPO",'caseload data'!$A:$A,"East Midlands Region")</f>
        <v>0</v>
      </c>
      <c r="P9" s="98">
        <f>SUMIFS('caseload data'!Q:Q,'caseload data'!$D:$D,"TPO",'caseload data'!$A:$A,"East Midlands Region")</f>
        <v>0</v>
      </c>
      <c r="Q9" s="98">
        <f>SUMIFS('caseload data'!R:R,'caseload data'!$D:$D,"TPO",'caseload data'!$A:$A,"East Midlands Region")</f>
        <v>0</v>
      </c>
      <c r="R9" s="98">
        <f>SUMIFS('caseload data'!S:S,'caseload data'!$D:$D,"TPO",'caseload data'!$A:$A,"East Midlands Region")</f>
        <v>0</v>
      </c>
      <c r="S9" s="98">
        <f>SUMIFS('caseload data'!T:T,'caseload data'!$D:$D,"TPO",'caseload data'!$A:$A,"East Midlands Region")</f>
        <v>0</v>
      </c>
      <c r="T9" s="98">
        <f>SUMIFS('caseload data'!V:V,'caseload data'!$D:$D,"TPO",'caseload data'!$A:$A,"East Midlands Region")</f>
        <v>0</v>
      </c>
      <c r="U9" s="68"/>
      <c r="V9" s="68"/>
      <c r="W9" s="427"/>
      <c r="X9" s="133" t="s">
        <v>1173</v>
      </c>
      <c r="Y9" s="175" t="e">
        <f t="shared" si="0"/>
        <v>#DIV/0!</v>
      </c>
      <c r="Z9" s="175" t="e">
        <f t="shared" si="0"/>
        <v>#DIV/0!</v>
      </c>
      <c r="AA9" s="175" t="e">
        <f t="shared" si="0"/>
        <v>#DIV/0!</v>
      </c>
      <c r="AB9" s="175" t="e">
        <f t="shared" si="0"/>
        <v>#DIV/0!</v>
      </c>
      <c r="AC9" s="175" t="e">
        <f t="shared" si="0"/>
        <v>#DIV/0!</v>
      </c>
      <c r="AD9" s="175" t="e">
        <f t="shared" si="0"/>
        <v>#DIV/0!</v>
      </c>
      <c r="AE9" s="175" t="e">
        <f t="shared" si="0"/>
        <v>#DIV/0!</v>
      </c>
      <c r="AF9" s="175" t="e">
        <f t="shared" si="0"/>
        <v>#DIV/0!</v>
      </c>
      <c r="AG9" s="175" t="e">
        <f t="shared" si="0"/>
        <v>#DIV/0!</v>
      </c>
      <c r="AH9" s="175" t="e">
        <f t="shared" si="0"/>
        <v>#DIV/0!</v>
      </c>
      <c r="AI9" s="175" t="e">
        <f t="shared" si="0"/>
        <v>#DIV/0!</v>
      </c>
      <c r="AJ9" s="175" t="e">
        <f t="shared" si="0"/>
        <v>#DIV/0!</v>
      </c>
      <c r="AK9" s="175" t="e">
        <f t="shared" si="0"/>
        <v>#DIV/0!</v>
      </c>
      <c r="AL9" s="175" t="e">
        <f t="shared" si="0"/>
        <v>#DIV/0!</v>
      </c>
      <c r="AM9" s="175" t="e">
        <f t="shared" si="0"/>
        <v>#DIV/0!</v>
      </c>
      <c r="AN9" s="175" t="e">
        <f t="shared" si="0"/>
        <v>#DIV/0!</v>
      </c>
    </row>
    <row r="10" spans="1:40" x14ac:dyDescent="0.15">
      <c r="B10" s="428"/>
      <c r="C10" s="134" t="s">
        <v>1174</v>
      </c>
      <c r="D10" s="98">
        <f>SUMIFS('caseload data'!E:E,'caseload data'!$D:$D,"SPO",'caseload data'!$A:$A,"East Midlands Region")</f>
        <v>0</v>
      </c>
      <c r="E10" s="98">
        <f>SUMIFS('caseload data'!F:F,'caseload data'!$D:$D,"SPO",'caseload data'!$A:$A,"East Midlands Region")</f>
        <v>0</v>
      </c>
      <c r="F10" s="98">
        <f>SUMIFS('caseload data'!G:G,'caseload data'!$D:$D,"SPO",'caseload data'!$A:$A,"East Midlands Region")</f>
        <v>0</v>
      </c>
      <c r="G10" s="98">
        <f>SUMIFS('caseload data'!H:H,'caseload data'!$D:$D,"SPO",'caseload data'!$A:$A,"East Midlands Region")</f>
        <v>0</v>
      </c>
      <c r="H10" s="98">
        <f>SUMIFS('caseload data'!I:I,'caseload data'!$D:$D,"SPO",'caseload data'!$A:$A,"East Midlands Region")</f>
        <v>0</v>
      </c>
      <c r="I10" s="98">
        <f>SUMIFS('caseload data'!J:J,'caseload data'!$D:$D,"SPO",'caseload data'!$A:$A,"East Midlands Region")</f>
        <v>0</v>
      </c>
      <c r="J10" s="98">
        <f>SUMIFS('caseload data'!K:K,'caseload data'!$D:$D,"SPO",'caseload data'!$A:$A,"East Midlands Region")</f>
        <v>0</v>
      </c>
      <c r="K10" s="98">
        <f>SUMIFS('caseload data'!L:L,'caseload data'!$D:$D,"SPO",'caseload data'!$A:$A,"East Midlands Region")</f>
        <v>0</v>
      </c>
      <c r="L10" s="98">
        <f>SUMIFS('caseload data'!M:M,'caseload data'!$D:$D,"SPO",'caseload data'!$A:$A,"East Midlands Region")</f>
        <v>0</v>
      </c>
      <c r="M10" s="98">
        <f>SUMIFS('caseload data'!N:N,'caseload data'!$D:$D,"SPO",'caseload data'!$A:$A,"East Midlands Region")</f>
        <v>0</v>
      </c>
      <c r="N10" s="98">
        <f>SUMIFS('caseload data'!O:O,'caseload data'!$D:$D,"SPO",'caseload data'!$A:$A,"East Midlands Region")</f>
        <v>0</v>
      </c>
      <c r="O10" s="98">
        <f>SUMIFS('caseload data'!P:P,'caseload data'!$D:$D,"SPO",'caseload data'!$A:$A,"East Midlands Region")</f>
        <v>0</v>
      </c>
      <c r="P10" s="98">
        <f>SUMIFS('caseload data'!Q:Q,'caseload data'!$D:$D,"SPO",'caseload data'!$A:$A,"East Midlands Region")</f>
        <v>0</v>
      </c>
      <c r="Q10" s="98">
        <f>SUMIFS('caseload data'!R:R,'caseload data'!$D:$D,"SPO",'caseload data'!$A:$A,"East Midlands Region")</f>
        <v>0</v>
      </c>
      <c r="R10" s="98">
        <f>SUMIFS('caseload data'!S:S,'caseload data'!$D:$D,"SPO",'caseload data'!$A:$A,"East Midlands Region")</f>
        <v>0</v>
      </c>
      <c r="S10" s="98">
        <f>SUMIFS('caseload data'!T:T,'caseload data'!$D:$D,"SPO",'caseload data'!$A:$A,"East Midlands Region")</f>
        <v>0</v>
      </c>
      <c r="T10" s="98">
        <f>SUMIFS('caseload data'!V:V,'caseload data'!$D:$D,"SPO",'caseload data'!$A:$A,"East Midlands Region")</f>
        <v>0</v>
      </c>
      <c r="U10" s="68"/>
      <c r="V10" s="68"/>
      <c r="W10" s="428"/>
      <c r="X10" s="134" t="s">
        <v>1174</v>
      </c>
      <c r="Y10" s="175" t="e">
        <f t="shared" si="0"/>
        <v>#DIV/0!</v>
      </c>
      <c r="Z10" s="175" t="e">
        <f t="shared" si="0"/>
        <v>#DIV/0!</v>
      </c>
      <c r="AA10" s="175" t="e">
        <f t="shared" si="0"/>
        <v>#DIV/0!</v>
      </c>
      <c r="AB10" s="175" t="e">
        <f t="shared" si="0"/>
        <v>#DIV/0!</v>
      </c>
      <c r="AC10" s="175" t="e">
        <f t="shared" si="0"/>
        <v>#DIV/0!</v>
      </c>
      <c r="AD10" s="175" t="e">
        <f t="shared" si="0"/>
        <v>#DIV/0!</v>
      </c>
      <c r="AE10" s="175" t="e">
        <f t="shared" si="0"/>
        <v>#DIV/0!</v>
      </c>
      <c r="AF10" s="175" t="e">
        <f t="shared" si="0"/>
        <v>#DIV/0!</v>
      </c>
      <c r="AG10" s="175" t="e">
        <f t="shared" si="0"/>
        <v>#DIV/0!</v>
      </c>
      <c r="AH10" s="175" t="e">
        <f t="shared" si="0"/>
        <v>#DIV/0!</v>
      </c>
      <c r="AI10" s="175" t="e">
        <f t="shared" si="0"/>
        <v>#DIV/0!</v>
      </c>
      <c r="AJ10" s="175" t="e">
        <f t="shared" si="0"/>
        <v>#DIV/0!</v>
      </c>
      <c r="AK10" s="175" t="e">
        <f t="shared" si="0"/>
        <v>#DIV/0!</v>
      </c>
      <c r="AL10" s="175" t="e">
        <f t="shared" si="0"/>
        <v>#DIV/0!</v>
      </c>
      <c r="AM10" s="175" t="e">
        <f t="shared" si="0"/>
        <v>#DIV/0!</v>
      </c>
      <c r="AN10" s="175" t="e">
        <f t="shared" si="0"/>
        <v>#DIV/0!</v>
      </c>
    </row>
    <row r="11" spans="1:40" x14ac:dyDescent="0.15">
      <c r="B11" s="426" t="s">
        <v>24</v>
      </c>
      <c r="C11" s="132" t="s">
        <v>1166</v>
      </c>
      <c r="D11" s="98">
        <f>SUMIFS('caseload data'!E:E,'caseload data'!$D:$D,"PO",'caseload data'!$A:$A,EoE)</f>
        <v>0</v>
      </c>
      <c r="E11" s="98">
        <f>SUMIFS('caseload data'!F:F,'caseload data'!$D:$D,"PO",'caseload data'!$A:$A,EoE)</f>
        <v>0</v>
      </c>
      <c r="F11" s="98">
        <f>SUMIFS('caseload data'!G:G,'caseload data'!$D:$D,"PO",'caseload data'!$A:$A,EoE)</f>
        <v>0</v>
      </c>
      <c r="G11" s="98">
        <f>SUMIFS('caseload data'!H:H,'caseload data'!$D:$D,"PO",'caseload data'!$A:$A,EoE)</f>
        <v>0</v>
      </c>
      <c r="H11" s="98">
        <f>SUMIFS('caseload data'!I:I,'caseload data'!$D:$D,"PO",'caseload data'!$A:$A,EoE)</f>
        <v>0</v>
      </c>
      <c r="I11" s="98">
        <f>SUMIFS('caseload data'!J:J,'caseload data'!$D:$D,"PO",'caseload data'!$A:$A,EoE)</f>
        <v>0</v>
      </c>
      <c r="J11" s="98">
        <f>SUMIFS('caseload data'!K:K,'caseload data'!$D:$D,"PO",'caseload data'!$A:$A,EoE)</f>
        <v>0</v>
      </c>
      <c r="K11" s="98">
        <f>SUMIFS('caseload data'!L:L,'caseload data'!$D:$D,"PO",'caseload data'!$A:$A,EoE)</f>
        <v>0</v>
      </c>
      <c r="L11" s="98">
        <f>SUMIFS('caseload data'!M:M,'caseload data'!$D:$D,"PO",'caseload data'!$A:$A,EoE)</f>
        <v>0</v>
      </c>
      <c r="M11" s="98">
        <f>SUMIFS('caseload data'!N:N,'caseload data'!$D:$D,"PO",'caseload data'!$A:$A,EoE)</f>
        <v>0</v>
      </c>
      <c r="N11" s="98">
        <f>SUMIFS('caseload data'!O:O,'caseload data'!$D:$D,"PO",'caseload data'!$A:$A,EoE)</f>
        <v>0</v>
      </c>
      <c r="O11" s="98">
        <f>SUMIFS('caseload data'!P:P,'caseload data'!$D:$D,"PO",'caseload data'!$A:$A,EoE)</f>
        <v>0</v>
      </c>
      <c r="P11" s="98">
        <f>SUMIFS('caseload data'!Q:Q,'caseload data'!$D:$D,"PO",'caseload data'!$A:$A,EoE)</f>
        <v>0</v>
      </c>
      <c r="Q11" s="98">
        <f>SUMIFS('caseload data'!R:R,'caseload data'!$D:$D,"PO",'caseload data'!$A:$A,EoE)</f>
        <v>0</v>
      </c>
      <c r="R11" s="98">
        <f>SUMIFS('caseload data'!S:S,'caseload data'!$D:$D,"PO",'caseload data'!$A:$A,EoE)</f>
        <v>0</v>
      </c>
      <c r="S11" s="98">
        <f>SUMIFS('caseload data'!T:T,'caseload data'!$D:$D,"PO",'caseload data'!$A:$A,EoE)</f>
        <v>0</v>
      </c>
      <c r="T11" s="98">
        <f>SUMIFS('caseload data'!V:V,'caseload data'!$D:$D,"PO",'caseload data'!$A:$A,EoE)</f>
        <v>0</v>
      </c>
      <c r="U11" s="68"/>
      <c r="V11" s="68"/>
      <c r="W11" s="426" t="s">
        <v>24</v>
      </c>
      <c r="X11" s="132" t="s">
        <v>1166</v>
      </c>
      <c r="Y11" s="175" t="e">
        <f>SUM(D11)/SUM(D$11:D$14)</f>
        <v>#DIV/0!</v>
      </c>
      <c r="Z11" s="175" t="e">
        <f t="shared" ref="Z11:AN14" si="1">SUM(E11)/SUM(E$11:E$14)</f>
        <v>#DIV/0!</v>
      </c>
      <c r="AA11" s="175" t="e">
        <f t="shared" si="1"/>
        <v>#DIV/0!</v>
      </c>
      <c r="AB11" s="175" t="e">
        <f t="shared" si="1"/>
        <v>#DIV/0!</v>
      </c>
      <c r="AC11" s="175" t="e">
        <f t="shared" si="1"/>
        <v>#DIV/0!</v>
      </c>
      <c r="AD11" s="175" t="e">
        <f t="shared" si="1"/>
        <v>#DIV/0!</v>
      </c>
      <c r="AE11" s="175" t="e">
        <f t="shared" si="1"/>
        <v>#DIV/0!</v>
      </c>
      <c r="AF11" s="175" t="e">
        <f t="shared" si="1"/>
        <v>#DIV/0!</v>
      </c>
      <c r="AG11" s="175" t="e">
        <f t="shared" si="1"/>
        <v>#DIV/0!</v>
      </c>
      <c r="AH11" s="175" t="e">
        <f t="shared" si="1"/>
        <v>#DIV/0!</v>
      </c>
      <c r="AI11" s="175" t="e">
        <f t="shared" si="1"/>
        <v>#DIV/0!</v>
      </c>
      <c r="AJ11" s="175" t="e">
        <f t="shared" si="1"/>
        <v>#DIV/0!</v>
      </c>
      <c r="AK11" s="175" t="e">
        <f t="shared" si="1"/>
        <v>#DIV/0!</v>
      </c>
      <c r="AL11" s="175" t="e">
        <f t="shared" si="1"/>
        <v>#DIV/0!</v>
      </c>
      <c r="AM11" s="175" t="e">
        <f t="shared" si="1"/>
        <v>#DIV/0!</v>
      </c>
      <c r="AN11" s="175" t="e">
        <f t="shared" si="1"/>
        <v>#DIV/0!</v>
      </c>
    </row>
    <row r="12" spans="1:40" x14ac:dyDescent="0.15">
      <c r="B12" s="427"/>
      <c r="C12" s="133" t="s">
        <v>1172</v>
      </c>
      <c r="D12" s="98">
        <f>SUMIFS('caseload data'!E:E,'caseload data'!$D:$D,"PSO",'caseload data'!$A:$A,"East of England")</f>
        <v>0</v>
      </c>
      <c r="E12" s="98">
        <f>SUMIFS('caseload data'!F:F,'caseload data'!$D:$D,"PSO",'caseload data'!$A:$A,"East of England")</f>
        <v>0</v>
      </c>
      <c r="F12" s="98">
        <f>SUMIFS('caseload data'!G:G,'caseload data'!$D:$D,"PSO",'caseload data'!$A:$A,"East of England")</f>
        <v>0</v>
      </c>
      <c r="G12" s="98">
        <f>SUMIFS('caseload data'!H:H,'caseload data'!$D:$D,"PSO",'caseload data'!$A:$A,"East of England")</f>
        <v>0</v>
      </c>
      <c r="H12" s="98">
        <f>SUMIFS('caseload data'!I:I,'caseload data'!$D:$D,"PSO",'caseload data'!$A:$A,"East of England")</f>
        <v>0</v>
      </c>
      <c r="I12" s="98">
        <f>SUMIFS('caseload data'!J:J,'caseload data'!$D:$D,"PSO",'caseload data'!$A:$A,"East of England")</f>
        <v>0</v>
      </c>
      <c r="J12" s="98">
        <f>SUMIFS('caseload data'!K:K,'caseload data'!$D:$D,"PSO",'caseload data'!$A:$A,"East of England")</f>
        <v>0</v>
      </c>
      <c r="K12" s="98">
        <f>SUMIFS('caseload data'!L:L,'caseload data'!$D:$D,"PSO",'caseload data'!$A:$A,"East of England")</f>
        <v>0</v>
      </c>
      <c r="L12" s="98">
        <f>SUMIFS('caseload data'!M:M,'caseload data'!$D:$D,"PSO",'caseload data'!$A:$A,"East of England")</f>
        <v>0</v>
      </c>
      <c r="M12" s="98">
        <f>SUMIFS('caseload data'!N:N,'caseload data'!$D:$D,"PSO",'caseload data'!$A:$A,"East of England")</f>
        <v>0</v>
      </c>
      <c r="N12" s="98">
        <f>SUMIFS('caseload data'!O:O,'caseload data'!$D:$D,"PSO",'caseload data'!$A:$A,"East of England")</f>
        <v>0</v>
      </c>
      <c r="O12" s="98">
        <f>SUMIFS('caseload data'!P:P,'caseload data'!$D:$D,"PSO",'caseload data'!$A:$A,"East of England")</f>
        <v>0</v>
      </c>
      <c r="P12" s="98">
        <f>SUMIFS('caseload data'!Q:Q,'caseload data'!$D:$D,"PSO",'caseload data'!$A:$A,"East of England")</f>
        <v>0</v>
      </c>
      <c r="Q12" s="98">
        <f>SUMIFS('caseload data'!R:R,'caseload data'!$D:$D,"PSO",'caseload data'!$A:$A,"East of England")</f>
        <v>0</v>
      </c>
      <c r="R12" s="98">
        <f>SUMIFS('caseload data'!S:S,'caseload data'!$D:$D,"PSO",'caseload data'!$A:$A,"East of England")</f>
        <v>0</v>
      </c>
      <c r="S12" s="98">
        <f>SUMIFS('caseload data'!T:T,'caseload data'!$D:$D,"PSO",'caseload data'!$A:$A,"East of England")</f>
        <v>0</v>
      </c>
      <c r="T12" s="98">
        <f>SUMIFS('caseload data'!V:V,'caseload data'!$D:$D,"PSO",'caseload data'!$A:$A,"East of England")</f>
        <v>0</v>
      </c>
      <c r="U12" s="68"/>
      <c r="V12" s="68"/>
      <c r="W12" s="427"/>
      <c r="X12" s="133" t="s">
        <v>1172</v>
      </c>
      <c r="Y12" s="175" t="e">
        <f>SUM(D12)/SUM(D$11:D$14)</f>
        <v>#DIV/0!</v>
      </c>
      <c r="Z12" s="175" t="e">
        <f t="shared" si="1"/>
        <v>#DIV/0!</v>
      </c>
      <c r="AA12" s="175" t="e">
        <f t="shared" si="1"/>
        <v>#DIV/0!</v>
      </c>
      <c r="AB12" s="175" t="e">
        <f t="shared" si="1"/>
        <v>#DIV/0!</v>
      </c>
      <c r="AC12" s="175" t="e">
        <f t="shared" si="1"/>
        <v>#DIV/0!</v>
      </c>
      <c r="AD12" s="175" t="e">
        <f t="shared" si="1"/>
        <v>#DIV/0!</v>
      </c>
      <c r="AE12" s="175" t="e">
        <f t="shared" si="1"/>
        <v>#DIV/0!</v>
      </c>
      <c r="AF12" s="175" t="e">
        <f t="shared" si="1"/>
        <v>#DIV/0!</v>
      </c>
      <c r="AG12" s="175" t="e">
        <f t="shared" si="1"/>
        <v>#DIV/0!</v>
      </c>
      <c r="AH12" s="175" t="e">
        <f t="shared" si="1"/>
        <v>#DIV/0!</v>
      </c>
      <c r="AI12" s="175" t="e">
        <f t="shared" si="1"/>
        <v>#DIV/0!</v>
      </c>
      <c r="AJ12" s="175" t="e">
        <f t="shared" si="1"/>
        <v>#DIV/0!</v>
      </c>
      <c r="AK12" s="175" t="e">
        <f t="shared" si="1"/>
        <v>#DIV/0!</v>
      </c>
      <c r="AL12" s="175" t="e">
        <f t="shared" si="1"/>
        <v>#DIV/0!</v>
      </c>
      <c r="AM12" s="175" t="e">
        <f t="shared" si="1"/>
        <v>#DIV/0!</v>
      </c>
      <c r="AN12" s="175" t="e">
        <f t="shared" si="1"/>
        <v>#DIV/0!</v>
      </c>
    </row>
    <row r="13" spans="1:40" x14ac:dyDescent="0.15">
      <c r="B13" s="427"/>
      <c r="C13" s="133" t="s">
        <v>1173</v>
      </c>
      <c r="D13" s="98">
        <f>SUMIFS('caseload data'!E:E,'caseload data'!$D:$D,"TPO",'caseload data'!$A:$A,"East of England")</f>
        <v>0</v>
      </c>
      <c r="E13" s="98">
        <f>SUMIFS('caseload data'!F:F,'caseload data'!$D:$D,"TPO",'caseload data'!$A:$A,"East of England")</f>
        <v>0</v>
      </c>
      <c r="F13" s="98">
        <f>SUMIFS('caseload data'!G:G,'caseload data'!$D:$D,"TPO",'caseload data'!$A:$A,"East of England")</f>
        <v>0</v>
      </c>
      <c r="G13" s="98">
        <f>SUMIFS('caseload data'!H:H,'caseload data'!$D:$D,"TPO",'caseload data'!$A:$A,"East of England")</f>
        <v>0</v>
      </c>
      <c r="H13" s="98">
        <f>SUMIFS('caseload data'!I:I,'caseload data'!$D:$D,"TPO",'caseload data'!$A:$A,"East of England")</f>
        <v>0</v>
      </c>
      <c r="I13" s="98">
        <f>SUMIFS('caseload data'!J:J,'caseload data'!$D:$D,"TPO",'caseload data'!$A:$A,"East of England")</f>
        <v>0</v>
      </c>
      <c r="J13" s="98">
        <f>SUMIFS('caseload data'!K:K,'caseload data'!$D:$D,"TPO",'caseload data'!$A:$A,"East of England")</f>
        <v>0</v>
      </c>
      <c r="K13" s="98">
        <f>SUMIFS('caseload data'!L:L,'caseload data'!$D:$D,"TPO",'caseload data'!$A:$A,"East of England")</f>
        <v>0</v>
      </c>
      <c r="L13" s="98">
        <f>SUMIFS('caseload data'!M:M,'caseload data'!$D:$D,"TPO",'caseload data'!$A:$A,"East of England")</f>
        <v>0</v>
      </c>
      <c r="M13" s="98">
        <f>SUMIFS('caseload data'!N:N,'caseload data'!$D:$D,"TPO",'caseload data'!$A:$A,"East of England")</f>
        <v>0</v>
      </c>
      <c r="N13" s="98">
        <f>SUMIFS('caseload data'!O:O,'caseload data'!$D:$D,"TPO",'caseload data'!$A:$A,"East of England")</f>
        <v>0</v>
      </c>
      <c r="O13" s="98">
        <f>SUMIFS('caseload data'!P:P,'caseload data'!$D:$D,"TPO",'caseload data'!$A:$A,"East of England")</f>
        <v>0</v>
      </c>
      <c r="P13" s="98">
        <f>SUMIFS('caseload data'!Q:Q,'caseload data'!$D:$D,"TPO",'caseload data'!$A:$A,"East of England")</f>
        <v>0</v>
      </c>
      <c r="Q13" s="98">
        <f>SUMIFS('caseload data'!R:R,'caseload data'!$D:$D,"TPO",'caseload data'!$A:$A,"East of England")</f>
        <v>0</v>
      </c>
      <c r="R13" s="98">
        <f>SUMIFS('caseload data'!S:S,'caseload data'!$D:$D,"TPO",'caseload data'!$A:$A,"East of England")</f>
        <v>0</v>
      </c>
      <c r="S13" s="98">
        <f>SUMIFS('caseload data'!T:T,'caseload data'!$D:$D,"TPO",'caseload data'!$A:$A,"East of England")</f>
        <v>0</v>
      </c>
      <c r="T13" s="98">
        <f>SUMIFS('caseload data'!V:V,'caseload data'!$D:$D,"TPO",'caseload data'!$A:$A,"East of England")</f>
        <v>0</v>
      </c>
      <c r="U13" s="68"/>
      <c r="V13" s="68"/>
      <c r="W13" s="427"/>
      <c r="X13" s="133" t="s">
        <v>1173</v>
      </c>
      <c r="Y13" s="175" t="e">
        <f>SUM(D13)/SUM(D$11:D$14)</f>
        <v>#DIV/0!</v>
      </c>
      <c r="Z13" s="175" t="e">
        <f t="shared" si="1"/>
        <v>#DIV/0!</v>
      </c>
      <c r="AA13" s="175" t="e">
        <f t="shared" si="1"/>
        <v>#DIV/0!</v>
      </c>
      <c r="AB13" s="175" t="e">
        <f t="shared" si="1"/>
        <v>#DIV/0!</v>
      </c>
      <c r="AC13" s="175" t="e">
        <f t="shared" si="1"/>
        <v>#DIV/0!</v>
      </c>
      <c r="AD13" s="175" t="e">
        <f t="shared" si="1"/>
        <v>#DIV/0!</v>
      </c>
      <c r="AE13" s="175" t="e">
        <f t="shared" si="1"/>
        <v>#DIV/0!</v>
      </c>
      <c r="AF13" s="175" t="e">
        <f t="shared" si="1"/>
        <v>#DIV/0!</v>
      </c>
      <c r="AG13" s="175" t="e">
        <f t="shared" si="1"/>
        <v>#DIV/0!</v>
      </c>
      <c r="AH13" s="175" t="e">
        <f t="shared" si="1"/>
        <v>#DIV/0!</v>
      </c>
      <c r="AI13" s="175" t="e">
        <f t="shared" si="1"/>
        <v>#DIV/0!</v>
      </c>
      <c r="AJ13" s="175" t="e">
        <f t="shared" si="1"/>
        <v>#DIV/0!</v>
      </c>
      <c r="AK13" s="175" t="e">
        <f t="shared" si="1"/>
        <v>#DIV/0!</v>
      </c>
      <c r="AL13" s="175" t="e">
        <f t="shared" si="1"/>
        <v>#DIV/0!</v>
      </c>
      <c r="AM13" s="175" t="e">
        <f t="shared" si="1"/>
        <v>#DIV/0!</v>
      </c>
      <c r="AN13" s="175" t="e">
        <f t="shared" si="1"/>
        <v>#DIV/0!</v>
      </c>
    </row>
    <row r="14" spans="1:40" x14ac:dyDescent="0.15">
      <c r="B14" s="428"/>
      <c r="C14" s="134" t="s">
        <v>1174</v>
      </c>
      <c r="D14" s="98">
        <f>SUMIFS('caseload data'!E:E,'caseload data'!$D:$D,"SPO",'caseload data'!$A:$A,"East of England")</f>
        <v>0</v>
      </c>
      <c r="E14" s="98">
        <f>SUMIFS('caseload data'!F:F,'caseload data'!$D:$D,"SPO",'caseload data'!$A:$A,"East of England")</f>
        <v>0</v>
      </c>
      <c r="F14" s="98">
        <f>SUMIFS('caseload data'!G:G,'caseload data'!$D:$D,"SPO",'caseload data'!$A:$A,"East of England")</f>
        <v>0</v>
      </c>
      <c r="G14" s="98">
        <f>SUMIFS('caseload data'!H:H,'caseload data'!$D:$D,"SPO",'caseload data'!$A:$A,"East of England")</f>
        <v>0</v>
      </c>
      <c r="H14" s="98">
        <f>SUMIFS('caseload data'!I:I,'caseload data'!$D:$D,"SPO",'caseload data'!$A:$A,"East of England")</f>
        <v>0</v>
      </c>
      <c r="I14" s="98">
        <f>SUMIFS('caseload data'!J:J,'caseload data'!$D:$D,"SPO",'caseload data'!$A:$A,"East of England")</f>
        <v>0</v>
      </c>
      <c r="J14" s="98">
        <f>SUMIFS('caseload data'!K:K,'caseload data'!$D:$D,"SPO",'caseload data'!$A:$A,"East of England")</f>
        <v>0</v>
      </c>
      <c r="K14" s="98">
        <f>SUMIFS('caseload data'!L:L,'caseload data'!$D:$D,"SPO",'caseload data'!$A:$A,"East of England")</f>
        <v>0</v>
      </c>
      <c r="L14" s="98">
        <f>SUMIFS('caseload data'!M:M,'caseload data'!$D:$D,"SPO",'caseload data'!$A:$A,"East of England")</f>
        <v>0</v>
      </c>
      <c r="M14" s="98">
        <f>SUMIFS('caseload data'!N:N,'caseload data'!$D:$D,"SPO",'caseload data'!$A:$A,"East of England")</f>
        <v>0</v>
      </c>
      <c r="N14" s="98">
        <f>SUMIFS('caseload data'!O:O,'caseload data'!$D:$D,"SPO",'caseload data'!$A:$A,"East of England")</f>
        <v>0</v>
      </c>
      <c r="O14" s="98">
        <f>SUMIFS('caseload data'!P:P,'caseload data'!$D:$D,"SPO",'caseload data'!$A:$A,"East of England")</f>
        <v>0</v>
      </c>
      <c r="P14" s="98">
        <f>SUMIFS('caseload data'!Q:Q,'caseload data'!$D:$D,"SPO",'caseload data'!$A:$A,"East of England")</f>
        <v>0</v>
      </c>
      <c r="Q14" s="98">
        <f>SUMIFS('caseload data'!R:R,'caseload data'!$D:$D,"SPO",'caseload data'!$A:$A,"East of England")</f>
        <v>0</v>
      </c>
      <c r="R14" s="98">
        <f>SUMIFS('caseload data'!S:S,'caseload data'!$D:$D,"SPO",'caseload data'!$A:$A,"East of England")</f>
        <v>0</v>
      </c>
      <c r="S14" s="98">
        <f>SUMIFS('caseload data'!T:T,'caseload data'!$D:$D,"SPO",'caseload data'!$A:$A,"East of England")</f>
        <v>0</v>
      </c>
      <c r="T14" s="98">
        <f>SUMIFS('caseload data'!V:V,'caseload data'!$D:$D,"SPO",'caseload data'!$A:$A,"East of England")</f>
        <v>0</v>
      </c>
      <c r="U14" s="68"/>
      <c r="V14" s="68"/>
      <c r="W14" s="428"/>
      <c r="X14" s="134" t="s">
        <v>1174</v>
      </c>
      <c r="Y14" s="175" t="e">
        <f>SUM(D14)/SUM(D$11:D$14)</f>
        <v>#DIV/0!</v>
      </c>
      <c r="Z14" s="175" t="e">
        <f t="shared" si="1"/>
        <v>#DIV/0!</v>
      </c>
      <c r="AA14" s="175" t="e">
        <f t="shared" si="1"/>
        <v>#DIV/0!</v>
      </c>
      <c r="AB14" s="175" t="e">
        <f t="shared" si="1"/>
        <v>#DIV/0!</v>
      </c>
      <c r="AC14" s="175" t="e">
        <f t="shared" si="1"/>
        <v>#DIV/0!</v>
      </c>
      <c r="AD14" s="175" t="e">
        <f t="shared" si="1"/>
        <v>#DIV/0!</v>
      </c>
      <c r="AE14" s="175" t="e">
        <f t="shared" si="1"/>
        <v>#DIV/0!</v>
      </c>
      <c r="AF14" s="175" t="e">
        <f t="shared" si="1"/>
        <v>#DIV/0!</v>
      </c>
      <c r="AG14" s="175" t="e">
        <f t="shared" si="1"/>
        <v>#DIV/0!</v>
      </c>
      <c r="AH14" s="175" t="e">
        <f t="shared" si="1"/>
        <v>#DIV/0!</v>
      </c>
      <c r="AI14" s="175" t="e">
        <f t="shared" si="1"/>
        <v>#DIV/0!</v>
      </c>
      <c r="AJ14" s="175" t="e">
        <f t="shared" si="1"/>
        <v>#DIV/0!</v>
      </c>
      <c r="AK14" s="175" t="e">
        <f t="shared" si="1"/>
        <v>#DIV/0!</v>
      </c>
      <c r="AL14" s="175" t="e">
        <f t="shared" si="1"/>
        <v>#DIV/0!</v>
      </c>
      <c r="AM14" s="175" t="e">
        <f t="shared" si="1"/>
        <v>#DIV/0!</v>
      </c>
      <c r="AN14" s="175" t="e">
        <f t="shared" si="1"/>
        <v>#DIV/0!</v>
      </c>
    </row>
    <row r="15" spans="1:40" x14ac:dyDescent="0.15">
      <c r="B15" s="426" t="s">
        <v>25</v>
      </c>
      <c r="C15" s="132" t="s">
        <v>1166</v>
      </c>
      <c r="D15" s="98">
        <f>SUMIFS('caseload data'!E:E,'caseload data'!$D:$D,"PO",'caseload data'!$A:$A,'national caseload'!$B$15:$B$17)</f>
        <v>0</v>
      </c>
      <c r="E15" s="98">
        <f>SUMIFS('caseload data'!F:F,'caseload data'!$D:$D,"PO",'caseload data'!$A:$A,'national caseload'!$B$15:$B$17)</f>
        <v>0</v>
      </c>
      <c r="F15" s="98">
        <f>SUMIFS('caseload data'!G:G,'caseload data'!$D:$D,"PO",'caseload data'!$A:$A,'national caseload'!$B$15:$B$17)</f>
        <v>0</v>
      </c>
      <c r="G15" s="98">
        <f>SUMIFS('caseload data'!H:H,'caseload data'!$D:$D,"PO",'caseload data'!$A:$A,'national caseload'!$B$15:$B$17)</f>
        <v>0</v>
      </c>
      <c r="H15" s="98">
        <f>SUMIFS('caseload data'!I:I,'caseload data'!$D:$D,"PO",'caseload data'!$A:$A,'national caseload'!$B$15:$B$17)</f>
        <v>0</v>
      </c>
      <c r="I15" s="98">
        <f>SUMIFS('caseload data'!J:J,'caseload data'!$D:$D,"PO",'caseload data'!$A:$A,'national caseload'!$B$15:$B$17)</f>
        <v>0</v>
      </c>
      <c r="J15" s="98">
        <f>SUMIFS('caseload data'!K:K,'caseload data'!$D:$D,"PO",'caseload data'!$A:$A,'national caseload'!$B$15:$B$17)</f>
        <v>0</v>
      </c>
      <c r="K15" s="98">
        <f>SUMIFS('caseload data'!L:L,'caseload data'!$D:$D,"PO",'caseload data'!$A:$A,'national caseload'!$B$15:$B$17)</f>
        <v>0</v>
      </c>
      <c r="L15" s="98">
        <f>SUMIFS('caseload data'!M:M,'caseload data'!$D:$D,"PO",'caseload data'!$A:$A,'national caseload'!$B$15:$B$17)</f>
        <v>0</v>
      </c>
      <c r="M15" s="98">
        <f>SUMIFS('caseload data'!N:N,'caseload data'!$D:$D,"PO",'caseload data'!$A:$A,'national caseload'!$B$15:$B$17)</f>
        <v>0</v>
      </c>
      <c r="N15" s="98">
        <f>SUMIFS('caseload data'!O:O,'caseload data'!$D:$D,"PO",'caseload data'!$A:$A,'national caseload'!$B$15:$B$17)</f>
        <v>0</v>
      </c>
      <c r="O15" s="98">
        <f>SUMIFS('caseload data'!P:P,'caseload data'!$D:$D,"PO",'caseload data'!$A:$A,'national caseload'!$B$15:$B$17)</f>
        <v>0</v>
      </c>
      <c r="P15" s="98">
        <f>SUMIFS('caseload data'!Q:Q,'caseload data'!$D:$D,"PO",'caseload data'!$A:$A,'national caseload'!$B$15:$B$17)</f>
        <v>0</v>
      </c>
      <c r="Q15" s="98">
        <f>SUMIFS('caseload data'!R:R,'caseload data'!$D:$D,"PO",'caseload data'!$A:$A,'national caseload'!$B$15:$B$17)</f>
        <v>0</v>
      </c>
      <c r="R15" s="98">
        <f>SUMIFS('caseload data'!S:S,'caseload data'!$D:$D,"PO",'caseload data'!$A:$A,'national caseload'!$B$15:$B$17)</f>
        <v>0</v>
      </c>
      <c r="S15" s="98">
        <f>SUMIFS('caseload data'!T:T,'caseload data'!$D:$D,"PO",'caseload data'!$A:$A,'national caseload'!$B$15:$B$17)</f>
        <v>0</v>
      </c>
      <c r="T15" s="98">
        <f>SUMIFS('caseload data'!V:V,'caseload data'!$D:$D,"PO",'caseload data'!$A:$A,'national caseload'!B15:B17)</f>
        <v>0</v>
      </c>
      <c r="U15" s="68"/>
      <c r="V15" s="68"/>
      <c r="W15" s="426" t="s">
        <v>25</v>
      </c>
      <c r="X15" s="132" t="s">
        <v>1166</v>
      </c>
      <c r="Y15" s="175" t="e">
        <f>SUM(D15)/SUM(D$15:D$18)</f>
        <v>#DIV/0!</v>
      </c>
      <c r="Z15" s="175" t="e">
        <f t="shared" ref="Z15:AN18" si="2">SUM(E15)/SUM(E$15:E$18)</f>
        <v>#DIV/0!</v>
      </c>
      <c r="AA15" s="175" t="e">
        <f t="shared" si="2"/>
        <v>#DIV/0!</v>
      </c>
      <c r="AB15" s="175" t="e">
        <f t="shared" si="2"/>
        <v>#DIV/0!</v>
      </c>
      <c r="AC15" s="175" t="e">
        <f t="shared" si="2"/>
        <v>#DIV/0!</v>
      </c>
      <c r="AD15" s="175" t="e">
        <f t="shared" si="2"/>
        <v>#DIV/0!</v>
      </c>
      <c r="AE15" s="175" t="e">
        <f t="shared" si="2"/>
        <v>#DIV/0!</v>
      </c>
      <c r="AF15" s="175" t="e">
        <f t="shared" si="2"/>
        <v>#DIV/0!</v>
      </c>
      <c r="AG15" s="175" t="e">
        <f t="shared" si="2"/>
        <v>#DIV/0!</v>
      </c>
      <c r="AH15" s="175" t="e">
        <f t="shared" si="2"/>
        <v>#DIV/0!</v>
      </c>
      <c r="AI15" s="175" t="e">
        <f t="shared" si="2"/>
        <v>#DIV/0!</v>
      </c>
      <c r="AJ15" s="175" t="e">
        <f t="shared" si="2"/>
        <v>#DIV/0!</v>
      </c>
      <c r="AK15" s="175" t="e">
        <f t="shared" si="2"/>
        <v>#DIV/0!</v>
      </c>
      <c r="AL15" s="175" t="e">
        <f t="shared" si="2"/>
        <v>#DIV/0!</v>
      </c>
      <c r="AM15" s="175" t="e">
        <f t="shared" si="2"/>
        <v>#DIV/0!</v>
      </c>
      <c r="AN15" s="175" t="e">
        <f t="shared" si="2"/>
        <v>#DIV/0!</v>
      </c>
    </row>
    <row r="16" spans="1:40" x14ac:dyDescent="0.15">
      <c r="B16" s="427"/>
      <c r="C16" s="133" t="s">
        <v>1172</v>
      </c>
      <c r="D16" s="98">
        <f>SUMIFS('caseload data'!E:E,'caseload data'!$D:$D,"PSO",'caseload data'!$A:$A,"Greater Manchester")</f>
        <v>0</v>
      </c>
      <c r="E16" s="98">
        <f>SUMIFS('caseload data'!F:F,'caseload data'!$D:$D,"PSO",'caseload data'!$A:$A,"Greater Manchester")</f>
        <v>0</v>
      </c>
      <c r="F16" s="98">
        <f>SUMIFS('caseload data'!G:G,'caseload data'!$D:$D,"PSO",'caseload data'!$A:$A,"Greater Manchester")</f>
        <v>0</v>
      </c>
      <c r="G16" s="98">
        <f>SUMIFS('caseload data'!H:H,'caseload data'!$D:$D,"PSO",'caseload data'!$A:$A,"Greater Manchester")</f>
        <v>0</v>
      </c>
      <c r="H16" s="98">
        <f>SUMIFS('caseload data'!I:I,'caseload data'!$D:$D,"PSO",'caseload data'!$A:$A,"Greater Manchester")</f>
        <v>0</v>
      </c>
      <c r="I16" s="98">
        <f>SUMIFS('caseload data'!J:J,'caseload data'!$D:$D,"PSO",'caseload data'!$A:$A,"Greater Manchester")</f>
        <v>0</v>
      </c>
      <c r="J16" s="98">
        <f>SUMIFS('caseload data'!K:K,'caseload data'!$D:$D,"PSO",'caseload data'!$A:$A,"Greater Manchester")</f>
        <v>0</v>
      </c>
      <c r="K16" s="98">
        <f>SUMIFS('caseload data'!L:L,'caseload data'!$D:$D,"PSO",'caseload data'!$A:$A,"Greater Manchester")</f>
        <v>0</v>
      </c>
      <c r="L16" s="98">
        <f>SUMIFS('caseload data'!M:M,'caseload data'!$D:$D,"PSO",'caseload data'!$A:$A,"Greater Manchester")</f>
        <v>0</v>
      </c>
      <c r="M16" s="98">
        <f>SUMIFS('caseload data'!N:N,'caseload data'!$D:$D,"PSO",'caseload data'!$A:$A,"Greater Manchester")</f>
        <v>0</v>
      </c>
      <c r="N16" s="98">
        <f>SUMIFS('caseload data'!O:O,'caseload data'!$D:$D,"PSO",'caseload data'!$A:$A,"Greater Manchester")</f>
        <v>0</v>
      </c>
      <c r="O16" s="98">
        <f>SUMIFS('caseload data'!P:P,'caseload data'!$D:$D,"PSO",'caseload data'!$A:$A,"Greater Manchester")</f>
        <v>0</v>
      </c>
      <c r="P16" s="98">
        <f>SUMIFS('caseload data'!Q:Q,'caseload data'!$D:$D,"PSO",'caseload data'!$A:$A,"Greater Manchester")</f>
        <v>0</v>
      </c>
      <c r="Q16" s="98">
        <f>SUMIFS('caseload data'!R:R,'caseload data'!$D:$D,"PSO",'caseload data'!$A:$A,"Greater Manchester")</f>
        <v>0</v>
      </c>
      <c r="R16" s="98">
        <f>SUMIFS('caseload data'!S:S,'caseload data'!$D:$D,"PSO",'caseload data'!$A:$A,"Greater Manchester")</f>
        <v>0</v>
      </c>
      <c r="S16" s="98">
        <f>SUMIFS('caseload data'!T:T,'caseload data'!$D:$D,"PSO",'caseload data'!$A:$A,"Greater Manchester")</f>
        <v>0</v>
      </c>
      <c r="T16" s="98">
        <f>SUMIFS('caseload data'!V:V,'caseload data'!$D:$D,"PSO",'caseload data'!$A:$A,"Greater Manchester")</f>
        <v>0</v>
      </c>
      <c r="U16" s="68"/>
      <c r="V16" s="68"/>
      <c r="W16" s="427"/>
      <c r="X16" s="133" t="s">
        <v>1172</v>
      </c>
      <c r="Y16" s="175" t="e">
        <f>SUM(D16)/SUM(D$15:D$18)</f>
        <v>#DIV/0!</v>
      </c>
      <c r="Z16" s="175" t="e">
        <f t="shared" si="2"/>
        <v>#DIV/0!</v>
      </c>
      <c r="AA16" s="175" t="e">
        <f t="shared" si="2"/>
        <v>#DIV/0!</v>
      </c>
      <c r="AB16" s="175" t="e">
        <f t="shared" si="2"/>
        <v>#DIV/0!</v>
      </c>
      <c r="AC16" s="175" t="e">
        <f t="shared" si="2"/>
        <v>#DIV/0!</v>
      </c>
      <c r="AD16" s="175" t="e">
        <f t="shared" si="2"/>
        <v>#DIV/0!</v>
      </c>
      <c r="AE16" s="175" t="e">
        <f t="shared" si="2"/>
        <v>#DIV/0!</v>
      </c>
      <c r="AF16" s="175" t="e">
        <f t="shared" si="2"/>
        <v>#DIV/0!</v>
      </c>
      <c r="AG16" s="175" t="e">
        <f t="shared" si="2"/>
        <v>#DIV/0!</v>
      </c>
      <c r="AH16" s="175" t="e">
        <f t="shared" si="2"/>
        <v>#DIV/0!</v>
      </c>
      <c r="AI16" s="175" t="e">
        <f t="shared" si="2"/>
        <v>#DIV/0!</v>
      </c>
      <c r="AJ16" s="175" t="e">
        <f t="shared" si="2"/>
        <v>#DIV/0!</v>
      </c>
      <c r="AK16" s="175" t="e">
        <f t="shared" si="2"/>
        <v>#DIV/0!</v>
      </c>
      <c r="AL16" s="175" t="e">
        <f t="shared" si="2"/>
        <v>#DIV/0!</v>
      </c>
      <c r="AM16" s="175" t="e">
        <f t="shared" si="2"/>
        <v>#DIV/0!</v>
      </c>
      <c r="AN16" s="175" t="e">
        <f t="shared" si="2"/>
        <v>#DIV/0!</v>
      </c>
    </row>
    <row r="17" spans="2:40" x14ac:dyDescent="0.15">
      <c r="B17" s="427"/>
      <c r="C17" s="133" t="s">
        <v>1173</v>
      </c>
      <c r="D17" s="98">
        <f>SUMIFS('caseload data'!E:E,'caseload data'!$D:$D,"TPO",'caseload data'!$A:$A,"Greater Manchester")</f>
        <v>0</v>
      </c>
      <c r="E17" s="98">
        <f>SUMIFS('caseload data'!F:F,'caseload data'!$D:$D,"TPO",'caseload data'!$A:$A,"Greater Manchester")</f>
        <v>0</v>
      </c>
      <c r="F17" s="98">
        <f>SUMIFS('caseload data'!G:G,'caseload data'!$D:$D,"TPO",'caseload data'!$A:$A,"Greater Manchester")</f>
        <v>0</v>
      </c>
      <c r="G17" s="98">
        <f>SUMIFS('caseload data'!H:H,'caseload data'!$D:$D,"TPO",'caseload data'!$A:$A,"Greater Manchester")</f>
        <v>0</v>
      </c>
      <c r="H17" s="98">
        <f>SUMIFS('caseload data'!I:I,'caseload data'!$D:$D,"TPO",'caseload data'!$A:$A,"Greater Manchester")</f>
        <v>0</v>
      </c>
      <c r="I17" s="98">
        <f>SUMIFS('caseload data'!J:J,'caseload data'!$D:$D,"TPO",'caseload data'!$A:$A,"Greater Manchester")</f>
        <v>0</v>
      </c>
      <c r="J17" s="98">
        <f>SUMIFS('caseload data'!K:K,'caseload data'!$D:$D,"TPO",'caseload data'!$A:$A,"Greater Manchester")</f>
        <v>0</v>
      </c>
      <c r="K17" s="98">
        <f>SUMIFS('caseload data'!L:L,'caseload data'!$D:$D,"TPO",'caseload data'!$A:$A,"Greater Manchester")</f>
        <v>0</v>
      </c>
      <c r="L17" s="98">
        <f>SUMIFS('caseload data'!M:M,'caseload data'!$D:$D,"TPO",'caseload data'!$A:$A,"Greater Manchester")</f>
        <v>0</v>
      </c>
      <c r="M17" s="98">
        <f>SUMIFS('caseload data'!N:N,'caseload data'!$D:$D,"TPO",'caseload data'!$A:$A,"Greater Manchester")</f>
        <v>0</v>
      </c>
      <c r="N17" s="98">
        <f>SUMIFS('caseload data'!O:O,'caseload data'!$D:$D,"TPO",'caseload data'!$A:$A,"Greater Manchester")</f>
        <v>0</v>
      </c>
      <c r="O17" s="98">
        <f>SUMIFS('caseload data'!P:P,'caseload data'!$D:$D,"TPO",'caseload data'!$A:$A,"Greater Manchester")</f>
        <v>0</v>
      </c>
      <c r="P17" s="98">
        <f>SUMIFS('caseload data'!Q:Q,'caseload data'!$D:$D,"TPO",'caseload data'!$A:$A,"Greater Manchester")</f>
        <v>0</v>
      </c>
      <c r="Q17" s="98">
        <f>SUMIFS('caseload data'!R:R,'caseload data'!$D:$D,"TPO",'caseload data'!$A:$A,"Greater Manchester")</f>
        <v>0</v>
      </c>
      <c r="R17" s="98">
        <f>SUMIFS('caseload data'!S:S,'caseload data'!$D:$D,"TPO",'caseload data'!$A:$A,"Greater Manchester")</f>
        <v>0</v>
      </c>
      <c r="S17" s="98">
        <f>SUMIFS('caseload data'!T:T,'caseload data'!$D:$D,"TPO",'caseload data'!$A:$A,"Greater Manchester")</f>
        <v>0</v>
      </c>
      <c r="T17" s="98">
        <f>SUMIFS('caseload data'!V:V,'caseload data'!$D:$D,"TPO",'caseload data'!$A:$A,"Greater Manchester")</f>
        <v>0</v>
      </c>
      <c r="U17" s="68"/>
      <c r="V17" s="68"/>
      <c r="W17" s="427"/>
      <c r="X17" s="133" t="s">
        <v>1173</v>
      </c>
      <c r="Y17" s="175" t="e">
        <f>SUM(D17)/SUM(D$15:D$18)</f>
        <v>#DIV/0!</v>
      </c>
      <c r="Z17" s="175" t="e">
        <f t="shared" si="2"/>
        <v>#DIV/0!</v>
      </c>
      <c r="AA17" s="175" t="e">
        <f t="shared" si="2"/>
        <v>#DIV/0!</v>
      </c>
      <c r="AB17" s="175" t="e">
        <f t="shared" si="2"/>
        <v>#DIV/0!</v>
      </c>
      <c r="AC17" s="175" t="e">
        <f t="shared" si="2"/>
        <v>#DIV/0!</v>
      </c>
      <c r="AD17" s="175" t="e">
        <f t="shared" si="2"/>
        <v>#DIV/0!</v>
      </c>
      <c r="AE17" s="175" t="e">
        <f t="shared" si="2"/>
        <v>#DIV/0!</v>
      </c>
      <c r="AF17" s="175" t="e">
        <f t="shared" si="2"/>
        <v>#DIV/0!</v>
      </c>
      <c r="AG17" s="175" t="e">
        <f t="shared" si="2"/>
        <v>#DIV/0!</v>
      </c>
      <c r="AH17" s="175" t="e">
        <f t="shared" si="2"/>
        <v>#DIV/0!</v>
      </c>
      <c r="AI17" s="175" t="e">
        <f t="shared" si="2"/>
        <v>#DIV/0!</v>
      </c>
      <c r="AJ17" s="175" t="e">
        <f t="shared" si="2"/>
        <v>#DIV/0!</v>
      </c>
      <c r="AK17" s="175" t="e">
        <f t="shared" si="2"/>
        <v>#DIV/0!</v>
      </c>
      <c r="AL17" s="175" t="e">
        <f t="shared" si="2"/>
        <v>#DIV/0!</v>
      </c>
      <c r="AM17" s="175" t="e">
        <f t="shared" si="2"/>
        <v>#DIV/0!</v>
      </c>
      <c r="AN17" s="175" t="e">
        <f t="shared" si="2"/>
        <v>#DIV/0!</v>
      </c>
    </row>
    <row r="18" spans="2:40" x14ac:dyDescent="0.15">
      <c r="B18" s="428"/>
      <c r="C18" s="134" t="s">
        <v>1174</v>
      </c>
      <c r="D18" s="98">
        <f>SUMIFS('caseload data'!E:E,'caseload data'!$D:$D,"SPO",'caseload data'!$A:$A,"Greater Manchester")</f>
        <v>0</v>
      </c>
      <c r="E18" s="98">
        <f>SUMIFS('caseload data'!F:F,'caseload data'!$D:$D,"SPO",'caseload data'!$A:$A,"Greater Manchester")</f>
        <v>0</v>
      </c>
      <c r="F18" s="98">
        <f>SUMIFS('caseload data'!G:G,'caseload data'!$D:$D,"SPO",'caseload data'!$A:$A,"Greater Manchester")</f>
        <v>0</v>
      </c>
      <c r="G18" s="98">
        <f>SUMIFS('caseload data'!H:H,'caseload data'!$D:$D,"SPO",'caseload data'!$A:$A,"Greater Manchester")</f>
        <v>0</v>
      </c>
      <c r="H18" s="98">
        <f>SUMIFS('caseload data'!I:I,'caseload data'!$D:$D,"SPO",'caseload data'!$A:$A,"Greater Manchester")</f>
        <v>0</v>
      </c>
      <c r="I18" s="98">
        <f>SUMIFS('caseload data'!J:J,'caseload data'!$D:$D,"SPO",'caseload data'!$A:$A,"Greater Manchester")</f>
        <v>0</v>
      </c>
      <c r="J18" s="98">
        <f>SUMIFS('caseload data'!K:K,'caseload data'!$D:$D,"SPO",'caseload data'!$A:$A,"Greater Manchester")</f>
        <v>0</v>
      </c>
      <c r="K18" s="98">
        <f>SUMIFS('caseload data'!L:L,'caseload data'!$D:$D,"SPO",'caseload data'!$A:$A,"Greater Manchester")</f>
        <v>0</v>
      </c>
      <c r="L18" s="98">
        <f>SUMIFS('caseload data'!M:M,'caseload data'!$D:$D,"SPO",'caseload data'!$A:$A,"Greater Manchester")</f>
        <v>0</v>
      </c>
      <c r="M18" s="98">
        <f>SUMIFS('caseload data'!N:N,'caseload data'!$D:$D,"SPO",'caseload data'!$A:$A,"Greater Manchester")</f>
        <v>0</v>
      </c>
      <c r="N18" s="98">
        <f>SUMIFS('caseload data'!O:O,'caseload data'!$D:$D,"SPO",'caseload data'!$A:$A,"Greater Manchester")</f>
        <v>0</v>
      </c>
      <c r="O18" s="98">
        <f>SUMIFS('caseload data'!P:P,'caseload data'!$D:$D,"SPO",'caseload data'!$A:$A,"Greater Manchester")</f>
        <v>0</v>
      </c>
      <c r="P18" s="98">
        <f>SUMIFS('caseload data'!Q:Q,'caseload data'!$D:$D,"SPO",'caseload data'!$A:$A,"Greater Manchester")</f>
        <v>0</v>
      </c>
      <c r="Q18" s="98">
        <f>SUMIFS('caseload data'!R:R,'caseload data'!$D:$D,"SPO",'caseload data'!$A:$A,"Greater Manchester")</f>
        <v>0</v>
      </c>
      <c r="R18" s="98">
        <f>SUMIFS('caseload data'!S:S,'caseload data'!$D:$D,"SPO",'caseload data'!$A:$A,"Greater Manchester")</f>
        <v>0</v>
      </c>
      <c r="S18" s="98">
        <f>SUMIFS('caseload data'!T:T,'caseload data'!$D:$D,"SPO",'caseload data'!$A:$A,"Greater Manchester")</f>
        <v>0</v>
      </c>
      <c r="T18" s="98">
        <f>SUMIFS('caseload data'!V:V,'caseload data'!$D:$D,"SPO",'caseload data'!$A:$A,"Greater Manchester")</f>
        <v>0</v>
      </c>
      <c r="U18" s="68"/>
      <c r="V18" s="68"/>
      <c r="W18" s="428"/>
      <c r="X18" s="134" t="s">
        <v>1174</v>
      </c>
      <c r="Y18" s="175" t="e">
        <f>SUM(D18)/SUM(D$15:D$18)</f>
        <v>#DIV/0!</v>
      </c>
      <c r="Z18" s="175" t="e">
        <f t="shared" si="2"/>
        <v>#DIV/0!</v>
      </c>
      <c r="AA18" s="175" t="e">
        <f t="shared" si="2"/>
        <v>#DIV/0!</v>
      </c>
      <c r="AB18" s="175" t="e">
        <f t="shared" si="2"/>
        <v>#DIV/0!</v>
      </c>
      <c r="AC18" s="175" t="e">
        <f t="shared" si="2"/>
        <v>#DIV/0!</v>
      </c>
      <c r="AD18" s="175" t="e">
        <f t="shared" si="2"/>
        <v>#DIV/0!</v>
      </c>
      <c r="AE18" s="175" t="e">
        <f t="shared" si="2"/>
        <v>#DIV/0!</v>
      </c>
      <c r="AF18" s="175" t="e">
        <f t="shared" si="2"/>
        <v>#DIV/0!</v>
      </c>
      <c r="AG18" s="175" t="e">
        <f t="shared" si="2"/>
        <v>#DIV/0!</v>
      </c>
      <c r="AH18" s="175" t="e">
        <f t="shared" si="2"/>
        <v>#DIV/0!</v>
      </c>
      <c r="AI18" s="175" t="e">
        <f t="shared" si="2"/>
        <v>#DIV/0!</v>
      </c>
      <c r="AJ18" s="175" t="e">
        <f t="shared" si="2"/>
        <v>#DIV/0!</v>
      </c>
      <c r="AK18" s="175" t="e">
        <f t="shared" si="2"/>
        <v>#DIV/0!</v>
      </c>
      <c r="AL18" s="175" t="e">
        <f t="shared" si="2"/>
        <v>#DIV/0!</v>
      </c>
      <c r="AM18" s="175" t="e">
        <f t="shared" si="2"/>
        <v>#DIV/0!</v>
      </c>
      <c r="AN18" s="175" t="e">
        <f t="shared" si="2"/>
        <v>#DIV/0!</v>
      </c>
    </row>
    <row r="19" spans="2:40" x14ac:dyDescent="0.15">
      <c r="B19" s="426" t="s">
        <v>26</v>
      </c>
      <c r="C19" s="132" t="s">
        <v>1166</v>
      </c>
      <c r="D19" s="98">
        <f>SUMIFS('caseload data'!E:E,'caseload data'!$D:$D,"PO",'caseload data'!$A:$A,'national caseload'!$B$19:$B$21)</f>
        <v>0</v>
      </c>
      <c r="E19" s="98">
        <f>SUMIFS('caseload data'!F:F,'caseload data'!$D:$D,"PO",'caseload data'!$A:$A,'national caseload'!$B$19:$B$21)</f>
        <v>0</v>
      </c>
      <c r="F19" s="98">
        <f>SUMIFS('caseload data'!G:G,'caseload data'!$D:$D,"PO",'caseload data'!$A:$A,'national caseload'!$B$19:$B$21)</f>
        <v>0</v>
      </c>
      <c r="G19" s="98">
        <f>SUMIFS('caseload data'!H:H,'caseload data'!$D:$D,"PO",'caseload data'!$A:$A,'national caseload'!$B$19:$B$21)</f>
        <v>0</v>
      </c>
      <c r="H19" s="98">
        <f>SUMIFS('caseload data'!I:I,'caseload data'!$D:$D,"PO",'caseload data'!$A:$A,'national caseload'!$B$19:$B$21)</f>
        <v>0</v>
      </c>
      <c r="I19" s="98">
        <f>SUMIFS('caseload data'!J:J,'caseload data'!$D:$D,"PO",'caseload data'!$A:$A,'national caseload'!$B$19:$B$21)</f>
        <v>0</v>
      </c>
      <c r="J19" s="98">
        <f>SUMIFS('caseload data'!K:K,'caseload data'!$D:$D,"PO",'caseload data'!$A:$A,'national caseload'!$B$19:$B$21)</f>
        <v>0</v>
      </c>
      <c r="K19" s="98">
        <f>SUMIFS('caseload data'!L:L,'caseload data'!$D:$D,"PO",'caseload data'!$A:$A,'national caseload'!$B$19:$B$21)</f>
        <v>0</v>
      </c>
      <c r="L19" s="98">
        <f>SUMIFS('caseload data'!M:M,'caseload data'!$D:$D,"PO",'caseload data'!$A:$A,'national caseload'!$B$19:$B$21)</f>
        <v>0</v>
      </c>
      <c r="M19" s="98">
        <f>SUMIFS('caseload data'!N:N,'caseload data'!$D:$D,"PO",'caseload data'!$A:$A,'national caseload'!$B$19:$B$21)</f>
        <v>0</v>
      </c>
      <c r="N19" s="98">
        <f>SUMIFS('caseload data'!O:O,'caseload data'!$D:$D,"PO",'caseload data'!$A:$A,'national caseload'!$B$19:$B$21)</f>
        <v>0</v>
      </c>
      <c r="O19" s="98">
        <f>SUMIFS('caseload data'!P:P,'caseload data'!$D:$D,"PO",'caseload data'!$A:$A,'national caseload'!$B$19:$B$21)</f>
        <v>0</v>
      </c>
      <c r="P19" s="98">
        <f>SUMIFS('caseload data'!Q:Q,'caseload data'!$D:$D,"PO",'caseload data'!$A:$A,'national caseload'!$B$19:$B$21)</f>
        <v>0</v>
      </c>
      <c r="Q19" s="98">
        <f>SUMIFS('caseload data'!R:R,'caseload data'!$D:$D,"PO",'caseload data'!$A:$A,'national caseload'!$B$19:$B$21)</f>
        <v>0</v>
      </c>
      <c r="R19" s="98">
        <f>SUMIFS('caseload data'!S:S,'caseload data'!$D:$D,"PO",'caseload data'!$A:$A,'national caseload'!$B$19:$B$21)</f>
        <v>0</v>
      </c>
      <c r="S19" s="98">
        <f>SUMIFS('caseload data'!T:T,'caseload data'!$D:$D,"PO",'caseload data'!$A:$A,'national caseload'!$B$19:$B$21)</f>
        <v>0</v>
      </c>
      <c r="T19" s="98">
        <f>SUMIFS('caseload data'!V:V,'caseload data'!$D:$D,"PO",'caseload data'!$A:$A,'national caseload'!B19:B21)</f>
        <v>0</v>
      </c>
      <c r="U19" s="68"/>
      <c r="V19" s="68"/>
      <c r="W19" s="426" t="s">
        <v>26</v>
      </c>
      <c r="X19" s="132" t="s">
        <v>1166</v>
      </c>
      <c r="Y19" s="175" t="e">
        <f>SUM(D19)/SUM(D$19:D$22)</f>
        <v>#DIV/0!</v>
      </c>
      <c r="Z19" s="175" t="e">
        <f t="shared" ref="Z19:AN22" si="3">SUM(E19)/SUM(E$19:E$22)</f>
        <v>#DIV/0!</v>
      </c>
      <c r="AA19" s="175" t="e">
        <f t="shared" si="3"/>
        <v>#DIV/0!</v>
      </c>
      <c r="AB19" s="175" t="e">
        <f t="shared" si="3"/>
        <v>#DIV/0!</v>
      </c>
      <c r="AC19" s="175" t="e">
        <f t="shared" si="3"/>
        <v>#DIV/0!</v>
      </c>
      <c r="AD19" s="175" t="e">
        <f t="shared" si="3"/>
        <v>#DIV/0!</v>
      </c>
      <c r="AE19" s="175" t="e">
        <f t="shared" si="3"/>
        <v>#DIV/0!</v>
      </c>
      <c r="AF19" s="175" t="e">
        <f t="shared" si="3"/>
        <v>#DIV/0!</v>
      </c>
      <c r="AG19" s="175" t="e">
        <f t="shared" si="3"/>
        <v>#DIV/0!</v>
      </c>
      <c r="AH19" s="175" t="e">
        <f t="shared" si="3"/>
        <v>#DIV/0!</v>
      </c>
      <c r="AI19" s="175" t="e">
        <f t="shared" si="3"/>
        <v>#DIV/0!</v>
      </c>
      <c r="AJ19" s="175" t="e">
        <f t="shared" si="3"/>
        <v>#DIV/0!</v>
      </c>
      <c r="AK19" s="175" t="e">
        <f t="shared" si="3"/>
        <v>#DIV/0!</v>
      </c>
      <c r="AL19" s="175" t="e">
        <f t="shared" si="3"/>
        <v>#DIV/0!</v>
      </c>
      <c r="AM19" s="175" t="e">
        <f t="shared" si="3"/>
        <v>#DIV/0!</v>
      </c>
      <c r="AN19" s="175" t="e">
        <f t="shared" si="3"/>
        <v>#DIV/0!</v>
      </c>
    </row>
    <row r="20" spans="2:40" x14ac:dyDescent="0.15">
      <c r="B20" s="427"/>
      <c r="C20" s="133" t="s">
        <v>1172</v>
      </c>
      <c r="D20" s="98">
        <f>SUMIFS('caseload data'!E:E,'caseload data'!$D:$D,"PSO",'caseload data'!$A:$A,"Kent Surrey Sussex Region")</f>
        <v>0</v>
      </c>
      <c r="E20" s="98">
        <f>SUMIFS('caseload data'!F:F,'caseload data'!$D:$D,"PSO",'caseload data'!$A:$A,"Kent Surrey Sussex Region")</f>
        <v>0</v>
      </c>
      <c r="F20" s="98">
        <f>SUMIFS('caseload data'!G:G,'caseload data'!$D:$D,"PSO",'caseload data'!$A:$A,"Kent Surrey Sussex Region")</f>
        <v>0</v>
      </c>
      <c r="G20" s="98">
        <f>SUMIFS('caseload data'!H:H,'caseload data'!$D:$D,"PSO",'caseload data'!$A:$A,"Kent Surrey Sussex Region")</f>
        <v>0</v>
      </c>
      <c r="H20" s="98">
        <f>SUMIFS('caseload data'!I:I,'caseload data'!$D:$D,"PSO",'caseload data'!$A:$A,"Kent Surrey Sussex Region")</f>
        <v>0</v>
      </c>
      <c r="I20" s="98">
        <f>SUMIFS('caseload data'!J:J,'caseload data'!$D:$D,"PSO",'caseload data'!$A:$A,"Kent Surrey Sussex Region")</f>
        <v>0</v>
      </c>
      <c r="J20" s="98">
        <f>SUMIFS('caseload data'!K:K,'caseload data'!$D:$D,"PSO",'caseload data'!$A:$A,"Kent Surrey Sussex Region")</f>
        <v>0</v>
      </c>
      <c r="K20" s="98">
        <f>SUMIFS('caseload data'!L:L,'caseload data'!$D:$D,"PSO",'caseload data'!$A:$A,"Kent Surrey Sussex Region")</f>
        <v>0</v>
      </c>
      <c r="L20" s="98">
        <f>SUMIFS('caseload data'!M:M,'caseload data'!$D:$D,"PSO",'caseload data'!$A:$A,"Kent Surrey Sussex Region")</f>
        <v>0</v>
      </c>
      <c r="M20" s="98">
        <f>SUMIFS('caseload data'!N:N,'caseload data'!$D:$D,"PSO",'caseload data'!$A:$A,"Kent Surrey Sussex Region")</f>
        <v>0</v>
      </c>
      <c r="N20" s="98">
        <f>SUMIFS('caseload data'!O:O,'caseload data'!$D:$D,"PSO",'caseload data'!$A:$A,"Kent Surrey Sussex Region")</f>
        <v>0</v>
      </c>
      <c r="O20" s="98">
        <f>SUMIFS('caseload data'!P:P,'caseload data'!$D:$D,"PSO",'caseload data'!$A:$A,"Kent Surrey Sussex Region")</f>
        <v>0</v>
      </c>
      <c r="P20" s="98">
        <f>SUMIFS('caseload data'!Q:Q,'caseload data'!$D:$D,"PSO",'caseload data'!$A:$A,"Kent Surrey Sussex Region")</f>
        <v>0</v>
      </c>
      <c r="Q20" s="98">
        <f>SUMIFS('caseload data'!R:R,'caseload data'!$D:$D,"PSO",'caseload data'!$A:$A,"Kent Surrey Sussex Region")</f>
        <v>0</v>
      </c>
      <c r="R20" s="98">
        <f>SUMIFS('caseload data'!S:S,'caseload data'!$D:$D,"PSO",'caseload data'!$A:$A,"Kent Surrey Sussex Region")</f>
        <v>0</v>
      </c>
      <c r="S20" s="98">
        <f>SUMIFS('caseload data'!T:T,'caseload data'!$D:$D,"PSO",'caseload data'!$A:$A,"Kent Surrey Sussex Region")</f>
        <v>0</v>
      </c>
      <c r="T20" s="98">
        <f>SUMIFS('caseload data'!V:V,'caseload data'!$D:$D,"PSO",'caseload data'!$A:$A,"Kent Surrey Sussex Region")</f>
        <v>0</v>
      </c>
      <c r="U20" s="68"/>
      <c r="V20" s="68"/>
      <c r="W20" s="427"/>
      <c r="X20" s="133" t="s">
        <v>1172</v>
      </c>
      <c r="Y20" s="175" t="e">
        <f>SUM(D20)/SUM(D$19:D$22)</f>
        <v>#DIV/0!</v>
      </c>
      <c r="Z20" s="175" t="e">
        <f t="shared" si="3"/>
        <v>#DIV/0!</v>
      </c>
      <c r="AA20" s="175" t="e">
        <f t="shared" si="3"/>
        <v>#DIV/0!</v>
      </c>
      <c r="AB20" s="175" t="e">
        <f t="shared" si="3"/>
        <v>#DIV/0!</v>
      </c>
      <c r="AC20" s="175" t="e">
        <f t="shared" si="3"/>
        <v>#DIV/0!</v>
      </c>
      <c r="AD20" s="175" t="e">
        <f t="shared" si="3"/>
        <v>#DIV/0!</v>
      </c>
      <c r="AE20" s="175" t="e">
        <f t="shared" si="3"/>
        <v>#DIV/0!</v>
      </c>
      <c r="AF20" s="175" t="e">
        <f t="shared" si="3"/>
        <v>#DIV/0!</v>
      </c>
      <c r="AG20" s="175" t="e">
        <f t="shared" si="3"/>
        <v>#DIV/0!</v>
      </c>
      <c r="AH20" s="175" t="e">
        <f t="shared" si="3"/>
        <v>#DIV/0!</v>
      </c>
      <c r="AI20" s="175" t="e">
        <f t="shared" si="3"/>
        <v>#DIV/0!</v>
      </c>
      <c r="AJ20" s="175" t="e">
        <f t="shared" si="3"/>
        <v>#DIV/0!</v>
      </c>
      <c r="AK20" s="175" t="e">
        <f t="shared" si="3"/>
        <v>#DIV/0!</v>
      </c>
      <c r="AL20" s="175" t="e">
        <f t="shared" si="3"/>
        <v>#DIV/0!</v>
      </c>
      <c r="AM20" s="175" t="e">
        <f t="shared" si="3"/>
        <v>#DIV/0!</v>
      </c>
      <c r="AN20" s="175" t="e">
        <f t="shared" si="3"/>
        <v>#DIV/0!</v>
      </c>
    </row>
    <row r="21" spans="2:40" x14ac:dyDescent="0.15">
      <c r="B21" s="427"/>
      <c r="C21" s="133" t="s">
        <v>1173</v>
      </c>
      <c r="D21" s="98">
        <f>SUMIFS('caseload data'!E:E,'caseload data'!$D:$D,"TPO",'caseload data'!$A:$A,"Kent Surrey Sussex Region")</f>
        <v>0</v>
      </c>
      <c r="E21" s="98">
        <f>SUMIFS('caseload data'!F:F,'caseload data'!$D:$D,"TPO",'caseload data'!$A:$A,"Kent Surrey Sussex Region")</f>
        <v>0</v>
      </c>
      <c r="F21" s="98">
        <f>SUMIFS('caseload data'!G:G,'caseload data'!$D:$D,"TPO",'caseload data'!$A:$A,"Kent Surrey Sussex Region")</f>
        <v>0</v>
      </c>
      <c r="G21" s="98">
        <f>SUMIFS('caseload data'!H:H,'caseload data'!$D:$D,"TPO",'caseload data'!$A:$A,"Kent Surrey Sussex Region")</f>
        <v>0</v>
      </c>
      <c r="H21" s="98">
        <f>SUMIFS('caseload data'!I:I,'caseload data'!$D:$D,"TPO",'caseload data'!$A:$A,"Kent Surrey Sussex Region")</f>
        <v>0</v>
      </c>
      <c r="I21" s="98">
        <f>SUMIFS('caseload data'!J:J,'caseload data'!$D:$D,"TPO",'caseload data'!$A:$A,"Kent Surrey Sussex Region")</f>
        <v>0</v>
      </c>
      <c r="J21" s="98">
        <f>SUMIFS('caseload data'!K:K,'caseload data'!$D:$D,"TPO",'caseload data'!$A:$A,"Kent Surrey Sussex Region")</f>
        <v>0</v>
      </c>
      <c r="K21" s="98">
        <f>SUMIFS('caseload data'!L:L,'caseload data'!$D:$D,"TPO",'caseload data'!$A:$A,"Kent Surrey Sussex Region")</f>
        <v>0</v>
      </c>
      <c r="L21" s="98">
        <f>SUMIFS('caseload data'!M:M,'caseload data'!$D:$D,"TPO",'caseload data'!$A:$A,"Kent Surrey Sussex Region")</f>
        <v>0</v>
      </c>
      <c r="M21" s="98">
        <f>SUMIFS('caseload data'!N:N,'caseload data'!$D:$D,"TPO",'caseload data'!$A:$A,"Kent Surrey Sussex Region")</f>
        <v>0</v>
      </c>
      <c r="N21" s="98">
        <f>SUMIFS('caseload data'!O:O,'caseload data'!$D:$D,"TPO",'caseload data'!$A:$A,"Kent Surrey Sussex Region")</f>
        <v>0</v>
      </c>
      <c r="O21" s="98">
        <f>SUMIFS('caseload data'!P:P,'caseload data'!$D:$D,"TPO",'caseload data'!$A:$A,"Kent Surrey Sussex Region")</f>
        <v>0</v>
      </c>
      <c r="P21" s="98">
        <f>SUMIFS('caseload data'!Q:Q,'caseload data'!$D:$D,"TPO",'caseload data'!$A:$A,"Kent Surrey Sussex Region")</f>
        <v>0</v>
      </c>
      <c r="Q21" s="98">
        <f>SUMIFS('caseload data'!R:R,'caseload data'!$D:$D,"TPO",'caseload data'!$A:$A,"Kent Surrey Sussex Region")</f>
        <v>0</v>
      </c>
      <c r="R21" s="98">
        <f>SUMIFS('caseload data'!S:S,'caseload data'!$D:$D,"TPO",'caseload data'!$A:$A,"Kent Surrey Sussex Region")</f>
        <v>0</v>
      </c>
      <c r="S21" s="98">
        <f>SUMIFS('caseload data'!T:T,'caseload data'!$D:$D,"TPO",'caseload data'!$A:$A,"Kent Surrey Sussex Region")</f>
        <v>0</v>
      </c>
      <c r="T21" s="98">
        <f>SUMIFS('caseload data'!V:V,'caseload data'!$D:$D,"TPO",'caseload data'!$A:$A,"Kent Surrey Sussex Region")</f>
        <v>0</v>
      </c>
      <c r="U21" s="68"/>
      <c r="V21" s="68"/>
      <c r="W21" s="427"/>
      <c r="X21" s="133" t="s">
        <v>1173</v>
      </c>
      <c r="Y21" s="175" t="e">
        <f>SUM(D21)/SUM(D$19:D$22)</f>
        <v>#DIV/0!</v>
      </c>
      <c r="Z21" s="175" t="e">
        <f t="shared" si="3"/>
        <v>#DIV/0!</v>
      </c>
      <c r="AA21" s="175" t="e">
        <f t="shared" si="3"/>
        <v>#DIV/0!</v>
      </c>
      <c r="AB21" s="175" t="e">
        <f t="shared" si="3"/>
        <v>#DIV/0!</v>
      </c>
      <c r="AC21" s="175" t="e">
        <f t="shared" si="3"/>
        <v>#DIV/0!</v>
      </c>
      <c r="AD21" s="175" t="e">
        <f t="shared" si="3"/>
        <v>#DIV/0!</v>
      </c>
      <c r="AE21" s="175" t="e">
        <f t="shared" si="3"/>
        <v>#DIV/0!</v>
      </c>
      <c r="AF21" s="175" t="e">
        <f t="shared" si="3"/>
        <v>#DIV/0!</v>
      </c>
      <c r="AG21" s="175" t="e">
        <f t="shared" si="3"/>
        <v>#DIV/0!</v>
      </c>
      <c r="AH21" s="175" t="e">
        <f t="shared" si="3"/>
        <v>#DIV/0!</v>
      </c>
      <c r="AI21" s="175" t="e">
        <f t="shared" si="3"/>
        <v>#DIV/0!</v>
      </c>
      <c r="AJ21" s="175" t="e">
        <f t="shared" si="3"/>
        <v>#DIV/0!</v>
      </c>
      <c r="AK21" s="175" t="e">
        <f t="shared" si="3"/>
        <v>#DIV/0!</v>
      </c>
      <c r="AL21" s="175" t="e">
        <f t="shared" si="3"/>
        <v>#DIV/0!</v>
      </c>
      <c r="AM21" s="175" t="e">
        <f t="shared" si="3"/>
        <v>#DIV/0!</v>
      </c>
      <c r="AN21" s="175" t="e">
        <f t="shared" si="3"/>
        <v>#DIV/0!</v>
      </c>
    </row>
    <row r="22" spans="2:40" x14ac:dyDescent="0.15">
      <c r="B22" s="428"/>
      <c r="C22" s="134" t="s">
        <v>1174</v>
      </c>
      <c r="D22" s="98">
        <f>SUMIFS('caseload data'!E:E,'caseload data'!$D:$D,"SPO",'caseload data'!$A:$A,"Kent Surrey Sussex Region")</f>
        <v>0</v>
      </c>
      <c r="E22" s="98">
        <f>SUMIFS('caseload data'!F:F,'caseload data'!$D:$D,"SPO",'caseload data'!$A:$A,"Kent Surrey Sussex Region")</f>
        <v>0</v>
      </c>
      <c r="F22" s="98">
        <f>SUMIFS('caseload data'!G:G,'caseload data'!$D:$D,"SPO",'caseload data'!$A:$A,"Kent Surrey Sussex Region")</f>
        <v>0</v>
      </c>
      <c r="G22" s="98">
        <f>SUMIFS('caseload data'!H:H,'caseload data'!$D:$D,"SPO",'caseload data'!$A:$A,"Kent Surrey Sussex Region")</f>
        <v>0</v>
      </c>
      <c r="H22" s="98">
        <f>SUMIFS('caseload data'!I:I,'caseload data'!$D:$D,"SPO",'caseload data'!$A:$A,"Kent Surrey Sussex Region")</f>
        <v>0</v>
      </c>
      <c r="I22" s="98">
        <f>SUMIFS('caseload data'!J:J,'caseload data'!$D:$D,"SPO",'caseload data'!$A:$A,"Kent Surrey Sussex Region")</f>
        <v>0</v>
      </c>
      <c r="J22" s="98">
        <f>SUMIFS('caseload data'!K:K,'caseload data'!$D:$D,"SPO",'caseload data'!$A:$A,"Kent Surrey Sussex Region")</f>
        <v>0</v>
      </c>
      <c r="K22" s="98">
        <f>SUMIFS('caseload data'!L:L,'caseload data'!$D:$D,"SPO",'caseload data'!$A:$A,"Kent Surrey Sussex Region")</f>
        <v>0</v>
      </c>
      <c r="L22" s="98">
        <f>SUMIFS('caseload data'!M:M,'caseload data'!$D:$D,"SPO",'caseload data'!$A:$A,"Kent Surrey Sussex Region")</f>
        <v>0</v>
      </c>
      <c r="M22" s="98">
        <f>SUMIFS('caseload data'!N:N,'caseload data'!$D:$D,"SPO",'caseload data'!$A:$A,"Kent Surrey Sussex Region")</f>
        <v>0</v>
      </c>
      <c r="N22" s="98">
        <f>SUMIFS('caseload data'!O:O,'caseload data'!$D:$D,"SPO",'caseload data'!$A:$A,"Kent Surrey Sussex Region")</f>
        <v>0</v>
      </c>
      <c r="O22" s="98">
        <f>SUMIFS('caseload data'!P:P,'caseload data'!$D:$D,"SPO",'caseload data'!$A:$A,"Kent Surrey Sussex Region")</f>
        <v>0</v>
      </c>
      <c r="P22" s="98">
        <f>SUMIFS('caseload data'!Q:Q,'caseload data'!$D:$D,"SPO",'caseload data'!$A:$A,"Kent Surrey Sussex Region")</f>
        <v>0</v>
      </c>
      <c r="Q22" s="98">
        <f>SUMIFS('caseload data'!R:R,'caseload data'!$D:$D,"SPO",'caseload data'!$A:$A,"Kent Surrey Sussex Region")</f>
        <v>0</v>
      </c>
      <c r="R22" s="98">
        <f>SUMIFS('caseload data'!S:S,'caseload data'!$D:$D,"SPO",'caseload data'!$A:$A,"Kent Surrey Sussex Region")</f>
        <v>0</v>
      </c>
      <c r="S22" s="98">
        <f>SUMIFS('caseload data'!T:T,'caseload data'!$D:$D,"SPO",'caseload data'!$A:$A,"Kent Surrey Sussex Region")</f>
        <v>0</v>
      </c>
      <c r="T22" s="98">
        <f>SUMIFS('caseload data'!V:V,'caseload data'!$D:$D,"SPO",'caseload data'!$A:$A,"Kent Surrey Sussex Region")</f>
        <v>0</v>
      </c>
      <c r="U22" s="68"/>
      <c r="V22" s="68"/>
      <c r="W22" s="428"/>
      <c r="X22" s="134" t="s">
        <v>1174</v>
      </c>
      <c r="Y22" s="175" t="e">
        <f>SUM(D22)/SUM(D$19:D$22)</f>
        <v>#DIV/0!</v>
      </c>
      <c r="Z22" s="175" t="e">
        <f t="shared" si="3"/>
        <v>#DIV/0!</v>
      </c>
      <c r="AA22" s="175" t="e">
        <f t="shared" si="3"/>
        <v>#DIV/0!</v>
      </c>
      <c r="AB22" s="175" t="e">
        <f t="shared" si="3"/>
        <v>#DIV/0!</v>
      </c>
      <c r="AC22" s="175" t="e">
        <f t="shared" si="3"/>
        <v>#DIV/0!</v>
      </c>
      <c r="AD22" s="175" t="e">
        <f t="shared" si="3"/>
        <v>#DIV/0!</v>
      </c>
      <c r="AE22" s="175" t="e">
        <f t="shared" si="3"/>
        <v>#DIV/0!</v>
      </c>
      <c r="AF22" s="175" t="e">
        <f t="shared" si="3"/>
        <v>#DIV/0!</v>
      </c>
      <c r="AG22" s="175" t="e">
        <f t="shared" si="3"/>
        <v>#DIV/0!</v>
      </c>
      <c r="AH22" s="175" t="e">
        <f t="shared" si="3"/>
        <v>#DIV/0!</v>
      </c>
      <c r="AI22" s="175" t="e">
        <f t="shared" si="3"/>
        <v>#DIV/0!</v>
      </c>
      <c r="AJ22" s="175" t="e">
        <f t="shared" si="3"/>
        <v>#DIV/0!</v>
      </c>
      <c r="AK22" s="175" t="e">
        <f t="shared" si="3"/>
        <v>#DIV/0!</v>
      </c>
      <c r="AL22" s="175" t="e">
        <f t="shared" si="3"/>
        <v>#DIV/0!</v>
      </c>
      <c r="AM22" s="175" t="e">
        <f t="shared" si="3"/>
        <v>#DIV/0!</v>
      </c>
      <c r="AN22" s="175" t="e">
        <f t="shared" si="3"/>
        <v>#DIV/0!</v>
      </c>
    </row>
    <row r="23" spans="2:40" x14ac:dyDescent="0.15">
      <c r="B23" s="426" t="s">
        <v>27</v>
      </c>
      <c r="C23" s="132" t="s">
        <v>1166</v>
      </c>
      <c r="D23" s="98">
        <f>SUMIFS('caseload data'!E:E,'caseload data'!$D:$D,"PO",'caseload data'!$A:$A,'national caseload'!$B$23:$B$25)</f>
        <v>0</v>
      </c>
      <c r="E23" s="98">
        <f>SUMIFS('caseload data'!F:F,'caseload data'!$D:$D,"PO",'caseload data'!$A:$A,'national caseload'!$B$23:$B$25)</f>
        <v>0</v>
      </c>
      <c r="F23" s="98">
        <f>SUMIFS('caseload data'!G:G,'caseload data'!$D:$D,"PO",'caseload data'!$A:$A,'national caseload'!$B$23:$B$25)</f>
        <v>0</v>
      </c>
      <c r="G23" s="98">
        <f>SUMIFS('caseload data'!H:H,'caseload data'!$D:$D,"PO",'caseload data'!$A:$A,'national caseload'!$B$23:$B$25)</f>
        <v>0</v>
      </c>
      <c r="H23" s="98">
        <f>SUMIFS('caseload data'!I:I,'caseload data'!$D:$D,"PO",'caseload data'!$A:$A,'national caseload'!$B$23:$B$25)</f>
        <v>0</v>
      </c>
      <c r="I23" s="98">
        <f>SUMIFS('caseload data'!J:J,'caseload data'!$D:$D,"PO",'caseload data'!$A:$A,'national caseload'!$B$23:$B$25)</f>
        <v>0</v>
      </c>
      <c r="J23" s="98">
        <f>SUMIFS('caseload data'!K:K,'caseload data'!$D:$D,"PO",'caseload data'!$A:$A,'national caseload'!$B$23:$B$25)</f>
        <v>0</v>
      </c>
      <c r="K23" s="98">
        <f>SUMIFS('caseload data'!L:L,'caseload data'!$D:$D,"PO",'caseload data'!$A:$A,'national caseload'!$B$23:$B$25)</f>
        <v>0</v>
      </c>
      <c r="L23" s="98">
        <f>SUMIFS('caseload data'!M:M,'caseload data'!$D:$D,"PO",'caseload data'!$A:$A,'national caseload'!$B$23:$B$25)</f>
        <v>0</v>
      </c>
      <c r="M23" s="98">
        <f>SUMIFS('caseload data'!N:N,'caseload data'!$D:$D,"PO",'caseload data'!$A:$A,'national caseload'!$B$23:$B$25)</f>
        <v>0</v>
      </c>
      <c r="N23" s="98">
        <f>SUMIFS('caseload data'!O:O,'caseload data'!$D:$D,"PO",'caseload data'!$A:$A,'national caseload'!$B$23:$B$25)</f>
        <v>0</v>
      </c>
      <c r="O23" s="98">
        <f>SUMIFS('caseload data'!P:P,'caseload data'!$D:$D,"PO",'caseload data'!$A:$A,'national caseload'!$B$23:$B$25)</f>
        <v>0</v>
      </c>
      <c r="P23" s="98">
        <f>SUMIFS('caseload data'!Q:Q,'caseload data'!$D:$D,"PO",'caseload data'!$A:$A,'national caseload'!$B$23:$B$25)</f>
        <v>0</v>
      </c>
      <c r="Q23" s="98">
        <f>SUMIFS('caseload data'!R:R,'caseload data'!$D:$D,"PO",'caseload data'!$A:$A,'national caseload'!$B$23:$B$25)</f>
        <v>0</v>
      </c>
      <c r="R23" s="98">
        <f>SUMIFS('caseload data'!S:S,'caseload data'!$D:$D,"PO",'caseload data'!$A:$A,'national caseload'!$B$23:$B$25)</f>
        <v>0</v>
      </c>
      <c r="S23" s="98">
        <f>SUMIFS('caseload data'!T:T,'caseload data'!$D:$D,"PO",'caseload data'!$A:$A,'national caseload'!$B$23:$B$25)</f>
        <v>0</v>
      </c>
      <c r="T23" s="98">
        <f>SUMIFS('caseload data'!V:V,'caseload data'!$D:$D,"PO",'caseload data'!$A:$A,'national caseload'!B23:B25)</f>
        <v>0</v>
      </c>
      <c r="U23" s="68"/>
      <c r="V23" s="68"/>
      <c r="W23" s="426" t="s">
        <v>27</v>
      </c>
      <c r="X23" s="132" t="s">
        <v>1166</v>
      </c>
      <c r="Y23" s="175" t="e">
        <f>SUM(D23)/SUM(D$23:D$26)</f>
        <v>#DIV/0!</v>
      </c>
      <c r="Z23" s="175" t="e">
        <f t="shared" ref="Z23:AN26" si="4">SUM(E23)/SUM(E$23:E$26)</f>
        <v>#DIV/0!</v>
      </c>
      <c r="AA23" s="175" t="e">
        <f t="shared" si="4"/>
        <v>#DIV/0!</v>
      </c>
      <c r="AB23" s="175" t="e">
        <f t="shared" si="4"/>
        <v>#DIV/0!</v>
      </c>
      <c r="AC23" s="175" t="e">
        <f t="shared" si="4"/>
        <v>#DIV/0!</v>
      </c>
      <c r="AD23" s="175" t="e">
        <f t="shared" si="4"/>
        <v>#DIV/0!</v>
      </c>
      <c r="AE23" s="175" t="e">
        <f t="shared" si="4"/>
        <v>#DIV/0!</v>
      </c>
      <c r="AF23" s="175" t="e">
        <f t="shared" si="4"/>
        <v>#DIV/0!</v>
      </c>
      <c r="AG23" s="175" t="e">
        <f t="shared" si="4"/>
        <v>#DIV/0!</v>
      </c>
      <c r="AH23" s="175" t="e">
        <f t="shared" si="4"/>
        <v>#DIV/0!</v>
      </c>
      <c r="AI23" s="175" t="e">
        <f t="shared" si="4"/>
        <v>#DIV/0!</v>
      </c>
      <c r="AJ23" s="175" t="e">
        <f t="shared" si="4"/>
        <v>#DIV/0!</v>
      </c>
      <c r="AK23" s="175" t="e">
        <f t="shared" si="4"/>
        <v>#DIV/0!</v>
      </c>
      <c r="AL23" s="175" t="e">
        <f t="shared" si="4"/>
        <v>#DIV/0!</v>
      </c>
      <c r="AM23" s="175" t="e">
        <f t="shared" si="4"/>
        <v>#DIV/0!</v>
      </c>
      <c r="AN23" s="175" t="e">
        <f t="shared" si="4"/>
        <v>#DIV/0!</v>
      </c>
    </row>
    <row r="24" spans="2:40" x14ac:dyDescent="0.15">
      <c r="B24" s="427"/>
      <c r="C24" s="133" t="s">
        <v>1172</v>
      </c>
      <c r="D24" s="98">
        <f>SUMIFS('caseload data'!E:E,'caseload data'!$D:$D,"PSO",'caseload data'!$A:$A,"London")</f>
        <v>0</v>
      </c>
      <c r="E24" s="98">
        <f>SUMIFS('caseload data'!F:F,'caseload data'!$D:$D,"PSO",'caseload data'!$A:$A,"London")</f>
        <v>0</v>
      </c>
      <c r="F24" s="98">
        <f>SUMIFS('caseload data'!G:G,'caseload data'!$D:$D,"PSO",'caseload data'!$A:$A,"London")</f>
        <v>0</v>
      </c>
      <c r="G24" s="98">
        <f>SUMIFS('caseload data'!H:H,'caseload data'!$D:$D,"PSO",'caseload data'!$A:$A,"London")</f>
        <v>0</v>
      </c>
      <c r="H24" s="98">
        <f>SUMIFS('caseload data'!I:I,'caseload data'!$D:$D,"PSO",'caseload data'!$A:$A,"London")</f>
        <v>0</v>
      </c>
      <c r="I24" s="98">
        <f>SUMIFS('caseload data'!J:J,'caseload data'!$D:$D,"PSO",'caseload data'!$A:$A,"London")</f>
        <v>0</v>
      </c>
      <c r="J24" s="98">
        <f>SUMIFS('caseload data'!K:K,'caseload data'!$D:$D,"PSO",'caseload data'!$A:$A,"London")</f>
        <v>0</v>
      </c>
      <c r="K24" s="98">
        <f>SUMIFS('caseload data'!L:L,'caseload data'!$D:$D,"PSO",'caseload data'!$A:$A,"London")</f>
        <v>0</v>
      </c>
      <c r="L24" s="98">
        <f>SUMIFS('caseload data'!M:M,'caseload data'!$D:$D,"PSO",'caseload data'!$A:$A,"London")</f>
        <v>0</v>
      </c>
      <c r="M24" s="98">
        <f>SUMIFS('caseload data'!N:N,'caseload data'!$D:$D,"PSO",'caseload data'!$A:$A,"London")</f>
        <v>0</v>
      </c>
      <c r="N24" s="98">
        <f>SUMIFS('caseload data'!O:O,'caseload data'!$D:$D,"PSO",'caseload data'!$A:$A,"London")</f>
        <v>0</v>
      </c>
      <c r="O24" s="98">
        <f>SUMIFS('caseload data'!P:P,'caseload data'!$D:$D,"PSO",'caseload data'!$A:$A,"London")</f>
        <v>0</v>
      </c>
      <c r="P24" s="98">
        <f>SUMIFS('caseload data'!Q:Q,'caseload data'!$D:$D,"PSO",'caseload data'!$A:$A,"London")</f>
        <v>0</v>
      </c>
      <c r="Q24" s="98">
        <f>SUMIFS('caseload data'!R:R,'caseload data'!$D:$D,"PSO",'caseload data'!$A:$A,"London")</f>
        <v>0</v>
      </c>
      <c r="R24" s="98">
        <f>SUMIFS('caseload data'!S:S,'caseload data'!$D:$D,"PSO",'caseload data'!$A:$A,"London")</f>
        <v>0</v>
      </c>
      <c r="S24" s="98">
        <f>SUMIFS('caseload data'!T:T,'caseload data'!$D:$D,"PSO",'caseload data'!$A:$A,"London")</f>
        <v>0</v>
      </c>
      <c r="T24" s="98">
        <f>SUMIFS('caseload data'!V:V,'caseload data'!$D:$D,"PSO",'caseload data'!$A:$A,"London")</f>
        <v>0</v>
      </c>
      <c r="U24" s="68"/>
      <c r="V24" s="68"/>
      <c r="W24" s="427"/>
      <c r="X24" s="133" t="s">
        <v>1172</v>
      </c>
      <c r="Y24" s="175" t="e">
        <f>SUM(D24)/SUM(D$23:D$26)</f>
        <v>#DIV/0!</v>
      </c>
      <c r="Z24" s="175" t="e">
        <f t="shared" si="4"/>
        <v>#DIV/0!</v>
      </c>
      <c r="AA24" s="175" t="e">
        <f t="shared" si="4"/>
        <v>#DIV/0!</v>
      </c>
      <c r="AB24" s="175" t="e">
        <f t="shared" si="4"/>
        <v>#DIV/0!</v>
      </c>
      <c r="AC24" s="175" t="e">
        <f t="shared" si="4"/>
        <v>#DIV/0!</v>
      </c>
      <c r="AD24" s="175" t="e">
        <f t="shared" si="4"/>
        <v>#DIV/0!</v>
      </c>
      <c r="AE24" s="175" t="e">
        <f t="shared" si="4"/>
        <v>#DIV/0!</v>
      </c>
      <c r="AF24" s="175" t="e">
        <f t="shared" si="4"/>
        <v>#DIV/0!</v>
      </c>
      <c r="AG24" s="175" t="e">
        <f t="shared" si="4"/>
        <v>#DIV/0!</v>
      </c>
      <c r="AH24" s="175" t="e">
        <f t="shared" si="4"/>
        <v>#DIV/0!</v>
      </c>
      <c r="AI24" s="175" t="e">
        <f t="shared" si="4"/>
        <v>#DIV/0!</v>
      </c>
      <c r="AJ24" s="175" t="e">
        <f t="shared" si="4"/>
        <v>#DIV/0!</v>
      </c>
      <c r="AK24" s="175" t="e">
        <f t="shared" si="4"/>
        <v>#DIV/0!</v>
      </c>
      <c r="AL24" s="175" t="e">
        <f t="shared" si="4"/>
        <v>#DIV/0!</v>
      </c>
      <c r="AM24" s="175" t="e">
        <f t="shared" si="4"/>
        <v>#DIV/0!</v>
      </c>
      <c r="AN24" s="175" t="e">
        <f t="shared" si="4"/>
        <v>#DIV/0!</v>
      </c>
    </row>
    <row r="25" spans="2:40" x14ac:dyDescent="0.15">
      <c r="B25" s="427"/>
      <c r="C25" s="133" t="s">
        <v>1173</v>
      </c>
      <c r="D25" s="98">
        <f>SUMIFS('caseload data'!E:E,'caseload data'!$D:$D,"TPO",'caseload data'!$A:$A,"London")</f>
        <v>0</v>
      </c>
      <c r="E25" s="98">
        <f>SUMIFS('caseload data'!F:F,'caseload data'!$D:$D,"TPO",'caseload data'!$A:$A,"London")</f>
        <v>0</v>
      </c>
      <c r="F25" s="98">
        <f>SUMIFS('caseload data'!G:G,'caseload data'!$D:$D,"TPO",'caseload data'!$A:$A,"London")</f>
        <v>0</v>
      </c>
      <c r="G25" s="98">
        <f>SUMIFS('caseload data'!H:H,'caseload data'!$D:$D,"TPO",'caseload data'!$A:$A,"London")</f>
        <v>0</v>
      </c>
      <c r="H25" s="98">
        <f>SUMIFS('caseload data'!I:I,'caseload data'!$D:$D,"TPO",'caseload data'!$A:$A,"London")</f>
        <v>0</v>
      </c>
      <c r="I25" s="98">
        <f>SUMIFS('caseload data'!J:J,'caseload data'!$D:$D,"TPO",'caseload data'!$A:$A,"London")</f>
        <v>0</v>
      </c>
      <c r="J25" s="98">
        <f>SUMIFS('caseload data'!K:K,'caseload data'!$D:$D,"TPO",'caseload data'!$A:$A,"London")</f>
        <v>0</v>
      </c>
      <c r="K25" s="98">
        <f>SUMIFS('caseload data'!L:L,'caseload data'!$D:$D,"TPO",'caseload data'!$A:$A,"London")</f>
        <v>0</v>
      </c>
      <c r="L25" s="98">
        <f>SUMIFS('caseload data'!M:M,'caseload data'!$D:$D,"TPO",'caseload data'!$A:$A,"London")</f>
        <v>0</v>
      </c>
      <c r="M25" s="98">
        <f>SUMIFS('caseload data'!N:N,'caseload data'!$D:$D,"TPO",'caseload data'!$A:$A,"London")</f>
        <v>0</v>
      </c>
      <c r="N25" s="98">
        <f>SUMIFS('caseload data'!O:O,'caseload data'!$D:$D,"TPO",'caseload data'!$A:$A,"London")</f>
        <v>0</v>
      </c>
      <c r="O25" s="98">
        <f>SUMIFS('caseload data'!P:P,'caseload data'!$D:$D,"TPO",'caseload data'!$A:$A,"London")</f>
        <v>0</v>
      </c>
      <c r="P25" s="98">
        <f>SUMIFS('caseload data'!Q:Q,'caseload data'!$D:$D,"TPO",'caseload data'!$A:$A,"London")</f>
        <v>0</v>
      </c>
      <c r="Q25" s="98">
        <f>SUMIFS('caseload data'!R:R,'caseload data'!$D:$D,"TPO",'caseload data'!$A:$A,"London")</f>
        <v>0</v>
      </c>
      <c r="R25" s="98">
        <f>SUMIFS('caseload data'!S:S,'caseload data'!$D:$D,"TPO",'caseload data'!$A:$A,"London")</f>
        <v>0</v>
      </c>
      <c r="S25" s="98">
        <f>SUMIFS('caseload data'!T:T,'caseload data'!$D:$D,"TPO",'caseload data'!$A:$A,"London")</f>
        <v>0</v>
      </c>
      <c r="T25" s="98">
        <f>SUMIFS('caseload data'!V:V,'caseload data'!$D:$D,"TPO",'caseload data'!$A:$A,"London")</f>
        <v>0</v>
      </c>
      <c r="U25" s="68"/>
      <c r="V25" s="68"/>
      <c r="W25" s="427"/>
      <c r="X25" s="133" t="s">
        <v>1173</v>
      </c>
      <c r="Y25" s="175" t="e">
        <f>SUM(D25)/SUM(D$23:D$26)</f>
        <v>#DIV/0!</v>
      </c>
      <c r="Z25" s="175" t="e">
        <f t="shared" si="4"/>
        <v>#DIV/0!</v>
      </c>
      <c r="AA25" s="175" t="e">
        <f t="shared" si="4"/>
        <v>#DIV/0!</v>
      </c>
      <c r="AB25" s="175" t="e">
        <f t="shared" si="4"/>
        <v>#DIV/0!</v>
      </c>
      <c r="AC25" s="175" t="e">
        <f t="shared" si="4"/>
        <v>#DIV/0!</v>
      </c>
      <c r="AD25" s="175" t="e">
        <f t="shared" si="4"/>
        <v>#DIV/0!</v>
      </c>
      <c r="AE25" s="175" t="e">
        <f t="shared" si="4"/>
        <v>#DIV/0!</v>
      </c>
      <c r="AF25" s="175" t="e">
        <f t="shared" si="4"/>
        <v>#DIV/0!</v>
      </c>
      <c r="AG25" s="175" t="e">
        <f t="shared" si="4"/>
        <v>#DIV/0!</v>
      </c>
      <c r="AH25" s="175" t="e">
        <f t="shared" si="4"/>
        <v>#DIV/0!</v>
      </c>
      <c r="AI25" s="175" t="e">
        <f t="shared" si="4"/>
        <v>#DIV/0!</v>
      </c>
      <c r="AJ25" s="175" t="e">
        <f t="shared" si="4"/>
        <v>#DIV/0!</v>
      </c>
      <c r="AK25" s="175" t="e">
        <f t="shared" si="4"/>
        <v>#DIV/0!</v>
      </c>
      <c r="AL25" s="175" t="e">
        <f t="shared" si="4"/>
        <v>#DIV/0!</v>
      </c>
      <c r="AM25" s="175" t="e">
        <f t="shared" si="4"/>
        <v>#DIV/0!</v>
      </c>
      <c r="AN25" s="175" t="e">
        <f t="shared" si="4"/>
        <v>#DIV/0!</v>
      </c>
    </row>
    <row r="26" spans="2:40" x14ac:dyDescent="0.15">
      <c r="B26" s="428"/>
      <c r="C26" s="134" t="s">
        <v>1174</v>
      </c>
      <c r="D26" s="98">
        <f>SUMIFS('caseload data'!E:E,'caseload data'!$D:$D,"SPO",'caseload data'!$A:$A,"London")</f>
        <v>0</v>
      </c>
      <c r="E26" s="98">
        <f>SUMIFS('caseload data'!F:F,'caseload data'!$D:$D,"SPO",'caseload data'!$A:$A,"London")</f>
        <v>0</v>
      </c>
      <c r="F26" s="98">
        <f>SUMIFS('caseload data'!G:G,'caseload data'!$D:$D,"SPO",'caseload data'!$A:$A,"London")</f>
        <v>0</v>
      </c>
      <c r="G26" s="98">
        <f>SUMIFS('caseload data'!H:H,'caseload data'!$D:$D,"SPO",'caseload data'!$A:$A,"London")</f>
        <v>0</v>
      </c>
      <c r="H26" s="98">
        <f>SUMIFS('caseload data'!I:I,'caseload data'!$D:$D,"SPO",'caseload data'!$A:$A,"London")</f>
        <v>0</v>
      </c>
      <c r="I26" s="98">
        <f>SUMIFS('caseload data'!J:J,'caseload data'!$D:$D,"SPO",'caseload data'!$A:$A,"London")</f>
        <v>0</v>
      </c>
      <c r="J26" s="98">
        <f>SUMIFS('caseload data'!K:K,'caseload data'!$D:$D,"SPO",'caseload data'!$A:$A,"London")</f>
        <v>0</v>
      </c>
      <c r="K26" s="98">
        <f>SUMIFS('caseload data'!L:L,'caseload data'!$D:$D,"SPO",'caseload data'!$A:$A,"London")</f>
        <v>0</v>
      </c>
      <c r="L26" s="98">
        <f>SUMIFS('caseload data'!M:M,'caseload data'!$D:$D,"SPO",'caseload data'!$A:$A,"London")</f>
        <v>0</v>
      </c>
      <c r="M26" s="98">
        <f>SUMIFS('caseload data'!N:N,'caseload data'!$D:$D,"SPO",'caseload data'!$A:$A,"London")</f>
        <v>0</v>
      </c>
      <c r="N26" s="98">
        <f>SUMIFS('caseload data'!O:O,'caseload data'!$D:$D,"SPO",'caseload data'!$A:$A,"London")</f>
        <v>0</v>
      </c>
      <c r="O26" s="98">
        <f>SUMIFS('caseload data'!P:P,'caseload data'!$D:$D,"SPO",'caseload data'!$A:$A,"London")</f>
        <v>0</v>
      </c>
      <c r="P26" s="98">
        <f>SUMIFS('caseload data'!Q:Q,'caseload data'!$D:$D,"SPO",'caseload data'!$A:$A,"London")</f>
        <v>0</v>
      </c>
      <c r="Q26" s="98">
        <f>SUMIFS('caseload data'!R:R,'caseload data'!$D:$D,"SPO",'caseload data'!$A:$A,"London")</f>
        <v>0</v>
      </c>
      <c r="R26" s="98">
        <f>SUMIFS('caseload data'!S:S,'caseload data'!$D:$D,"SPO",'caseload data'!$A:$A,"London")</f>
        <v>0</v>
      </c>
      <c r="S26" s="98">
        <f>SUMIFS('caseload data'!T:T,'caseload data'!$D:$D,"SPO",'caseload data'!$A:$A,"London")</f>
        <v>0</v>
      </c>
      <c r="T26" s="98">
        <f>SUMIFS('caseload data'!V:V,'caseload data'!$D:$D,"SPO",'caseload data'!$A:$A,"London")</f>
        <v>0</v>
      </c>
      <c r="U26" s="68"/>
      <c r="V26" s="68"/>
      <c r="W26" s="428"/>
      <c r="X26" s="134" t="s">
        <v>1174</v>
      </c>
      <c r="Y26" s="175" t="e">
        <f>SUM(D26)/SUM(D$23:D$26)</f>
        <v>#DIV/0!</v>
      </c>
      <c r="Z26" s="175" t="e">
        <f t="shared" si="4"/>
        <v>#DIV/0!</v>
      </c>
      <c r="AA26" s="175" t="e">
        <f t="shared" si="4"/>
        <v>#DIV/0!</v>
      </c>
      <c r="AB26" s="175" t="e">
        <f t="shared" si="4"/>
        <v>#DIV/0!</v>
      </c>
      <c r="AC26" s="175" t="e">
        <f t="shared" si="4"/>
        <v>#DIV/0!</v>
      </c>
      <c r="AD26" s="175" t="e">
        <f t="shared" si="4"/>
        <v>#DIV/0!</v>
      </c>
      <c r="AE26" s="175" t="e">
        <f t="shared" si="4"/>
        <v>#DIV/0!</v>
      </c>
      <c r="AF26" s="175" t="e">
        <f t="shared" si="4"/>
        <v>#DIV/0!</v>
      </c>
      <c r="AG26" s="175" t="e">
        <f t="shared" si="4"/>
        <v>#DIV/0!</v>
      </c>
      <c r="AH26" s="175" t="e">
        <f t="shared" si="4"/>
        <v>#DIV/0!</v>
      </c>
      <c r="AI26" s="175" t="e">
        <f t="shared" si="4"/>
        <v>#DIV/0!</v>
      </c>
      <c r="AJ26" s="175" t="e">
        <f t="shared" si="4"/>
        <v>#DIV/0!</v>
      </c>
      <c r="AK26" s="175" t="e">
        <f t="shared" si="4"/>
        <v>#DIV/0!</v>
      </c>
      <c r="AL26" s="175" t="e">
        <f t="shared" si="4"/>
        <v>#DIV/0!</v>
      </c>
      <c r="AM26" s="175" t="e">
        <f t="shared" si="4"/>
        <v>#DIV/0!</v>
      </c>
      <c r="AN26" s="175" t="e">
        <f t="shared" si="4"/>
        <v>#DIV/0!</v>
      </c>
    </row>
    <row r="27" spans="2:40" x14ac:dyDescent="0.15">
      <c r="B27" s="423" t="s">
        <v>28</v>
      </c>
      <c r="C27" s="132" t="s">
        <v>1166</v>
      </c>
      <c r="D27" s="98">
        <f>SUMIFS('caseload data'!E:E,'caseload data'!$D:$D,"PO",'caseload data'!$A:$A,$B$27)</f>
        <v>0</v>
      </c>
      <c r="E27" s="98">
        <f>SUMIFS('caseload data'!F:F,'caseload data'!$D:$D,"PO",'caseload data'!$A:$A,$B$27)</f>
        <v>0</v>
      </c>
      <c r="F27" s="98">
        <f>SUMIFS('caseload data'!G:G,'caseload data'!$D:$D,"PO",'caseload data'!$A:$A,$B$27)</f>
        <v>0</v>
      </c>
      <c r="G27" s="98">
        <f>SUMIFS('caseload data'!H:H,'caseload data'!$D:$D,"PO",'caseload data'!$A:$A,$B$27)</f>
        <v>0</v>
      </c>
      <c r="H27" s="98">
        <f>SUMIFS('caseload data'!I:I,'caseload data'!$D:$D,"PO",'caseload data'!$A:$A,$B$27)</f>
        <v>0</v>
      </c>
      <c r="I27" s="98">
        <f>SUMIFS('caseload data'!J:J,'caseload data'!$D:$D,"PO",'caseload data'!$A:$A,$B$27)</f>
        <v>0</v>
      </c>
      <c r="J27" s="98">
        <f>SUMIFS('caseload data'!K:K,'caseload data'!$D:$D,"PO",'caseload data'!$A:$A,$B$27)</f>
        <v>0</v>
      </c>
      <c r="K27" s="98">
        <f>SUMIFS('caseload data'!L:L,'caseload data'!$D:$D,"PO",'caseload data'!$A:$A,$B$27)</f>
        <v>0</v>
      </c>
      <c r="L27" s="98">
        <f>SUMIFS('caseload data'!M:M,'caseload data'!$D:$D,"PO",'caseload data'!$A:$A,$B$27)</f>
        <v>0</v>
      </c>
      <c r="M27" s="98">
        <f>SUMIFS('caseload data'!N:N,'caseload data'!$D:$D,"PO",'caseload data'!$A:$A,$B$27)</f>
        <v>0</v>
      </c>
      <c r="N27" s="98">
        <f>SUMIFS('caseload data'!O:O,'caseload data'!$D:$D,"PO",'caseload data'!$A:$A,$B$27)</f>
        <v>0</v>
      </c>
      <c r="O27" s="98">
        <f>SUMIFS('caseload data'!P:P,'caseload data'!$D:$D,"PO",'caseload data'!$A:$A,$B$27)</f>
        <v>0</v>
      </c>
      <c r="P27" s="98">
        <f>SUMIFS('caseload data'!Q:Q,'caseload data'!$D:$D,"PO",'caseload data'!$A:$A,$B$27)</f>
        <v>0</v>
      </c>
      <c r="Q27" s="98">
        <f>SUMIFS('caseload data'!R:R,'caseload data'!$D:$D,"PO",'caseload data'!$A:$A,$B$27)</f>
        <v>0</v>
      </c>
      <c r="R27" s="98">
        <f>SUMIFS('caseload data'!S:S,'caseload data'!$D:$D,"PO",'caseload data'!$A:$A,$B$27)</f>
        <v>0</v>
      </c>
      <c r="S27" s="98">
        <f>SUMIFS('caseload data'!T:T,'caseload data'!$D:$D,"PO",'caseload data'!$A:$A,$B$27)</f>
        <v>0</v>
      </c>
      <c r="T27" s="98">
        <f>SUMIFS('caseload data'!V:V,'caseload data'!$D:$D,"PO",'caseload data'!$A:$A,B27)</f>
        <v>0</v>
      </c>
      <c r="U27" s="68"/>
      <c r="V27" s="68"/>
      <c r="W27" s="423" t="s">
        <v>28</v>
      </c>
      <c r="X27" s="132" t="s">
        <v>1166</v>
      </c>
      <c r="Y27" s="175" t="e">
        <f>SUM(D27)/SUM(D$27:D$30)</f>
        <v>#DIV/0!</v>
      </c>
      <c r="Z27" s="175" t="e">
        <f t="shared" ref="Z27:AN30" si="5">SUM(E27)/SUM(E$27:E$30)</f>
        <v>#DIV/0!</v>
      </c>
      <c r="AA27" s="175" t="e">
        <f t="shared" si="5"/>
        <v>#DIV/0!</v>
      </c>
      <c r="AB27" s="175" t="e">
        <f t="shared" si="5"/>
        <v>#DIV/0!</v>
      </c>
      <c r="AC27" s="175" t="e">
        <f t="shared" si="5"/>
        <v>#DIV/0!</v>
      </c>
      <c r="AD27" s="175" t="e">
        <f t="shared" si="5"/>
        <v>#DIV/0!</v>
      </c>
      <c r="AE27" s="175" t="e">
        <f t="shared" si="5"/>
        <v>#DIV/0!</v>
      </c>
      <c r="AF27" s="175" t="e">
        <f t="shared" si="5"/>
        <v>#DIV/0!</v>
      </c>
      <c r="AG27" s="175" t="e">
        <f t="shared" si="5"/>
        <v>#DIV/0!</v>
      </c>
      <c r="AH27" s="175" t="e">
        <f t="shared" si="5"/>
        <v>#DIV/0!</v>
      </c>
      <c r="AI27" s="175" t="e">
        <f t="shared" si="5"/>
        <v>#DIV/0!</v>
      </c>
      <c r="AJ27" s="175" t="e">
        <f t="shared" si="5"/>
        <v>#DIV/0!</v>
      </c>
      <c r="AK27" s="175" t="e">
        <f t="shared" si="5"/>
        <v>#DIV/0!</v>
      </c>
      <c r="AL27" s="175" t="e">
        <f t="shared" si="5"/>
        <v>#DIV/0!</v>
      </c>
      <c r="AM27" s="175" t="e">
        <f t="shared" si="5"/>
        <v>#DIV/0!</v>
      </c>
      <c r="AN27" s="175" t="e">
        <f t="shared" si="5"/>
        <v>#DIV/0!</v>
      </c>
    </row>
    <row r="28" spans="2:40" x14ac:dyDescent="0.15">
      <c r="B28" s="424"/>
      <c r="C28" s="133" t="s">
        <v>1172</v>
      </c>
      <c r="D28" s="98">
        <f>SUMIFS('caseload data'!E:E,'caseload data'!$D:$D,"PSO",'caseload data'!$A:$A,"North East Region")</f>
        <v>0</v>
      </c>
      <c r="E28" s="98">
        <f>SUMIFS('caseload data'!F:F,'caseload data'!$D:$D,"PSO",'caseload data'!$A:$A,"North East Region")</f>
        <v>0</v>
      </c>
      <c r="F28" s="98">
        <f>SUMIFS('caseload data'!G:G,'caseload data'!$D:$D,"PSO",'caseload data'!$A:$A,"North East Region")</f>
        <v>0</v>
      </c>
      <c r="G28" s="98">
        <f>SUMIFS('caseload data'!H:H,'caseload data'!$D:$D,"PSO",'caseload data'!$A:$A,"North East Region")</f>
        <v>0</v>
      </c>
      <c r="H28" s="98">
        <f>SUMIFS('caseload data'!I:I,'caseload data'!$D:$D,"PSO",'caseload data'!$A:$A,"North East Region")</f>
        <v>0</v>
      </c>
      <c r="I28" s="98">
        <f>SUMIFS('caseload data'!J:J,'caseload data'!$D:$D,"PSO",'caseload data'!$A:$A,"North East Region")</f>
        <v>0</v>
      </c>
      <c r="J28" s="98">
        <f>SUMIFS('caseload data'!K:K,'caseload data'!$D:$D,"PSO",'caseload data'!$A:$A,"North East Region")</f>
        <v>0</v>
      </c>
      <c r="K28" s="98">
        <f>SUMIFS('caseload data'!L:L,'caseload data'!$D:$D,"PSO",'caseload data'!$A:$A,"North East Region")</f>
        <v>0</v>
      </c>
      <c r="L28" s="98">
        <f>SUMIFS('caseload data'!M:M,'caseload data'!$D:$D,"PSO",'caseload data'!$A:$A,"North East Region")</f>
        <v>0</v>
      </c>
      <c r="M28" s="98">
        <f>SUMIFS('caseload data'!N:N,'caseload data'!$D:$D,"PSO",'caseload data'!$A:$A,"North East Region")</f>
        <v>0</v>
      </c>
      <c r="N28" s="98">
        <f>SUMIFS('caseload data'!O:O,'caseload data'!$D:$D,"PSO",'caseload data'!$A:$A,"North East Region")</f>
        <v>0</v>
      </c>
      <c r="O28" s="98">
        <f>SUMIFS('caseload data'!P:P,'caseload data'!$D:$D,"PSO",'caseload data'!$A:$A,"North East Region")</f>
        <v>0</v>
      </c>
      <c r="P28" s="98">
        <f>SUMIFS('caseload data'!Q:Q,'caseload data'!$D:$D,"PSO",'caseload data'!$A:$A,"North East Region")</f>
        <v>0</v>
      </c>
      <c r="Q28" s="98">
        <f>SUMIFS('caseload data'!R:R,'caseload data'!$D:$D,"PSO",'caseload data'!$A:$A,"North East Region")</f>
        <v>0</v>
      </c>
      <c r="R28" s="98">
        <f>SUMIFS('caseload data'!S:S,'caseload data'!$D:$D,"PSO",'caseload data'!$A:$A,"North East Region")</f>
        <v>0</v>
      </c>
      <c r="S28" s="98">
        <f>SUMIFS('caseload data'!T:T,'caseload data'!$D:$D,"PSO",'caseload data'!$A:$A,"North East Region")</f>
        <v>0</v>
      </c>
      <c r="T28" s="98">
        <f>SUMIFS('caseload data'!V:V,'caseload data'!$D:$D,"PSO",'caseload data'!$A:$A,"North East Region")</f>
        <v>0</v>
      </c>
      <c r="U28" s="68"/>
      <c r="V28" s="68"/>
      <c r="W28" s="424"/>
      <c r="X28" s="133" t="s">
        <v>1172</v>
      </c>
      <c r="Y28" s="175" t="e">
        <f>SUM(D28)/SUM(D$27:D$30)</f>
        <v>#DIV/0!</v>
      </c>
      <c r="Z28" s="175" t="e">
        <f t="shared" si="5"/>
        <v>#DIV/0!</v>
      </c>
      <c r="AA28" s="175" t="e">
        <f t="shared" si="5"/>
        <v>#DIV/0!</v>
      </c>
      <c r="AB28" s="175" t="e">
        <f t="shared" si="5"/>
        <v>#DIV/0!</v>
      </c>
      <c r="AC28" s="175" t="e">
        <f t="shared" si="5"/>
        <v>#DIV/0!</v>
      </c>
      <c r="AD28" s="175" t="e">
        <f t="shared" si="5"/>
        <v>#DIV/0!</v>
      </c>
      <c r="AE28" s="175" t="e">
        <f t="shared" si="5"/>
        <v>#DIV/0!</v>
      </c>
      <c r="AF28" s="175" t="e">
        <f t="shared" si="5"/>
        <v>#DIV/0!</v>
      </c>
      <c r="AG28" s="175" t="e">
        <f t="shared" si="5"/>
        <v>#DIV/0!</v>
      </c>
      <c r="AH28" s="175" t="e">
        <f t="shared" si="5"/>
        <v>#DIV/0!</v>
      </c>
      <c r="AI28" s="175" t="e">
        <f t="shared" si="5"/>
        <v>#DIV/0!</v>
      </c>
      <c r="AJ28" s="175" t="e">
        <f t="shared" si="5"/>
        <v>#DIV/0!</v>
      </c>
      <c r="AK28" s="175" t="e">
        <f t="shared" si="5"/>
        <v>#DIV/0!</v>
      </c>
      <c r="AL28" s="175" t="e">
        <f t="shared" si="5"/>
        <v>#DIV/0!</v>
      </c>
      <c r="AM28" s="175" t="e">
        <f t="shared" si="5"/>
        <v>#DIV/0!</v>
      </c>
      <c r="AN28" s="175" t="e">
        <f t="shared" si="5"/>
        <v>#DIV/0!</v>
      </c>
    </row>
    <row r="29" spans="2:40" x14ac:dyDescent="0.15">
      <c r="B29" s="424"/>
      <c r="C29" s="133" t="s">
        <v>1173</v>
      </c>
      <c r="D29" s="98">
        <f>SUMIFS('caseload data'!E:E,'caseload data'!$D:$D,"TPO",'caseload data'!$A:$A,"North East Region")</f>
        <v>0</v>
      </c>
      <c r="E29" s="98">
        <f>SUMIFS('caseload data'!F:F,'caseload data'!$D:$D,"TPO",'caseload data'!$A:$A,"North East Region")</f>
        <v>0</v>
      </c>
      <c r="F29" s="98">
        <f>SUMIFS('caseload data'!G:G,'caseload data'!$D:$D,"TPO",'caseload data'!$A:$A,"North East Region")</f>
        <v>0</v>
      </c>
      <c r="G29" s="98">
        <f>SUMIFS('caseload data'!H:H,'caseload data'!$D:$D,"TPO",'caseload data'!$A:$A,"North East Region")</f>
        <v>0</v>
      </c>
      <c r="H29" s="98">
        <f>SUMIFS('caseload data'!I:I,'caseload data'!$D:$D,"TPO",'caseload data'!$A:$A,"North East Region")</f>
        <v>0</v>
      </c>
      <c r="I29" s="98">
        <f>SUMIFS('caseload data'!J:J,'caseload data'!$D:$D,"TPO",'caseload data'!$A:$A,"North East Region")</f>
        <v>0</v>
      </c>
      <c r="J29" s="98">
        <f>SUMIFS('caseload data'!K:K,'caseload data'!$D:$D,"TPO",'caseload data'!$A:$A,"North East Region")</f>
        <v>0</v>
      </c>
      <c r="K29" s="98">
        <f>SUMIFS('caseload data'!L:L,'caseload data'!$D:$D,"TPO",'caseload data'!$A:$A,"North East Region")</f>
        <v>0</v>
      </c>
      <c r="L29" s="98">
        <f>SUMIFS('caseload data'!M:M,'caseload data'!$D:$D,"TPO",'caseload data'!$A:$A,"North East Region")</f>
        <v>0</v>
      </c>
      <c r="M29" s="98">
        <f>SUMIFS('caseload data'!N:N,'caseload data'!$D:$D,"TPO",'caseload data'!$A:$A,"North East Region")</f>
        <v>0</v>
      </c>
      <c r="N29" s="98">
        <f>SUMIFS('caseload data'!O:O,'caseload data'!$D:$D,"TPO",'caseload data'!$A:$A,"North East Region")</f>
        <v>0</v>
      </c>
      <c r="O29" s="98">
        <f>SUMIFS('caseload data'!P:P,'caseload data'!$D:$D,"TPO",'caseload data'!$A:$A,"North East Region")</f>
        <v>0</v>
      </c>
      <c r="P29" s="98">
        <f>SUMIFS('caseload data'!Q:Q,'caseload data'!$D:$D,"TPO",'caseload data'!$A:$A,"North East Region")</f>
        <v>0</v>
      </c>
      <c r="Q29" s="98">
        <f>SUMIFS('caseload data'!R:R,'caseload data'!$D:$D,"TPO",'caseload data'!$A:$A,"North East Region")</f>
        <v>0</v>
      </c>
      <c r="R29" s="98">
        <f>SUMIFS('caseload data'!S:S,'caseload data'!$D:$D,"TPO",'caseload data'!$A:$A,"North East Region")</f>
        <v>0</v>
      </c>
      <c r="S29" s="98">
        <f>SUMIFS('caseload data'!T:T,'caseload data'!$D:$D,"TPO",'caseload data'!$A:$A,"North East Region")</f>
        <v>0</v>
      </c>
      <c r="T29" s="98">
        <f>SUMIFS('caseload data'!V:V,'caseload data'!$D:$D,"TPO",'caseload data'!$A:$A,"North East Region")</f>
        <v>0</v>
      </c>
      <c r="U29" s="68"/>
      <c r="V29" s="68"/>
      <c r="W29" s="424"/>
      <c r="X29" s="133" t="s">
        <v>1173</v>
      </c>
      <c r="Y29" s="175" t="e">
        <f>SUM(D29)/SUM(D$27:D$30)</f>
        <v>#DIV/0!</v>
      </c>
      <c r="Z29" s="175" t="e">
        <f t="shared" si="5"/>
        <v>#DIV/0!</v>
      </c>
      <c r="AA29" s="175" t="e">
        <f t="shared" si="5"/>
        <v>#DIV/0!</v>
      </c>
      <c r="AB29" s="175" t="e">
        <f t="shared" si="5"/>
        <v>#DIV/0!</v>
      </c>
      <c r="AC29" s="175" t="e">
        <f t="shared" si="5"/>
        <v>#DIV/0!</v>
      </c>
      <c r="AD29" s="175" t="e">
        <f t="shared" si="5"/>
        <v>#DIV/0!</v>
      </c>
      <c r="AE29" s="175" t="e">
        <f t="shared" si="5"/>
        <v>#DIV/0!</v>
      </c>
      <c r="AF29" s="175" t="e">
        <f t="shared" si="5"/>
        <v>#DIV/0!</v>
      </c>
      <c r="AG29" s="175" t="e">
        <f t="shared" si="5"/>
        <v>#DIV/0!</v>
      </c>
      <c r="AH29" s="175" t="e">
        <f t="shared" si="5"/>
        <v>#DIV/0!</v>
      </c>
      <c r="AI29" s="175" t="e">
        <f t="shared" si="5"/>
        <v>#DIV/0!</v>
      </c>
      <c r="AJ29" s="175" t="e">
        <f t="shared" si="5"/>
        <v>#DIV/0!</v>
      </c>
      <c r="AK29" s="175" t="e">
        <f t="shared" si="5"/>
        <v>#DIV/0!</v>
      </c>
      <c r="AL29" s="175" t="e">
        <f t="shared" si="5"/>
        <v>#DIV/0!</v>
      </c>
      <c r="AM29" s="175" t="e">
        <f t="shared" si="5"/>
        <v>#DIV/0!</v>
      </c>
      <c r="AN29" s="175" t="e">
        <f t="shared" si="5"/>
        <v>#DIV/0!</v>
      </c>
    </row>
    <row r="30" spans="2:40" x14ac:dyDescent="0.15">
      <c r="B30" s="425"/>
      <c r="C30" s="134" t="s">
        <v>1174</v>
      </c>
      <c r="D30" s="98">
        <f>SUMIFS('caseload data'!E:E,'caseload data'!$D:$D,"SPO",'caseload data'!$A:$A,"North East Region")</f>
        <v>0</v>
      </c>
      <c r="E30" s="98">
        <f>SUMIFS('caseload data'!F:F,'caseload data'!$D:$D,"SPO",'caseload data'!$A:$A,"North East Region")</f>
        <v>0</v>
      </c>
      <c r="F30" s="98">
        <f>SUMIFS('caseload data'!G:G,'caseload data'!$D:$D,"SPO",'caseload data'!$A:$A,"North East Region")</f>
        <v>0</v>
      </c>
      <c r="G30" s="98">
        <f>SUMIFS('caseload data'!H:H,'caseload data'!$D:$D,"SPO",'caseload data'!$A:$A,"North East Region")</f>
        <v>0</v>
      </c>
      <c r="H30" s="98">
        <f>SUMIFS('caseload data'!I:I,'caseload data'!$D:$D,"SPO",'caseload data'!$A:$A,"North East Region")</f>
        <v>0</v>
      </c>
      <c r="I30" s="98">
        <f>SUMIFS('caseload data'!J:J,'caseload data'!$D:$D,"SPO",'caseload data'!$A:$A,"North East Region")</f>
        <v>0</v>
      </c>
      <c r="J30" s="98">
        <f>SUMIFS('caseload data'!K:K,'caseload data'!$D:$D,"SPO",'caseload data'!$A:$A,"North East Region")</f>
        <v>0</v>
      </c>
      <c r="K30" s="98">
        <f>SUMIFS('caseload data'!L:L,'caseload data'!$D:$D,"SPO",'caseload data'!$A:$A,"North East Region")</f>
        <v>0</v>
      </c>
      <c r="L30" s="98">
        <f>SUMIFS('caseload data'!M:M,'caseload data'!$D:$D,"SPO",'caseload data'!$A:$A,"North East Region")</f>
        <v>0</v>
      </c>
      <c r="M30" s="98">
        <f>SUMIFS('caseload data'!N:N,'caseload data'!$D:$D,"SPO",'caseload data'!$A:$A,"North East Region")</f>
        <v>0</v>
      </c>
      <c r="N30" s="98">
        <f>SUMIFS('caseload data'!O:O,'caseload data'!$D:$D,"SPO",'caseload data'!$A:$A,"North East Region")</f>
        <v>0</v>
      </c>
      <c r="O30" s="98">
        <f>SUMIFS('caseload data'!P:P,'caseload data'!$D:$D,"SPO",'caseload data'!$A:$A,"North East Region")</f>
        <v>0</v>
      </c>
      <c r="P30" s="98">
        <f>SUMIFS('caseload data'!Q:Q,'caseload data'!$D:$D,"SPO",'caseload data'!$A:$A,"North East Region")</f>
        <v>0</v>
      </c>
      <c r="Q30" s="98">
        <f>SUMIFS('caseload data'!R:R,'caseload data'!$D:$D,"SPO",'caseload data'!$A:$A,"North East Region")</f>
        <v>0</v>
      </c>
      <c r="R30" s="98">
        <f>SUMIFS('caseload data'!S:S,'caseload data'!$D:$D,"SPO",'caseload data'!$A:$A,"North East Region")</f>
        <v>0</v>
      </c>
      <c r="S30" s="98">
        <f>SUMIFS('caseload data'!T:T,'caseload data'!$D:$D,"SPO",'caseload data'!$A:$A,"North East Region")</f>
        <v>0</v>
      </c>
      <c r="T30" s="98">
        <f>SUMIFS('caseload data'!V:V,'caseload data'!$D:$D,"SPO",'caseload data'!$A:$A,"North East Region")</f>
        <v>0</v>
      </c>
      <c r="U30" s="68"/>
      <c r="V30" s="68"/>
      <c r="W30" s="425"/>
      <c r="X30" s="134" t="s">
        <v>1174</v>
      </c>
      <c r="Y30" s="175" t="e">
        <f>SUM(D30)/SUM(D$27:D$30)</f>
        <v>#DIV/0!</v>
      </c>
      <c r="Z30" s="175" t="e">
        <f t="shared" si="5"/>
        <v>#DIV/0!</v>
      </c>
      <c r="AA30" s="175" t="e">
        <f t="shared" si="5"/>
        <v>#DIV/0!</v>
      </c>
      <c r="AB30" s="175" t="e">
        <f t="shared" si="5"/>
        <v>#DIV/0!</v>
      </c>
      <c r="AC30" s="175" t="e">
        <f t="shared" si="5"/>
        <v>#DIV/0!</v>
      </c>
      <c r="AD30" s="175" t="e">
        <f t="shared" si="5"/>
        <v>#DIV/0!</v>
      </c>
      <c r="AE30" s="175" t="e">
        <f t="shared" si="5"/>
        <v>#DIV/0!</v>
      </c>
      <c r="AF30" s="175" t="e">
        <f t="shared" si="5"/>
        <v>#DIV/0!</v>
      </c>
      <c r="AG30" s="175" t="e">
        <f t="shared" si="5"/>
        <v>#DIV/0!</v>
      </c>
      <c r="AH30" s="175" t="e">
        <f t="shared" si="5"/>
        <v>#DIV/0!</v>
      </c>
      <c r="AI30" s="175" t="e">
        <f t="shared" si="5"/>
        <v>#DIV/0!</v>
      </c>
      <c r="AJ30" s="175" t="e">
        <f t="shared" si="5"/>
        <v>#DIV/0!</v>
      </c>
      <c r="AK30" s="175" t="e">
        <f t="shared" si="5"/>
        <v>#DIV/0!</v>
      </c>
      <c r="AL30" s="175" t="e">
        <f t="shared" si="5"/>
        <v>#DIV/0!</v>
      </c>
      <c r="AM30" s="175" t="e">
        <f t="shared" si="5"/>
        <v>#DIV/0!</v>
      </c>
      <c r="AN30" s="175" t="e">
        <f t="shared" si="5"/>
        <v>#DIV/0!</v>
      </c>
    </row>
    <row r="31" spans="2:40" x14ac:dyDescent="0.15">
      <c r="B31" s="423" t="s">
        <v>29</v>
      </c>
      <c r="C31" s="132" t="s">
        <v>1166</v>
      </c>
      <c r="D31" s="98">
        <f>SUMIFS('caseload data'!E:E,'caseload data'!$D:$D,"PO",'caseload data'!$A:$A,$B$31)</f>
        <v>0</v>
      </c>
      <c r="E31" s="98">
        <f>SUMIFS('caseload data'!F:F,'caseload data'!$D:$D,"PO",'caseload data'!$A:$A,$B$31)</f>
        <v>0</v>
      </c>
      <c r="F31" s="98">
        <f>SUMIFS('caseload data'!G:G,'caseload data'!$D:$D,"PO",'caseload data'!$A:$A,$B$31)</f>
        <v>0</v>
      </c>
      <c r="G31" s="98">
        <f>SUMIFS('caseload data'!H:H,'caseload data'!$D:$D,"PO",'caseload data'!$A:$A,$B$31)</f>
        <v>0</v>
      </c>
      <c r="H31" s="98">
        <f>SUMIFS('caseload data'!I:I,'caseload data'!$D:$D,"PO",'caseload data'!$A:$A,$B$31)</f>
        <v>0</v>
      </c>
      <c r="I31" s="98">
        <f>SUMIFS('caseload data'!J:J,'caseload data'!$D:$D,"PO",'caseload data'!$A:$A,$B$31)</f>
        <v>0</v>
      </c>
      <c r="J31" s="98">
        <f>SUMIFS('caseload data'!K:K,'caseload data'!$D:$D,"PO",'caseload data'!$A:$A,$B$31)</f>
        <v>0</v>
      </c>
      <c r="K31" s="98">
        <f>SUMIFS('caseload data'!L:L,'caseload data'!$D:$D,"PO",'caseload data'!$A:$A,$B$31)</f>
        <v>0</v>
      </c>
      <c r="L31" s="98">
        <f>SUMIFS('caseload data'!M:M,'caseload data'!$D:$D,"PO",'caseload data'!$A:$A,$B$31)</f>
        <v>0</v>
      </c>
      <c r="M31" s="98">
        <f>SUMIFS('caseload data'!N:N,'caseload data'!$D:$D,"PO",'caseload data'!$A:$A,$B$31)</f>
        <v>0</v>
      </c>
      <c r="N31" s="98">
        <f>SUMIFS('caseload data'!O:O,'caseload data'!$D:$D,"PO",'caseload data'!$A:$A,$B$31)</f>
        <v>0</v>
      </c>
      <c r="O31" s="98">
        <f>SUMIFS('caseload data'!P:P,'caseload data'!$D:$D,"PO",'caseload data'!$A:$A,$B$31)</f>
        <v>0</v>
      </c>
      <c r="P31" s="98">
        <f>SUMIFS('caseload data'!Q:Q,'caseload data'!$D:$D,"PO",'caseload data'!$A:$A,$B$31)</f>
        <v>0</v>
      </c>
      <c r="Q31" s="98">
        <f>SUMIFS('caseload data'!R:R,'caseload data'!$D:$D,"PO",'caseload data'!$A:$A,$B$31)</f>
        <v>0</v>
      </c>
      <c r="R31" s="98">
        <f>SUMIFS('caseload data'!S:S,'caseload data'!$D:$D,"PO",'caseload data'!$A:$A,$B$31)</f>
        <v>0</v>
      </c>
      <c r="S31" s="98">
        <f>SUMIFS('caseload data'!T:T,'caseload data'!$D:$D,"PO",'caseload data'!$A:$A,$B$31)</f>
        <v>0</v>
      </c>
      <c r="T31" s="98">
        <f>SUMIFS('caseload data'!V:V,'caseload data'!$D:$D,"PO",'caseload data'!$A:$A,B31)</f>
        <v>0</v>
      </c>
      <c r="U31" s="68"/>
      <c r="V31" s="68"/>
      <c r="W31" s="423" t="s">
        <v>29</v>
      </c>
      <c r="X31" s="132" t="s">
        <v>1166</v>
      </c>
      <c r="Y31" s="175" t="e">
        <f>SUM(D31)/SUM(D$31:D$34)</f>
        <v>#DIV/0!</v>
      </c>
      <c r="Z31" s="175" t="e">
        <f t="shared" ref="Z31:AN34" si="6">SUM(E31)/SUM(E$31:E$34)</f>
        <v>#DIV/0!</v>
      </c>
      <c r="AA31" s="175" t="e">
        <f t="shared" si="6"/>
        <v>#DIV/0!</v>
      </c>
      <c r="AB31" s="175" t="e">
        <f t="shared" si="6"/>
        <v>#DIV/0!</v>
      </c>
      <c r="AC31" s="175" t="e">
        <f t="shared" si="6"/>
        <v>#DIV/0!</v>
      </c>
      <c r="AD31" s="175" t="e">
        <f t="shared" si="6"/>
        <v>#DIV/0!</v>
      </c>
      <c r="AE31" s="175" t="e">
        <f t="shared" si="6"/>
        <v>#DIV/0!</v>
      </c>
      <c r="AF31" s="175" t="e">
        <f t="shared" si="6"/>
        <v>#DIV/0!</v>
      </c>
      <c r="AG31" s="175" t="e">
        <f t="shared" si="6"/>
        <v>#DIV/0!</v>
      </c>
      <c r="AH31" s="175" t="e">
        <f t="shared" si="6"/>
        <v>#DIV/0!</v>
      </c>
      <c r="AI31" s="175" t="e">
        <f t="shared" si="6"/>
        <v>#DIV/0!</v>
      </c>
      <c r="AJ31" s="175" t="e">
        <f t="shared" si="6"/>
        <v>#DIV/0!</v>
      </c>
      <c r="AK31" s="175" t="e">
        <f t="shared" si="6"/>
        <v>#DIV/0!</v>
      </c>
      <c r="AL31" s="175" t="e">
        <f t="shared" si="6"/>
        <v>#DIV/0!</v>
      </c>
      <c r="AM31" s="175" t="e">
        <f t="shared" si="6"/>
        <v>#DIV/0!</v>
      </c>
      <c r="AN31" s="175" t="e">
        <f t="shared" si="6"/>
        <v>#DIV/0!</v>
      </c>
    </row>
    <row r="32" spans="2:40" x14ac:dyDescent="0.15">
      <c r="B32" s="424"/>
      <c r="C32" s="133" t="s">
        <v>1172</v>
      </c>
      <c r="D32" s="98">
        <f>SUMIFS('caseload data'!E:E,'caseload data'!$D:$D,"PSO",'caseload data'!$A:$A,"North West Region")</f>
        <v>0</v>
      </c>
      <c r="E32" s="98">
        <f>SUMIFS('caseload data'!F:F,'caseload data'!$D:$D,"PSO",'caseload data'!$A:$A,"North West Region")</f>
        <v>0</v>
      </c>
      <c r="F32" s="98">
        <f>SUMIFS('caseload data'!G:G,'caseload data'!$D:$D,"PSO",'caseload data'!$A:$A,"North West Region")</f>
        <v>0</v>
      </c>
      <c r="G32" s="98">
        <f>SUMIFS('caseload data'!H:H,'caseload data'!$D:$D,"PSO",'caseload data'!$A:$A,"North West Region")</f>
        <v>0</v>
      </c>
      <c r="H32" s="98">
        <f>SUMIFS('caseload data'!I:I,'caseload data'!$D:$D,"PSO",'caseload data'!$A:$A,"North West Region")</f>
        <v>0</v>
      </c>
      <c r="I32" s="98">
        <f>SUMIFS('caseload data'!J:J,'caseload data'!$D:$D,"PSO",'caseload data'!$A:$A,"North West Region")</f>
        <v>0</v>
      </c>
      <c r="J32" s="98">
        <f>SUMIFS('caseload data'!K:K,'caseload data'!$D:$D,"PSO",'caseload data'!$A:$A,"North West Region")</f>
        <v>0</v>
      </c>
      <c r="K32" s="98">
        <f>SUMIFS('caseload data'!L:L,'caseload data'!$D:$D,"PSO",'caseload data'!$A:$A,"North West Region")</f>
        <v>0</v>
      </c>
      <c r="L32" s="98">
        <f>SUMIFS('caseload data'!M:M,'caseload data'!$D:$D,"PSO",'caseload data'!$A:$A,"North West Region")</f>
        <v>0</v>
      </c>
      <c r="M32" s="98">
        <f>SUMIFS('caseload data'!N:N,'caseload data'!$D:$D,"PSO",'caseload data'!$A:$A,"North West Region")</f>
        <v>0</v>
      </c>
      <c r="N32" s="98">
        <f>SUMIFS('caseload data'!O:O,'caseload data'!$D:$D,"PSO",'caseload data'!$A:$A,"North West Region")</f>
        <v>0</v>
      </c>
      <c r="O32" s="98">
        <f>SUMIFS('caseload data'!P:P,'caseload data'!$D:$D,"PSO",'caseload data'!$A:$A,"North West Region")</f>
        <v>0</v>
      </c>
      <c r="P32" s="98">
        <f>SUMIFS('caseload data'!Q:Q,'caseload data'!$D:$D,"PSO",'caseload data'!$A:$A,"North West Region")</f>
        <v>0</v>
      </c>
      <c r="Q32" s="98">
        <f>SUMIFS('caseload data'!R:R,'caseload data'!$D:$D,"PSO",'caseload data'!$A:$A,"North West Region")</f>
        <v>0</v>
      </c>
      <c r="R32" s="98">
        <f>SUMIFS('caseload data'!S:S,'caseload data'!$D:$D,"PSO",'caseload data'!$A:$A,"North West Region")</f>
        <v>0</v>
      </c>
      <c r="S32" s="98">
        <f>SUMIFS('caseload data'!T:T,'caseload data'!$D:$D,"PSO",'caseload data'!$A:$A,"North West Region")</f>
        <v>0</v>
      </c>
      <c r="T32" s="98">
        <f>SUMIFS('caseload data'!V:V,'caseload data'!$D:$D,"PSO",'caseload data'!$A:$A,"North West Region")</f>
        <v>0</v>
      </c>
      <c r="U32" s="68"/>
      <c r="V32" s="68"/>
      <c r="W32" s="424"/>
      <c r="X32" s="133" t="s">
        <v>1172</v>
      </c>
      <c r="Y32" s="175" t="e">
        <f>SUM(D32)/SUM(D$31:D$34)</f>
        <v>#DIV/0!</v>
      </c>
      <c r="Z32" s="175" t="e">
        <f t="shared" si="6"/>
        <v>#DIV/0!</v>
      </c>
      <c r="AA32" s="175" t="e">
        <f t="shared" si="6"/>
        <v>#DIV/0!</v>
      </c>
      <c r="AB32" s="175" t="e">
        <f t="shared" si="6"/>
        <v>#DIV/0!</v>
      </c>
      <c r="AC32" s="175" t="e">
        <f t="shared" si="6"/>
        <v>#DIV/0!</v>
      </c>
      <c r="AD32" s="175" t="e">
        <f t="shared" si="6"/>
        <v>#DIV/0!</v>
      </c>
      <c r="AE32" s="175" t="e">
        <f t="shared" si="6"/>
        <v>#DIV/0!</v>
      </c>
      <c r="AF32" s="175" t="e">
        <f t="shared" si="6"/>
        <v>#DIV/0!</v>
      </c>
      <c r="AG32" s="175" t="e">
        <f t="shared" si="6"/>
        <v>#DIV/0!</v>
      </c>
      <c r="AH32" s="175" t="e">
        <f t="shared" si="6"/>
        <v>#DIV/0!</v>
      </c>
      <c r="AI32" s="175" t="e">
        <f t="shared" si="6"/>
        <v>#DIV/0!</v>
      </c>
      <c r="AJ32" s="175" t="e">
        <f t="shared" si="6"/>
        <v>#DIV/0!</v>
      </c>
      <c r="AK32" s="175" t="e">
        <f t="shared" si="6"/>
        <v>#DIV/0!</v>
      </c>
      <c r="AL32" s="175" t="e">
        <f t="shared" si="6"/>
        <v>#DIV/0!</v>
      </c>
      <c r="AM32" s="175" t="e">
        <f t="shared" si="6"/>
        <v>#DIV/0!</v>
      </c>
      <c r="AN32" s="175" t="e">
        <f t="shared" si="6"/>
        <v>#DIV/0!</v>
      </c>
    </row>
    <row r="33" spans="2:40" x14ac:dyDescent="0.15">
      <c r="B33" s="424"/>
      <c r="C33" s="133" t="s">
        <v>1173</v>
      </c>
      <c r="D33" s="98">
        <f>SUMIFS('caseload data'!E:E,'caseload data'!$D:$D,"TPO",'caseload data'!$A:$A,"North West Region")</f>
        <v>0</v>
      </c>
      <c r="E33" s="98">
        <f>SUMIFS('caseload data'!F:F,'caseload data'!$D:$D,"TPO",'caseload data'!$A:$A,"North West Region")</f>
        <v>0</v>
      </c>
      <c r="F33" s="98">
        <f>SUMIFS('caseload data'!G:G,'caseload data'!$D:$D,"TPO",'caseload data'!$A:$A,"North West Region")</f>
        <v>0</v>
      </c>
      <c r="G33" s="98">
        <f>SUMIFS('caseload data'!H:H,'caseload data'!$D:$D,"TPO",'caseload data'!$A:$A,"North West Region")</f>
        <v>0</v>
      </c>
      <c r="H33" s="98">
        <f>SUMIFS('caseload data'!I:I,'caseload data'!$D:$D,"TPO",'caseload data'!$A:$A,"North West Region")</f>
        <v>0</v>
      </c>
      <c r="I33" s="98">
        <f>SUMIFS('caseload data'!J:J,'caseload data'!$D:$D,"TPO",'caseload data'!$A:$A,"North West Region")</f>
        <v>0</v>
      </c>
      <c r="J33" s="98">
        <f>SUMIFS('caseload data'!K:K,'caseload data'!$D:$D,"TPO",'caseload data'!$A:$A,"North West Region")</f>
        <v>0</v>
      </c>
      <c r="K33" s="98">
        <f>SUMIFS('caseload data'!L:L,'caseload data'!$D:$D,"TPO",'caseload data'!$A:$A,"North West Region")</f>
        <v>0</v>
      </c>
      <c r="L33" s="98">
        <f>SUMIFS('caseload data'!M:M,'caseload data'!$D:$D,"TPO",'caseload data'!$A:$A,"North West Region")</f>
        <v>0</v>
      </c>
      <c r="M33" s="98">
        <f>SUMIFS('caseload data'!N:N,'caseload data'!$D:$D,"TPO",'caseload data'!$A:$A,"North West Region")</f>
        <v>0</v>
      </c>
      <c r="N33" s="98">
        <f>SUMIFS('caseload data'!O:O,'caseload data'!$D:$D,"TPO",'caseload data'!$A:$A,"North West Region")</f>
        <v>0</v>
      </c>
      <c r="O33" s="98">
        <f>SUMIFS('caseload data'!P:P,'caseload data'!$D:$D,"TPO",'caseload data'!$A:$A,"North West Region")</f>
        <v>0</v>
      </c>
      <c r="P33" s="98">
        <f>SUMIFS('caseload data'!Q:Q,'caseload data'!$D:$D,"TPO",'caseload data'!$A:$A,"North West Region")</f>
        <v>0</v>
      </c>
      <c r="Q33" s="98">
        <f>SUMIFS('caseload data'!R:R,'caseload data'!$D:$D,"TPO",'caseload data'!$A:$A,"North West Region")</f>
        <v>0</v>
      </c>
      <c r="R33" s="98">
        <f>SUMIFS('caseload data'!S:S,'caseload data'!$D:$D,"TPO",'caseload data'!$A:$A,"North West Region")</f>
        <v>0</v>
      </c>
      <c r="S33" s="98">
        <f>SUMIFS('caseload data'!T:T,'caseload data'!$D:$D,"TPO",'caseload data'!$A:$A,"North West Region")</f>
        <v>0</v>
      </c>
      <c r="T33" s="98">
        <f>SUMIFS('caseload data'!V:V,'caseload data'!$D:$D,"TPO",'caseload data'!$A:$A,"North West Region")</f>
        <v>0</v>
      </c>
      <c r="U33" s="68"/>
      <c r="V33" s="68"/>
      <c r="W33" s="424"/>
      <c r="X33" s="133" t="s">
        <v>1173</v>
      </c>
      <c r="Y33" s="175" t="e">
        <f>SUM(D33)/SUM(D$31:D$34)</f>
        <v>#DIV/0!</v>
      </c>
      <c r="Z33" s="175" t="e">
        <f t="shared" si="6"/>
        <v>#DIV/0!</v>
      </c>
      <c r="AA33" s="175" t="e">
        <f t="shared" si="6"/>
        <v>#DIV/0!</v>
      </c>
      <c r="AB33" s="175" t="e">
        <f t="shared" si="6"/>
        <v>#DIV/0!</v>
      </c>
      <c r="AC33" s="175" t="e">
        <f t="shared" si="6"/>
        <v>#DIV/0!</v>
      </c>
      <c r="AD33" s="175" t="e">
        <f t="shared" si="6"/>
        <v>#DIV/0!</v>
      </c>
      <c r="AE33" s="175" t="e">
        <f t="shared" si="6"/>
        <v>#DIV/0!</v>
      </c>
      <c r="AF33" s="175" t="e">
        <f t="shared" si="6"/>
        <v>#DIV/0!</v>
      </c>
      <c r="AG33" s="175" t="e">
        <f t="shared" si="6"/>
        <v>#DIV/0!</v>
      </c>
      <c r="AH33" s="175" t="e">
        <f t="shared" si="6"/>
        <v>#DIV/0!</v>
      </c>
      <c r="AI33" s="175" t="e">
        <f t="shared" si="6"/>
        <v>#DIV/0!</v>
      </c>
      <c r="AJ33" s="175" t="e">
        <f t="shared" si="6"/>
        <v>#DIV/0!</v>
      </c>
      <c r="AK33" s="175" t="e">
        <f t="shared" si="6"/>
        <v>#DIV/0!</v>
      </c>
      <c r="AL33" s="175" t="e">
        <f t="shared" si="6"/>
        <v>#DIV/0!</v>
      </c>
      <c r="AM33" s="175" t="e">
        <f t="shared" si="6"/>
        <v>#DIV/0!</v>
      </c>
      <c r="AN33" s="175" t="e">
        <f t="shared" si="6"/>
        <v>#DIV/0!</v>
      </c>
    </row>
    <row r="34" spans="2:40" x14ac:dyDescent="0.15">
      <c r="B34" s="425"/>
      <c r="C34" s="134" t="s">
        <v>1174</v>
      </c>
      <c r="D34" s="98">
        <f>SUMIFS('caseload data'!E:E,'caseload data'!$D:$D,"SPO",'caseload data'!$A:$A,"North West Region")</f>
        <v>0</v>
      </c>
      <c r="E34" s="98">
        <f>SUMIFS('caseload data'!F:F,'caseload data'!$D:$D,"SPO",'caseload data'!$A:$A,"North West Region")</f>
        <v>0</v>
      </c>
      <c r="F34" s="98">
        <f>SUMIFS('caseload data'!G:G,'caseload data'!$D:$D,"SPO",'caseload data'!$A:$A,"North West Region")</f>
        <v>0</v>
      </c>
      <c r="G34" s="98">
        <f>SUMIFS('caseload data'!H:H,'caseload data'!$D:$D,"SPO",'caseload data'!$A:$A,"North West Region")</f>
        <v>0</v>
      </c>
      <c r="H34" s="98">
        <f>SUMIFS('caseload data'!I:I,'caseload data'!$D:$D,"SPO",'caseload data'!$A:$A,"North West Region")</f>
        <v>0</v>
      </c>
      <c r="I34" s="98">
        <f>SUMIFS('caseload data'!J:J,'caseload data'!$D:$D,"SPO",'caseload data'!$A:$A,"North West Region")</f>
        <v>0</v>
      </c>
      <c r="J34" s="98">
        <f>SUMIFS('caseload data'!K:K,'caseload data'!$D:$D,"SPO",'caseload data'!$A:$A,"North West Region")</f>
        <v>0</v>
      </c>
      <c r="K34" s="98">
        <f>SUMIFS('caseload data'!L:L,'caseload data'!$D:$D,"SPO",'caseload data'!$A:$A,"North West Region")</f>
        <v>0</v>
      </c>
      <c r="L34" s="98">
        <f>SUMIFS('caseload data'!M:M,'caseload data'!$D:$D,"SPO",'caseload data'!$A:$A,"North West Region")</f>
        <v>0</v>
      </c>
      <c r="M34" s="98">
        <f>SUMIFS('caseload data'!N:N,'caseload data'!$D:$D,"SPO",'caseload data'!$A:$A,"North West Region")</f>
        <v>0</v>
      </c>
      <c r="N34" s="98">
        <f>SUMIFS('caseload data'!O:O,'caseload data'!$D:$D,"SPO",'caseload data'!$A:$A,"North West Region")</f>
        <v>0</v>
      </c>
      <c r="O34" s="98">
        <f>SUMIFS('caseload data'!P:P,'caseload data'!$D:$D,"SPO",'caseload data'!$A:$A,"North West Region")</f>
        <v>0</v>
      </c>
      <c r="P34" s="98">
        <f>SUMIFS('caseload data'!Q:Q,'caseload data'!$D:$D,"SPO",'caseload data'!$A:$A,"North West Region")</f>
        <v>0</v>
      </c>
      <c r="Q34" s="98">
        <f>SUMIFS('caseload data'!R:R,'caseload data'!$D:$D,"SPO",'caseload data'!$A:$A,"North West Region")</f>
        <v>0</v>
      </c>
      <c r="R34" s="98">
        <f>SUMIFS('caseload data'!S:S,'caseload data'!$D:$D,"SPO",'caseload data'!$A:$A,"North West Region")</f>
        <v>0</v>
      </c>
      <c r="S34" s="98">
        <f>SUMIFS('caseload data'!T:T,'caseload data'!$D:$D,"SPO",'caseload data'!$A:$A,"North West Region")</f>
        <v>0</v>
      </c>
      <c r="T34" s="98">
        <f>SUMIFS('caseload data'!V:V,'caseload data'!$D:$D,"SPO",'caseload data'!$A:$A,"North West Region")</f>
        <v>0</v>
      </c>
      <c r="U34" s="68"/>
      <c r="V34" s="68"/>
      <c r="W34" s="425"/>
      <c r="X34" s="134" t="s">
        <v>1174</v>
      </c>
      <c r="Y34" s="175" t="e">
        <f>SUM(D34)/SUM(D$31:D$34)</f>
        <v>#DIV/0!</v>
      </c>
      <c r="Z34" s="175" t="e">
        <f t="shared" si="6"/>
        <v>#DIV/0!</v>
      </c>
      <c r="AA34" s="175" t="e">
        <f t="shared" si="6"/>
        <v>#DIV/0!</v>
      </c>
      <c r="AB34" s="175" t="e">
        <f t="shared" si="6"/>
        <v>#DIV/0!</v>
      </c>
      <c r="AC34" s="175" t="e">
        <f t="shared" si="6"/>
        <v>#DIV/0!</v>
      </c>
      <c r="AD34" s="175" t="e">
        <f t="shared" si="6"/>
        <v>#DIV/0!</v>
      </c>
      <c r="AE34" s="175" t="e">
        <f t="shared" si="6"/>
        <v>#DIV/0!</v>
      </c>
      <c r="AF34" s="175" t="e">
        <f t="shared" si="6"/>
        <v>#DIV/0!</v>
      </c>
      <c r="AG34" s="175" t="e">
        <f t="shared" si="6"/>
        <v>#DIV/0!</v>
      </c>
      <c r="AH34" s="175" t="e">
        <f t="shared" si="6"/>
        <v>#DIV/0!</v>
      </c>
      <c r="AI34" s="175" t="e">
        <f t="shared" si="6"/>
        <v>#DIV/0!</v>
      </c>
      <c r="AJ34" s="175" t="e">
        <f t="shared" si="6"/>
        <v>#DIV/0!</v>
      </c>
      <c r="AK34" s="175" t="e">
        <f t="shared" si="6"/>
        <v>#DIV/0!</v>
      </c>
      <c r="AL34" s="175" t="e">
        <f t="shared" si="6"/>
        <v>#DIV/0!</v>
      </c>
      <c r="AM34" s="175" t="e">
        <f t="shared" si="6"/>
        <v>#DIV/0!</v>
      </c>
      <c r="AN34" s="175" t="e">
        <f t="shared" si="6"/>
        <v>#DIV/0!</v>
      </c>
    </row>
    <row r="35" spans="2:40" x14ac:dyDescent="0.15">
      <c r="B35" s="423" t="s">
        <v>30</v>
      </c>
      <c r="C35" s="132" t="s">
        <v>1166</v>
      </c>
      <c r="D35" s="98">
        <f>SUMIFS('caseload data'!E:E,'caseload data'!$D:$D,"PO",'caseload data'!$A:$A,$B$35)</f>
        <v>0</v>
      </c>
      <c r="E35" s="98">
        <f>SUMIFS('caseload data'!F:F,'caseload data'!$D:$D,"PO",'caseload data'!$A:$A,$B$35)</f>
        <v>0</v>
      </c>
      <c r="F35" s="98">
        <f>SUMIFS('caseload data'!G:G,'caseload data'!$D:$D,"PO",'caseload data'!$A:$A,$B$35)</f>
        <v>0</v>
      </c>
      <c r="G35" s="98">
        <f>SUMIFS('caseload data'!H:H,'caseload data'!$D:$D,"PO",'caseload data'!$A:$A,$B$35)</f>
        <v>0</v>
      </c>
      <c r="H35" s="98">
        <f>SUMIFS('caseload data'!I:I,'caseload data'!$D:$D,"PO",'caseload data'!$A:$A,$B$35)</f>
        <v>0</v>
      </c>
      <c r="I35" s="98">
        <f>SUMIFS('caseload data'!J:J,'caseload data'!$D:$D,"PO",'caseload data'!$A:$A,$B$35)</f>
        <v>0</v>
      </c>
      <c r="J35" s="98">
        <f>SUMIFS('caseload data'!K:K,'caseload data'!$D:$D,"PO",'caseload data'!$A:$A,$B$35)</f>
        <v>0</v>
      </c>
      <c r="K35" s="98">
        <f>SUMIFS('caseload data'!L:L,'caseload data'!$D:$D,"PO",'caseload data'!$A:$A,$B$35)</f>
        <v>0</v>
      </c>
      <c r="L35" s="98">
        <f>SUMIFS('caseload data'!M:M,'caseload data'!$D:$D,"PO",'caseload data'!$A:$A,$B$35)</f>
        <v>0</v>
      </c>
      <c r="M35" s="98">
        <f>SUMIFS('caseload data'!N:N,'caseload data'!$D:$D,"PO",'caseload data'!$A:$A,$B$35)</f>
        <v>0</v>
      </c>
      <c r="N35" s="98">
        <f>SUMIFS('caseload data'!O:O,'caseload data'!$D:$D,"PO",'caseload data'!$A:$A,$B$35)</f>
        <v>0</v>
      </c>
      <c r="O35" s="98">
        <f>SUMIFS('caseload data'!P:P,'caseload data'!$D:$D,"PO",'caseload data'!$A:$A,$B$35)</f>
        <v>0</v>
      </c>
      <c r="P35" s="98">
        <f>SUMIFS('caseload data'!Q:Q,'caseload data'!$D:$D,"PO",'caseload data'!$A:$A,$B$35)</f>
        <v>0</v>
      </c>
      <c r="Q35" s="98">
        <f>SUMIFS('caseload data'!R:R,'caseload data'!$D:$D,"PO",'caseload data'!$A:$A,$B$35)</f>
        <v>0</v>
      </c>
      <c r="R35" s="98">
        <f>SUMIFS('caseload data'!S:S,'caseload data'!$D:$D,"PO",'caseload data'!$A:$A,$B$35)</f>
        <v>0</v>
      </c>
      <c r="S35" s="98">
        <f>SUMIFS('caseload data'!T:T,'caseload data'!$D:$D,"PO",'caseload data'!$A:$A,$B$35)</f>
        <v>0</v>
      </c>
      <c r="T35" s="98">
        <f>SUMIFS('caseload data'!V:V,'caseload data'!$D:$D,"PO",'caseload data'!$A:$A,B35)</f>
        <v>0</v>
      </c>
      <c r="U35" s="68"/>
      <c r="V35" s="68"/>
      <c r="W35" s="423" t="s">
        <v>30</v>
      </c>
      <c r="X35" s="132" t="s">
        <v>1166</v>
      </c>
      <c r="Y35" s="175" t="e">
        <f>SUM(D35)/SUM(D$35:D$38)</f>
        <v>#DIV/0!</v>
      </c>
      <c r="Z35" s="175" t="e">
        <f t="shared" ref="Z35:AN38" si="7">SUM(E35)/SUM(E$35:E$38)</f>
        <v>#DIV/0!</v>
      </c>
      <c r="AA35" s="175" t="e">
        <f t="shared" si="7"/>
        <v>#DIV/0!</v>
      </c>
      <c r="AB35" s="175" t="e">
        <f t="shared" si="7"/>
        <v>#DIV/0!</v>
      </c>
      <c r="AC35" s="175" t="e">
        <f t="shared" si="7"/>
        <v>#DIV/0!</v>
      </c>
      <c r="AD35" s="175" t="e">
        <f t="shared" si="7"/>
        <v>#DIV/0!</v>
      </c>
      <c r="AE35" s="175" t="e">
        <f t="shared" si="7"/>
        <v>#DIV/0!</v>
      </c>
      <c r="AF35" s="175" t="e">
        <f t="shared" si="7"/>
        <v>#DIV/0!</v>
      </c>
      <c r="AG35" s="175" t="e">
        <f t="shared" si="7"/>
        <v>#DIV/0!</v>
      </c>
      <c r="AH35" s="175" t="e">
        <f t="shared" si="7"/>
        <v>#DIV/0!</v>
      </c>
      <c r="AI35" s="175" t="e">
        <f t="shared" si="7"/>
        <v>#DIV/0!</v>
      </c>
      <c r="AJ35" s="175" t="e">
        <f t="shared" si="7"/>
        <v>#DIV/0!</v>
      </c>
      <c r="AK35" s="175" t="e">
        <f t="shared" si="7"/>
        <v>#DIV/0!</v>
      </c>
      <c r="AL35" s="175" t="e">
        <f t="shared" si="7"/>
        <v>#DIV/0!</v>
      </c>
      <c r="AM35" s="175" t="e">
        <f t="shared" si="7"/>
        <v>#DIV/0!</v>
      </c>
      <c r="AN35" s="175" t="e">
        <f t="shared" si="7"/>
        <v>#DIV/0!</v>
      </c>
    </row>
    <row r="36" spans="2:40" x14ac:dyDescent="0.15">
      <c r="B36" s="424"/>
      <c r="C36" s="133" t="s">
        <v>1172</v>
      </c>
      <c r="D36" s="98">
        <f>SUMIFS('caseload data'!E:E,'caseload data'!$D:$D,"PSO",'caseload data'!$A:$A,"South Central")</f>
        <v>0</v>
      </c>
      <c r="E36" s="98">
        <f>SUMIFS('caseload data'!F:F,'caseload data'!$D:$D,"PSO",'caseload data'!$A:$A,"South Central")</f>
        <v>0</v>
      </c>
      <c r="F36" s="98">
        <f>SUMIFS('caseload data'!G:G,'caseload data'!$D:$D,"PSO",'caseload data'!$A:$A,"South Central")</f>
        <v>0</v>
      </c>
      <c r="G36" s="98">
        <f>SUMIFS('caseload data'!H:H,'caseload data'!$D:$D,"PSO",'caseload data'!$A:$A,"South Central")</f>
        <v>0</v>
      </c>
      <c r="H36" s="98">
        <f>SUMIFS('caseload data'!I:I,'caseload data'!$D:$D,"PSO",'caseload data'!$A:$A,"South Central")</f>
        <v>0</v>
      </c>
      <c r="I36" s="98">
        <f>SUMIFS('caseload data'!J:J,'caseload data'!$D:$D,"PSO",'caseload data'!$A:$A,"South Central")</f>
        <v>0</v>
      </c>
      <c r="J36" s="98">
        <f>SUMIFS('caseload data'!K:K,'caseload data'!$D:$D,"PSO",'caseload data'!$A:$A,"South Central")</f>
        <v>0</v>
      </c>
      <c r="K36" s="98">
        <f>SUMIFS('caseload data'!L:L,'caseload data'!$D:$D,"PSO",'caseload data'!$A:$A,"South Central")</f>
        <v>0</v>
      </c>
      <c r="L36" s="98">
        <f>SUMIFS('caseload data'!M:M,'caseload data'!$D:$D,"PSO",'caseload data'!$A:$A,"South Central")</f>
        <v>0</v>
      </c>
      <c r="M36" s="98">
        <f>SUMIFS('caseload data'!N:N,'caseload data'!$D:$D,"PSO",'caseload data'!$A:$A,"South Central")</f>
        <v>0</v>
      </c>
      <c r="N36" s="98">
        <f>SUMIFS('caseload data'!O:O,'caseload data'!$D:$D,"PSO",'caseload data'!$A:$A,"South Central")</f>
        <v>0</v>
      </c>
      <c r="O36" s="98">
        <f>SUMIFS('caseload data'!P:P,'caseload data'!$D:$D,"PSO",'caseload data'!$A:$A,"South Central")</f>
        <v>0</v>
      </c>
      <c r="P36" s="98">
        <f>SUMIFS('caseload data'!Q:Q,'caseload data'!$D:$D,"PSO",'caseload data'!$A:$A,"South Central")</f>
        <v>0</v>
      </c>
      <c r="Q36" s="98">
        <f>SUMIFS('caseload data'!R:R,'caseload data'!$D:$D,"PSO",'caseload data'!$A:$A,"South Central")</f>
        <v>0</v>
      </c>
      <c r="R36" s="98">
        <f>SUMIFS('caseload data'!S:S,'caseload data'!$D:$D,"PSO",'caseload data'!$A:$A,"South Central")</f>
        <v>0</v>
      </c>
      <c r="S36" s="98">
        <f>SUMIFS('caseload data'!T:T,'caseload data'!$D:$D,"PSO",'caseload data'!$A:$A,"South Central")</f>
        <v>0</v>
      </c>
      <c r="T36" s="98">
        <f>SUMIFS('caseload data'!V:V,'caseload data'!$D:$D,"PSO",'caseload data'!$A:$A,"South Central")</f>
        <v>0</v>
      </c>
      <c r="U36" s="68"/>
      <c r="V36" s="68"/>
      <c r="W36" s="424"/>
      <c r="X36" s="133" t="s">
        <v>1172</v>
      </c>
      <c r="Y36" s="175" t="e">
        <f>SUM(D36)/SUM(D$35:D$38)</f>
        <v>#DIV/0!</v>
      </c>
      <c r="Z36" s="175" t="e">
        <f t="shared" si="7"/>
        <v>#DIV/0!</v>
      </c>
      <c r="AA36" s="175" t="e">
        <f t="shared" si="7"/>
        <v>#DIV/0!</v>
      </c>
      <c r="AB36" s="175" t="e">
        <f t="shared" si="7"/>
        <v>#DIV/0!</v>
      </c>
      <c r="AC36" s="175" t="e">
        <f t="shared" si="7"/>
        <v>#DIV/0!</v>
      </c>
      <c r="AD36" s="175" t="e">
        <f t="shared" si="7"/>
        <v>#DIV/0!</v>
      </c>
      <c r="AE36" s="175" t="e">
        <f t="shared" si="7"/>
        <v>#DIV/0!</v>
      </c>
      <c r="AF36" s="175" t="e">
        <f t="shared" si="7"/>
        <v>#DIV/0!</v>
      </c>
      <c r="AG36" s="175" t="e">
        <f t="shared" si="7"/>
        <v>#DIV/0!</v>
      </c>
      <c r="AH36" s="175" t="e">
        <f t="shared" si="7"/>
        <v>#DIV/0!</v>
      </c>
      <c r="AI36" s="175" t="e">
        <f t="shared" si="7"/>
        <v>#DIV/0!</v>
      </c>
      <c r="AJ36" s="175" t="e">
        <f t="shared" si="7"/>
        <v>#DIV/0!</v>
      </c>
      <c r="AK36" s="175" t="e">
        <f t="shared" si="7"/>
        <v>#DIV/0!</v>
      </c>
      <c r="AL36" s="175" t="e">
        <f t="shared" si="7"/>
        <v>#DIV/0!</v>
      </c>
      <c r="AM36" s="175" t="e">
        <f t="shared" si="7"/>
        <v>#DIV/0!</v>
      </c>
      <c r="AN36" s="175" t="e">
        <f t="shared" si="7"/>
        <v>#DIV/0!</v>
      </c>
    </row>
    <row r="37" spans="2:40" x14ac:dyDescent="0.15">
      <c r="B37" s="424"/>
      <c r="C37" s="133" t="s">
        <v>1173</v>
      </c>
      <c r="D37" s="98">
        <f>SUMIFS('caseload data'!E:E,'caseload data'!$D:$D,"TPO",'caseload data'!$A:$A,"South Central")</f>
        <v>0</v>
      </c>
      <c r="E37" s="98">
        <f>SUMIFS('caseload data'!F:F,'caseload data'!$D:$D,"TPO",'caseload data'!$A:$A,"South Central")</f>
        <v>0</v>
      </c>
      <c r="F37" s="98">
        <f>SUMIFS('caseload data'!G:G,'caseload data'!$D:$D,"TPO",'caseload data'!$A:$A,"South Central")</f>
        <v>0</v>
      </c>
      <c r="G37" s="98">
        <f>SUMIFS('caseload data'!H:H,'caseload data'!$D:$D,"TPO",'caseload data'!$A:$A,"South Central")</f>
        <v>0</v>
      </c>
      <c r="H37" s="98">
        <f>SUMIFS('caseload data'!I:I,'caseload data'!$D:$D,"TPO",'caseload data'!$A:$A,"South Central")</f>
        <v>0</v>
      </c>
      <c r="I37" s="98">
        <f>SUMIFS('caseload data'!J:J,'caseload data'!$D:$D,"TPO",'caseload data'!$A:$A,"South Central")</f>
        <v>0</v>
      </c>
      <c r="J37" s="98">
        <f>SUMIFS('caseload data'!K:K,'caseload data'!$D:$D,"TPO",'caseload data'!$A:$A,"South Central")</f>
        <v>0</v>
      </c>
      <c r="K37" s="98">
        <f>SUMIFS('caseload data'!L:L,'caseload data'!$D:$D,"TPO",'caseload data'!$A:$A,"South Central")</f>
        <v>0</v>
      </c>
      <c r="L37" s="98">
        <f>SUMIFS('caseload data'!M:M,'caseload data'!$D:$D,"TPO",'caseload data'!$A:$A,"South Central")</f>
        <v>0</v>
      </c>
      <c r="M37" s="98">
        <f>SUMIFS('caseload data'!N:N,'caseload data'!$D:$D,"TPO",'caseload data'!$A:$A,"South Central")</f>
        <v>0</v>
      </c>
      <c r="N37" s="98">
        <f>SUMIFS('caseload data'!O:O,'caseload data'!$D:$D,"TPO",'caseload data'!$A:$A,"South Central")</f>
        <v>0</v>
      </c>
      <c r="O37" s="98">
        <f>SUMIFS('caseload data'!P:P,'caseload data'!$D:$D,"TPO",'caseload data'!$A:$A,"South Central")</f>
        <v>0</v>
      </c>
      <c r="P37" s="98">
        <f>SUMIFS('caseload data'!Q:Q,'caseload data'!$D:$D,"TPO",'caseload data'!$A:$A,"South Central")</f>
        <v>0</v>
      </c>
      <c r="Q37" s="98">
        <f>SUMIFS('caseload data'!R:R,'caseload data'!$D:$D,"TPO",'caseload data'!$A:$A,"South Central")</f>
        <v>0</v>
      </c>
      <c r="R37" s="98">
        <f>SUMIFS('caseload data'!S:S,'caseload data'!$D:$D,"TPO",'caseload data'!$A:$A,"South Central")</f>
        <v>0</v>
      </c>
      <c r="S37" s="98">
        <f>SUMIFS('caseload data'!T:T,'caseload data'!$D:$D,"TPO",'caseload data'!$A:$A,"South Central")</f>
        <v>0</v>
      </c>
      <c r="T37" s="98">
        <f>SUMIFS('caseload data'!V:V,'caseload data'!$D:$D,"TPO",'caseload data'!$A:$A,"South Central")</f>
        <v>0</v>
      </c>
      <c r="U37" s="68"/>
      <c r="V37" s="68"/>
      <c r="W37" s="424"/>
      <c r="X37" s="133" t="s">
        <v>1173</v>
      </c>
      <c r="Y37" s="175" t="e">
        <f>SUM(D37)/SUM(D$35:D$38)</f>
        <v>#DIV/0!</v>
      </c>
      <c r="Z37" s="175" t="e">
        <f t="shared" si="7"/>
        <v>#DIV/0!</v>
      </c>
      <c r="AA37" s="175" t="e">
        <f t="shared" si="7"/>
        <v>#DIV/0!</v>
      </c>
      <c r="AB37" s="175" t="e">
        <f t="shared" si="7"/>
        <v>#DIV/0!</v>
      </c>
      <c r="AC37" s="175" t="e">
        <f t="shared" si="7"/>
        <v>#DIV/0!</v>
      </c>
      <c r="AD37" s="175" t="e">
        <f t="shared" si="7"/>
        <v>#DIV/0!</v>
      </c>
      <c r="AE37" s="175" t="e">
        <f t="shared" si="7"/>
        <v>#DIV/0!</v>
      </c>
      <c r="AF37" s="175" t="e">
        <f t="shared" si="7"/>
        <v>#DIV/0!</v>
      </c>
      <c r="AG37" s="175" t="e">
        <f t="shared" si="7"/>
        <v>#DIV/0!</v>
      </c>
      <c r="AH37" s="175" t="e">
        <f t="shared" si="7"/>
        <v>#DIV/0!</v>
      </c>
      <c r="AI37" s="175" t="e">
        <f t="shared" si="7"/>
        <v>#DIV/0!</v>
      </c>
      <c r="AJ37" s="175" t="e">
        <f t="shared" si="7"/>
        <v>#DIV/0!</v>
      </c>
      <c r="AK37" s="175" t="e">
        <f t="shared" si="7"/>
        <v>#DIV/0!</v>
      </c>
      <c r="AL37" s="175" t="e">
        <f t="shared" si="7"/>
        <v>#DIV/0!</v>
      </c>
      <c r="AM37" s="175" t="e">
        <f t="shared" si="7"/>
        <v>#DIV/0!</v>
      </c>
      <c r="AN37" s="175" t="e">
        <f t="shared" si="7"/>
        <v>#DIV/0!</v>
      </c>
    </row>
    <row r="38" spans="2:40" x14ac:dyDescent="0.15">
      <c r="B38" s="425"/>
      <c r="C38" s="134" t="s">
        <v>1174</v>
      </c>
      <c r="D38" s="98">
        <f>SUMIFS('caseload data'!E:E,'caseload data'!$D:$D,"SPO",'caseload data'!$A:$A,"South Central")</f>
        <v>0</v>
      </c>
      <c r="E38" s="98">
        <f>SUMIFS('caseload data'!F:F,'caseload data'!$D:$D,"SPO",'caseload data'!$A:$A,"South Central")</f>
        <v>0</v>
      </c>
      <c r="F38" s="98">
        <f>SUMIFS('caseload data'!G:G,'caseload data'!$D:$D,"SPO",'caseload data'!$A:$A,"South Central")</f>
        <v>0</v>
      </c>
      <c r="G38" s="98">
        <f>SUMIFS('caseload data'!H:H,'caseload data'!$D:$D,"SPO",'caseload data'!$A:$A,"South Central")</f>
        <v>0</v>
      </c>
      <c r="H38" s="98">
        <f>SUMIFS('caseload data'!I:I,'caseload data'!$D:$D,"SPO",'caseload data'!$A:$A,"South Central")</f>
        <v>0</v>
      </c>
      <c r="I38" s="98">
        <f>SUMIFS('caseload data'!J:J,'caseload data'!$D:$D,"SPO",'caseload data'!$A:$A,"South Central")</f>
        <v>0</v>
      </c>
      <c r="J38" s="98">
        <f>SUMIFS('caseload data'!K:K,'caseload data'!$D:$D,"SPO",'caseload data'!$A:$A,"South Central")</f>
        <v>0</v>
      </c>
      <c r="K38" s="98">
        <f>SUMIFS('caseload data'!L:L,'caseload data'!$D:$D,"SPO",'caseload data'!$A:$A,"South Central")</f>
        <v>0</v>
      </c>
      <c r="L38" s="98">
        <f>SUMIFS('caseload data'!M:M,'caseload data'!$D:$D,"SPO",'caseload data'!$A:$A,"South Central")</f>
        <v>0</v>
      </c>
      <c r="M38" s="98">
        <f>SUMIFS('caseload data'!N:N,'caseload data'!$D:$D,"SPO",'caseload data'!$A:$A,"South Central")</f>
        <v>0</v>
      </c>
      <c r="N38" s="98">
        <f>SUMIFS('caseload data'!O:O,'caseload data'!$D:$D,"SPO",'caseload data'!$A:$A,"South Central")</f>
        <v>0</v>
      </c>
      <c r="O38" s="98">
        <f>SUMIFS('caseload data'!P:P,'caseload data'!$D:$D,"SPO",'caseload data'!$A:$A,"South Central")</f>
        <v>0</v>
      </c>
      <c r="P38" s="98">
        <f>SUMIFS('caseload data'!Q:Q,'caseload data'!$D:$D,"SPO",'caseload data'!$A:$A,"South Central")</f>
        <v>0</v>
      </c>
      <c r="Q38" s="98">
        <f>SUMIFS('caseload data'!R:R,'caseload data'!$D:$D,"SPO",'caseload data'!$A:$A,"South Central")</f>
        <v>0</v>
      </c>
      <c r="R38" s="98">
        <f>SUMIFS('caseload data'!S:S,'caseload data'!$D:$D,"SPO",'caseload data'!$A:$A,"South Central")</f>
        <v>0</v>
      </c>
      <c r="S38" s="98">
        <f>SUMIFS('caseload data'!T:T,'caseload data'!$D:$D,"SPO",'caseload data'!$A:$A,"South Central")</f>
        <v>0</v>
      </c>
      <c r="T38" s="98">
        <f>SUMIFS('caseload data'!V:V,'caseload data'!$D:$D,"SPO",'caseload data'!$A:$A,"South Central")</f>
        <v>0</v>
      </c>
      <c r="U38" s="68"/>
      <c r="V38" s="68"/>
      <c r="W38" s="425"/>
      <c r="X38" s="134" t="s">
        <v>1174</v>
      </c>
      <c r="Y38" s="175" t="e">
        <f>SUM(D38)/SUM(D$35:D$38)</f>
        <v>#DIV/0!</v>
      </c>
      <c r="Z38" s="175" t="e">
        <f t="shared" si="7"/>
        <v>#DIV/0!</v>
      </c>
      <c r="AA38" s="175" t="e">
        <f t="shared" si="7"/>
        <v>#DIV/0!</v>
      </c>
      <c r="AB38" s="175" t="e">
        <f t="shared" si="7"/>
        <v>#DIV/0!</v>
      </c>
      <c r="AC38" s="175" t="e">
        <f t="shared" si="7"/>
        <v>#DIV/0!</v>
      </c>
      <c r="AD38" s="175" t="e">
        <f t="shared" si="7"/>
        <v>#DIV/0!</v>
      </c>
      <c r="AE38" s="175" t="e">
        <f t="shared" si="7"/>
        <v>#DIV/0!</v>
      </c>
      <c r="AF38" s="175" t="e">
        <f t="shared" si="7"/>
        <v>#DIV/0!</v>
      </c>
      <c r="AG38" s="175" t="e">
        <f t="shared" si="7"/>
        <v>#DIV/0!</v>
      </c>
      <c r="AH38" s="175" t="e">
        <f t="shared" si="7"/>
        <v>#DIV/0!</v>
      </c>
      <c r="AI38" s="175" t="e">
        <f t="shared" si="7"/>
        <v>#DIV/0!</v>
      </c>
      <c r="AJ38" s="175" t="e">
        <f t="shared" si="7"/>
        <v>#DIV/0!</v>
      </c>
      <c r="AK38" s="175" t="e">
        <f t="shared" si="7"/>
        <v>#DIV/0!</v>
      </c>
      <c r="AL38" s="175" t="e">
        <f t="shared" si="7"/>
        <v>#DIV/0!</v>
      </c>
      <c r="AM38" s="175" t="e">
        <f t="shared" si="7"/>
        <v>#DIV/0!</v>
      </c>
      <c r="AN38" s="175" t="e">
        <f t="shared" si="7"/>
        <v>#DIV/0!</v>
      </c>
    </row>
    <row r="39" spans="2:40" x14ac:dyDescent="0.15">
      <c r="B39" s="423" t="s">
        <v>31</v>
      </c>
      <c r="C39" s="132" t="s">
        <v>1166</v>
      </c>
      <c r="D39" s="98">
        <f>SUMIFS('caseload data'!E:E,'caseload data'!$D:$D,"PO",'caseload data'!$A:$A,$B$39)</f>
        <v>0</v>
      </c>
      <c r="E39" s="98">
        <f>SUMIFS('caseload data'!F:F,'caseload data'!$D:$D,"PO",'caseload data'!$A:$A,$B$39)</f>
        <v>0</v>
      </c>
      <c r="F39" s="98">
        <f>SUMIFS('caseload data'!G:G,'caseload data'!$D:$D,"PO",'caseload data'!$A:$A,$B$39)</f>
        <v>0</v>
      </c>
      <c r="G39" s="98">
        <f>SUMIFS('caseload data'!H:H,'caseload data'!$D:$D,"PO",'caseload data'!$A:$A,$B$39)</f>
        <v>0</v>
      </c>
      <c r="H39" s="98">
        <f>SUMIFS('caseload data'!I:I,'caseload data'!$D:$D,"PO",'caseload data'!$A:$A,$B$39)</f>
        <v>0</v>
      </c>
      <c r="I39" s="98">
        <f>SUMIFS('caseload data'!J:J,'caseload data'!$D:$D,"PO",'caseload data'!$A:$A,$B$39)</f>
        <v>0</v>
      </c>
      <c r="J39" s="98">
        <f>SUMIFS('caseload data'!K:K,'caseload data'!$D:$D,"PO",'caseload data'!$A:$A,$B$39)</f>
        <v>0</v>
      </c>
      <c r="K39" s="98">
        <f>SUMIFS('caseload data'!L:L,'caseload data'!$D:$D,"PO",'caseload data'!$A:$A,$B$39)</f>
        <v>0</v>
      </c>
      <c r="L39" s="98">
        <f>SUMIFS('caseload data'!M:M,'caseload data'!$D:$D,"PO",'caseload data'!$A:$A,$B$39)</f>
        <v>0</v>
      </c>
      <c r="M39" s="98">
        <f>SUMIFS('caseload data'!N:N,'caseload data'!$D:$D,"PO",'caseload data'!$A:$A,$B$39)</f>
        <v>0</v>
      </c>
      <c r="N39" s="98">
        <f>SUMIFS('caseload data'!O:O,'caseload data'!$D:$D,"PO",'caseload data'!$A:$A,$B$39)</f>
        <v>0</v>
      </c>
      <c r="O39" s="98">
        <f>SUMIFS('caseload data'!P:P,'caseload data'!$D:$D,"PO",'caseload data'!$A:$A,$B$39)</f>
        <v>0</v>
      </c>
      <c r="P39" s="98">
        <f>SUMIFS('caseload data'!Q:Q,'caseload data'!$D:$D,"PO",'caseload data'!$A:$A,$B$39)</f>
        <v>0</v>
      </c>
      <c r="Q39" s="98">
        <f>SUMIFS('caseload data'!R:R,'caseload data'!$D:$D,"PO",'caseload data'!$A:$A,$B$39)</f>
        <v>0</v>
      </c>
      <c r="R39" s="98">
        <f>SUMIFS('caseload data'!S:S,'caseload data'!$D:$D,"PO",'caseload data'!$A:$A,$B$39)</f>
        <v>0</v>
      </c>
      <c r="S39" s="98">
        <f>SUMIFS('caseload data'!T:T,'caseload data'!$D:$D,"PO",'caseload data'!$A:$A,$B$39)</f>
        <v>0</v>
      </c>
      <c r="T39" s="98">
        <f>SUMIFS('caseload data'!V:V,'caseload data'!$D:$D,"PO",'caseload data'!$A:$A,B39)</f>
        <v>0</v>
      </c>
      <c r="U39" s="68"/>
      <c r="V39" s="68"/>
      <c r="W39" s="423" t="s">
        <v>31</v>
      </c>
      <c r="X39" s="132" t="s">
        <v>1166</v>
      </c>
      <c r="Y39" s="175" t="e">
        <f>SUM(D39)/SUM(D$39:D$42)</f>
        <v>#DIV/0!</v>
      </c>
      <c r="Z39" s="175" t="e">
        <f t="shared" ref="Z39:AN42" si="8">SUM(E39)/SUM(E$39:E$42)</f>
        <v>#DIV/0!</v>
      </c>
      <c r="AA39" s="175" t="e">
        <f t="shared" si="8"/>
        <v>#DIV/0!</v>
      </c>
      <c r="AB39" s="175" t="e">
        <f t="shared" si="8"/>
        <v>#DIV/0!</v>
      </c>
      <c r="AC39" s="175" t="e">
        <f t="shared" si="8"/>
        <v>#DIV/0!</v>
      </c>
      <c r="AD39" s="175" t="e">
        <f t="shared" si="8"/>
        <v>#DIV/0!</v>
      </c>
      <c r="AE39" s="175" t="e">
        <f t="shared" si="8"/>
        <v>#DIV/0!</v>
      </c>
      <c r="AF39" s="175" t="e">
        <f t="shared" si="8"/>
        <v>#DIV/0!</v>
      </c>
      <c r="AG39" s="175" t="e">
        <f t="shared" si="8"/>
        <v>#DIV/0!</v>
      </c>
      <c r="AH39" s="175" t="e">
        <f t="shared" si="8"/>
        <v>#DIV/0!</v>
      </c>
      <c r="AI39" s="175" t="e">
        <f t="shared" si="8"/>
        <v>#DIV/0!</v>
      </c>
      <c r="AJ39" s="175" t="e">
        <f t="shared" si="8"/>
        <v>#DIV/0!</v>
      </c>
      <c r="AK39" s="175" t="e">
        <f t="shared" si="8"/>
        <v>#DIV/0!</v>
      </c>
      <c r="AL39" s="175" t="e">
        <f t="shared" si="8"/>
        <v>#DIV/0!</v>
      </c>
      <c r="AM39" s="175" t="e">
        <f t="shared" si="8"/>
        <v>#DIV/0!</v>
      </c>
      <c r="AN39" s="175" t="e">
        <f t="shared" si="8"/>
        <v>#DIV/0!</v>
      </c>
    </row>
    <row r="40" spans="2:40" x14ac:dyDescent="0.15">
      <c r="B40" s="424"/>
      <c r="C40" s="133" t="s">
        <v>1172</v>
      </c>
      <c r="D40" s="98">
        <f>SUMIFS('caseload data'!E:E,'caseload data'!$D:$D,"PSO",'caseload data'!$A:$A,"South West")</f>
        <v>0</v>
      </c>
      <c r="E40" s="98">
        <f>SUMIFS('caseload data'!F:F,'caseload data'!$D:$D,"PSO",'caseload data'!$A:$A,"South West")</f>
        <v>0</v>
      </c>
      <c r="F40" s="98">
        <f>SUMIFS('caseload data'!G:G,'caseload data'!$D:$D,"PSO",'caseload data'!$A:$A,"South West")</f>
        <v>0</v>
      </c>
      <c r="G40" s="98">
        <f>SUMIFS('caseload data'!H:H,'caseload data'!$D:$D,"PSO",'caseload data'!$A:$A,"South West")</f>
        <v>0</v>
      </c>
      <c r="H40" s="98">
        <f>SUMIFS('caseload data'!I:I,'caseload data'!$D:$D,"PSO",'caseload data'!$A:$A,"South West")</f>
        <v>0</v>
      </c>
      <c r="I40" s="98">
        <f>SUMIFS('caseload data'!J:J,'caseload data'!$D:$D,"PSO",'caseload data'!$A:$A,"South West")</f>
        <v>0</v>
      </c>
      <c r="J40" s="98">
        <f>SUMIFS('caseload data'!K:K,'caseload data'!$D:$D,"PSO",'caseload data'!$A:$A,"South West")</f>
        <v>0</v>
      </c>
      <c r="K40" s="98">
        <f>SUMIFS('caseload data'!L:L,'caseload data'!$D:$D,"PSO",'caseload data'!$A:$A,"South West")</f>
        <v>0</v>
      </c>
      <c r="L40" s="98">
        <f>SUMIFS('caseload data'!M:M,'caseload data'!$D:$D,"PSO",'caseload data'!$A:$A,"South West")</f>
        <v>0</v>
      </c>
      <c r="M40" s="98">
        <f>SUMIFS('caseload data'!N:N,'caseload data'!$D:$D,"PSO",'caseload data'!$A:$A,"South West")</f>
        <v>0</v>
      </c>
      <c r="N40" s="98">
        <f>SUMIFS('caseload data'!O:O,'caseload data'!$D:$D,"PSO",'caseload data'!$A:$A,"South West")</f>
        <v>0</v>
      </c>
      <c r="O40" s="98">
        <f>SUMIFS('caseload data'!P:P,'caseload data'!$D:$D,"PSO",'caseload data'!$A:$A,"South West")</f>
        <v>0</v>
      </c>
      <c r="P40" s="98">
        <f>SUMIFS('caseload data'!Q:Q,'caseload data'!$D:$D,"PSO",'caseload data'!$A:$A,"South West")</f>
        <v>0</v>
      </c>
      <c r="Q40" s="98">
        <f>SUMIFS('caseload data'!R:R,'caseload data'!$D:$D,"PSO",'caseload data'!$A:$A,"South West")</f>
        <v>0</v>
      </c>
      <c r="R40" s="98">
        <f>SUMIFS('caseload data'!S:S,'caseload data'!$D:$D,"PSO",'caseload data'!$A:$A,"South West")</f>
        <v>0</v>
      </c>
      <c r="S40" s="98">
        <f>SUMIFS('caseload data'!T:T,'caseload data'!$D:$D,"PSO",'caseload data'!$A:$A,"South West")</f>
        <v>0</v>
      </c>
      <c r="T40" s="98">
        <f>SUMIFS('caseload data'!V:V,'caseload data'!$D:$D,"PSO",'caseload data'!$A:$A,"South West")</f>
        <v>0</v>
      </c>
      <c r="U40" s="68"/>
      <c r="V40" s="68"/>
      <c r="W40" s="424"/>
      <c r="X40" s="133" t="s">
        <v>1172</v>
      </c>
      <c r="Y40" s="175" t="e">
        <f>SUM(D40)/SUM(D$39:D$42)</f>
        <v>#DIV/0!</v>
      </c>
      <c r="Z40" s="175" t="e">
        <f t="shared" si="8"/>
        <v>#DIV/0!</v>
      </c>
      <c r="AA40" s="175" t="e">
        <f t="shared" si="8"/>
        <v>#DIV/0!</v>
      </c>
      <c r="AB40" s="175" t="e">
        <f t="shared" si="8"/>
        <v>#DIV/0!</v>
      </c>
      <c r="AC40" s="175" t="e">
        <f t="shared" si="8"/>
        <v>#DIV/0!</v>
      </c>
      <c r="AD40" s="175" t="e">
        <f t="shared" si="8"/>
        <v>#DIV/0!</v>
      </c>
      <c r="AE40" s="175" t="e">
        <f t="shared" si="8"/>
        <v>#DIV/0!</v>
      </c>
      <c r="AF40" s="175" t="e">
        <f t="shared" si="8"/>
        <v>#DIV/0!</v>
      </c>
      <c r="AG40" s="175" t="e">
        <f t="shared" si="8"/>
        <v>#DIV/0!</v>
      </c>
      <c r="AH40" s="175" t="e">
        <f t="shared" si="8"/>
        <v>#DIV/0!</v>
      </c>
      <c r="AI40" s="175" t="e">
        <f t="shared" si="8"/>
        <v>#DIV/0!</v>
      </c>
      <c r="AJ40" s="175" t="e">
        <f t="shared" si="8"/>
        <v>#DIV/0!</v>
      </c>
      <c r="AK40" s="175" t="e">
        <f t="shared" si="8"/>
        <v>#DIV/0!</v>
      </c>
      <c r="AL40" s="175" t="e">
        <f t="shared" si="8"/>
        <v>#DIV/0!</v>
      </c>
      <c r="AM40" s="175" t="e">
        <f t="shared" si="8"/>
        <v>#DIV/0!</v>
      </c>
      <c r="AN40" s="175" t="e">
        <f t="shared" si="8"/>
        <v>#DIV/0!</v>
      </c>
    </row>
    <row r="41" spans="2:40" x14ac:dyDescent="0.15">
      <c r="B41" s="424"/>
      <c r="C41" s="133" t="s">
        <v>1173</v>
      </c>
      <c r="D41" s="98">
        <f>SUMIFS('caseload data'!E:E,'caseload data'!$D:$D,"TPO",'caseload data'!$A:$A,"South West")</f>
        <v>0</v>
      </c>
      <c r="E41" s="98">
        <f>SUMIFS('caseload data'!F:F,'caseload data'!$D:$D,"TPO",'caseload data'!$A:$A,"South West")</f>
        <v>0</v>
      </c>
      <c r="F41" s="98">
        <f>SUMIFS('caseload data'!G:G,'caseload data'!$D:$D,"TPO",'caseload data'!$A:$A,"South West")</f>
        <v>0</v>
      </c>
      <c r="G41" s="98">
        <f>SUMIFS('caseload data'!H:H,'caseload data'!$D:$D,"TPO",'caseload data'!$A:$A,"South West")</f>
        <v>0</v>
      </c>
      <c r="H41" s="98">
        <f>SUMIFS('caseload data'!I:I,'caseload data'!$D:$D,"TPO",'caseload data'!$A:$A,"South West")</f>
        <v>0</v>
      </c>
      <c r="I41" s="98">
        <f>SUMIFS('caseload data'!J:J,'caseload data'!$D:$D,"TPO",'caseload data'!$A:$A,"South West")</f>
        <v>0</v>
      </c>
      <c r="J41" s="98">
        <f>SUMIFS('caseload data'!K:K,'caseload data'!$D:$D,"TPO",'caseload data'!$A:$A,"South West")</f>
        <v>0</v>
      </c>
      <c r="K41" s="98">
        <f>SUMIFS('caseload data'!L:L,'caseload data'!$D:$D,"TPO",'caseload data'!$A:$A,"South West")</f>
        <v>0</v>
      </c>
      <c r="L41" s="98">
        <f>SUMIFS('caseload data'!M:M,'caseload data'!$D:$D,"TPO",'caseload data'!$A:$A,"South West")</f>
        <v>0</v>
      </c>
      <c r="M41" s="98">
        <f>SUMIFS('caseload data'!N:N,'caseload data'!$D:$D,"TPO",'caseload data'!$A:$A,"South West")</f>
        <v>0</v>
      </c>
      <c r="N41" s="98">
        <f>SUMIFS('caseload data'!O:O,'caseload data'!$D:$D,"TPO",'caseload data'!$A:$A,"South West")</f>
        <v>0</v>
      </c>
      <c r="O41" s="98">
        <f>SUMIFS('caseload data'!P:P,'caseload data'!$D:$D,"TPO",'caseload data'!$A:$A,"South West")</f>
        <v>0</v>
      </c>
      <c r="P41" s="98">
        <f>SUMIFS('caseload data'!Q:Q,'caseload data'!$D:$D,"TPO",'caseload data'!$A:$A,"South West")</f>
        <v>0</v>
      </c>
      <c r="Q41" s="98">
        <f>SUMIFS('caseload data'!R:R,'caseload data'!$D:$D,"TPO",'caseload data'!$A:$A,"South West")</f>
        <v>0</v>
      </c>
      <c r="R41" s="98">
        <f>SUMIFS('caseload data'!S:S,'caseload data'!$D:$D,"TPO",'caseload data'!$A:$A,"South West")</f>
        <v>0</v>
      </c>
      <c r="S41" s="98">
        <f>SUMIFS('caseload data'!T:T,'caseload data'!$D:$D,"TPO",'caseload data'!$A:$A,"South West")</f>
        <v>0</v>
      </c>
      <c r="T41" s="98">
        <f>SUMIFS('caseload data'!V:V,'caseload data'!$D:$D,"TPO",'caseload data'!$A:$A,"South West")</f>
        <v>0</v>
      </c>
      <c r="U41" s="68"/>
      <c r="V41" s="68"/>
      <c r="W41" s="424"/>
      <c r="X41" s="133" t="s">
        <v>1173</v>
      </c>
      <c r="Y41" s="175" t="e">
        <f>SUM(D41)/SUM(D$39:D$42)</f>
        <v>#DIV/0!</v>
      </c>
      <c r="Z41" s="175" t="e">
        <f t="shared" si="8"/>
        <v>#DIV/0!</v>
      </c>
      <c r="AA41" s="175" t="e">
        <f t="shared" si="8"/>
        <v>#DIV/0!</v>
      </c>
      <c r="AB41" s="175" t="e">
        <f t="shared" si="8"/>
        <v>#DIV/0!</v>
      </c>
      <c r="AC41" s="175" t="e">
        <f t="shared" si="8"/>
        <v>#DIV/0!</v>
      </c>
      <c r="AD41" s="175" t="e">
        <f t="shared" si="8"/>
        <v>#DIV/0!</v>
      </c>
      <c r="AE41" s="175" t="e">
        <f t="shared" si="8"/>
        <v>#DIV/0!</v>
      </c>
      <c r="AF41" s="175" t="e">
        <f t="shared" si="8"/>
        <v>#DIV/0!</v>
      </c>
      <c r="AG41" s="175" t="e">
        <f t="shared" si="8"/>
        <v>#DIV/0!</v>
      </c>
      <c r="AH41" s="175" t="e">
        <f t="shared" si="8"/>
        <v>#DIV/0!</v>
      </c>
      <c r="AI41" s="175" t="e">
        <f t="shared" si="8"/>
        <v>#DIV/0!</v>
      </c>
      <c r="AJ41" s="175" t="e">
        <f t="shared" si="8"/>
        <v>#DIV/0!</v>
      </c>
      <c r="AK41" s="175" t="e">
        <f t="shared" si="8"/>
        <v>#DIV/0!</v>
      </c>
      <c r="AL41" s="175" t="e">
        <f t="shared" si="8"/>
        <v>#DIV/0!</v>
      </c>
      <c r="AM41" s="175" t="e">
        <f t="shared" si="8"/>
        <v>#DIV/0!</v>
      </c>
      <c r="AN41" s="175" t="e">
        <f t="shared" si="8"/>
        <v>#DIV/0!</v>
      </c>
    </row>
    <row r="42" spans="2:40" x14ac:dyDescent="0.15">
      <c r="B42" s="425"/>
      <c r="C42" s="134" t="s">
        <v>1174</v>
      </c>
      <c r="D42" s="98">
        <f>SUMIFS('caseload data'!E:E,'caseload data'!$D:$D,"SPO",'caseload data'!$A:$A,"South West")</f>
        <v>0</v>
      </c>
      <c r="E42" s="98">
        <f>SUMIFS('caseload data'!F:F,'caseload data'!$D:$D,"SPO",'caseload data'!$A:$A,"South West")</f>
        <v>0</v>
      </c>
      <c r="F42" s="98">
        <f>SUMIFS('caseload data'!G:G,'caseload data'!$D:$D,"SPO",'caseload data'!$A:$A,"South West")</f>
        <v>0</v>
      </c>
      <c r="G42" s="98">
        <f>SUMIFS('caseload data'!H:H,'caseload data'!$D:$D,"SPO",'caseload data'!$A:$A,"South West")</f>
        <v>0</v>
      </c>
      <c r="H42" s="98">
        <f>SUMIFS('caseload data'!I:I,'caseload data'!$D:$D,"SPO",'caseload data'!$A:$A,"South West")</f>
        <v>0</v>
      </c>
      <c r="I42" s="98">
        <f>SUMIFS('caseload data'!J:J,'caseload data'!$D:$D,"SPO",'caseload data'!$A:$A,"South West")</f>
        <v>0</v>
      </c>
      <c r="J42" s="98">
        <f>SUMIFS('caseload data'!K:K,'caseload data'!$D:$D,"SPO",'caseload data'!$A:$A,"South West")</f>
        <v>0</v>
      </c>
      <c r="K42" s="98">
        <f>SUMIFS('caseload data'!L:L,'caseload data'!$D:$D,"SPO",'caseload data'!$A:$A,"South West")</f>
        <v>0</v>
      </c>
      <c r="L42" s="98">
        <f>SUMIFS('caseload data'!M:M,'caseload data'!$D:$D,"SPO",'caseload data'!$A:$A,"South West")</f>
        <v>0</v>
      </c>
      <c r="M42" s="98">
        <f>SUMIFS('caseload data'!N:N,'caseload data'!$D:$D,"SPO",'caseload data'!$A:$A,"South West")</f>
        <v>0</v>
      </c>
      <c r="N42" s="98">
        <f>SUMIFS('caseload data'!O:O,'caseload data'!$D:$D,"SPO",'caseload data'!$A:$A,"South West")</f>
        <v>0</v>
      </c>
      <c r="O42" s="98">
        <f>SUMIFS('caseload data'!P:P,'caseload data'!$D:$D,"SPO",'caseload data'!$A:$A,"South West")</f>
        <v>0</v>
      </c>
      <c r="P42" s="98">
        <f>SUMIFS('caseload data'!Q:Q,'caseload data'!$D:$D,"SPO",'caseload data'!$A:$A,"South West")</f>
        <v>0</v>
      </c>
      <c r="Q42" s="98">
        <f>SUMIFS('caseload data'!R:R,'caseload data'!$D:$D,"SPO",'caseload data'!$A:$A,"South West")</f>
        <v>0</v>
      </c>
      <c r="R42" s="98">
        <f>SUMIFS('caseload data'!S:S,'caseload data'!$D:$D,"SPO",'caseload data'!$A:$A,"South West")</f>
        <v>0</v>
      </c>
      <c r="S42" s="98">
        <f>SUMIFS('caseload data'!T:T,'caseload data'!$D:$D,"SPO",'caseload data'!$A:$A,"South West")</f>
        <v>0</v>
      </c>
      <c r="T42" s="98">
        <f>SUMIFS('caseload data'!V:V,'caseload data'!$D:$D,"SPO",'caseload data'!$A:$A,"South West")</f>
        <v>0</v>
      </c>
      <c r="U42" s="68"/>
      <c r="V42" s="68"/>
      <c r="W42" s="425"/>
      <c r="X42" s="134" t="s">
        <v>1174</v>
      </c>
      <c r="Y42" s="175" t="e">
        <f>SUM(D42)/SUM(D$39:D$42)</f>
        <v>#DIV/0!</v>
      </c>
      <c r="Z42" s="175" t="e">
        <f t="shared" si="8"/>
        <v>#DIV/0!</v>
      </c>
      <c r="AA42" s="175" t="e">
        <f t="shared" si="8"/>
        <v>#DIV/0!</v>
      </c>
      <c r="AB42" s="175" t="e">
        <f t="shared" si="8"/>
        <v>#DIV/0!</v>
      </c>
      <c r="AC42" s="175" t="e">
        <f t="shared" si="8"/>
        <v>#DIV/0!</v>
      </c>
      <c r="AD42" s="175" t="e">
        <f t="shared" si="8"/>
        <v>#DIV/0!</v>
      </c>
      <c r="AE42" s="175" t="e">
        <f t="shared" si="8"/>
        <v>#DIV/0!</v>
      </c>
      <c r="AF42" s="175" t="e">
        <f t="shared" si="8"/>
        <v>#DIV/0!</v>
      </c>
      <c r="AG42" s="175" t="e">
        <f t="shared" si="8"/>
        <v>#DIV/0!</v>
      </c>
      <c r="AH42" s="175" t="e">
        <f t="shared" si="8"/>
        <v>#DIV/0!</v>
      </c>
      <c r="AI42" s="175" t="e">
        <f t="shared" si="8"/>
        <v>#DIV/0!</v>
      </c>
      <c r="AJ42" s="175" t="e">
        <f t="shared" si="8"/>
        <v>#DIV/0!</v>
      </c>
      <c r="AK42" s="175" t="e">
        <f t="shared" si="8"/>
        <v>#DIV/0!</v>
      </c>
      <c r="AL42" s="175" t="e">
        <f t="shared" si="8"/>
        <v>#DIV/0!</v>
      </c>
      <c r="AM42" s="175" t="e">
        <f t="shared" si="8"/>
        <v>#DIV/0!</v>
      </c>
      <c r="AN42" s="175" t="e">
        <f t="shared" si="8"/>
        <v>#DIV/0!</v>
      </c>
    </row>
    <row r="43" spans="2:40" x14ac:dyDescent="0.15">
      <c r="B43" s="423" t="s">
        <v>32</v>
      </c>
      <c r="C43" s="132" t="s">
        <v>1166</v>
      </c>
      <c r="D43" s="98">
        <f>SUMIFS('caseload data'!E:E,'caseload data'!$D:$D,"PO",'caseload data'!$A:$A,$B$43)</f>
        <v>0</v>
      </c>
      <c r="E43" s="98">
        <f>SUMIFS('caseload data'!F:F,'caseload data'!$D:$D,"PO",'caseload data'!$A:$A,$B$43)</f>
        <v>0</v>
      </c>
      <c r="F43" s="98">
        <f>SUMIFS('caseload data'!G:G,'caseload data'!$D:$D,"PO",'caseload data'!$A:$A,$B$43)</f>
        <v>0</v>
      </c>
      <c r="G43" s="98">
        <f>SUMIFS('caseload data'!H:H,'caseload data'!$D:$D,"PO",'caseload data'!$A:$A,$B$43)</f>
        <v>0</v>
      </c>
      <c r="H43" s="98">
        <f>SUMIFS('caseload data'!I:I,'caseload data'!$D:$D,"PO",'caseload data'!$A:$A,$B$43)</f>
        <v>0</v>
      </c>
      <c r="I43" s="98">
        <f>SUMIFS('caseload data'!J:J,'caseload data'!$D:$D,"PO",'caseload data'!$A:$A,$B$43)</f>
        <v>0</v>
      </c>
      <c r="J43" s="98">
        <f>SUMIFS('caseload data'!K:K,'caseload data'!$D:$D,"PO",'caseload data'!$A:$A,$B$43)</f>
        <v>0</v>
      </c>
      <c r="K43" s="98">
        <f>SUMIFS('caseload data'!L:L,'caseload data'!$D:$D,"PO",'caseload data'!$A:$A,$B$43)</f>
        <v>0</v>
      </c>
      <c r="L43" s="98">
        <f>SUMIFS('caseload data'!M:M,'caseload data'!$D:$D,"PO",'caseload data'!$A:$A,$B$43)</f>
        <v>0</v>
      </c>
      <c r="M43" s="98">
        <f>SUMIFS('caseload data'!N:N,'caseload data'!$D:$D,"PO",'caseload data'!$A:$A,$B$43)</f>
        <v>0</v>
      </c>
      <c r="N43" s="98">
        <f>SUMIFS('caseload data'!O:O,'caseload data'!$D:$D,"PO",'caseload data'!$A:$A,$B$43)</f>
        <v>0</v>
      </c>
      <c r="O43" s="98">
        <f>SUMIFS('caseload data'!P:P,'caseload data'!$D:$D,"PO",'caseload data'!$A:$A,$B$43)</f>
        <v>0</v>
      </c>
      <c r="P43" s="98">
        <f>SUMIFS('caseload data'!Q:Q,'caseload data'!$D:$D,"PO",'caseload data'!$A:$A,$B$43)</f>
        <v>0</v>
      </c>
      <c r="Q43" s="98">
        <f>SUMIFS('caseload data'!R:R,'caseload data'!$D:$D,"PO",'caseload data'!$A:$A,$B$43)</f>
        <v>0</v>
      </c>
      <c r="R43" s="98">
        <f>SUMIFS('caseload data'!S:S,'caseload data'!$D:$D,"PO",'caseload data'!$A:$A,$B$43)</f>
        <v>0</v>
      </c>
      <c r="S43" s="98">
        <f>SUMIFS('caseload data'!T:T,'caseload data'!$D:$D,"PO",'caseload data'!$A:$A,$B$43)</f>
        <v>0</v>
      </c>
      <c r="T43" s="98">
        <f>SUMIFS('caseload data'!V:V,'caseload data'!$D:$D,"PO",'caseload data'!$A:$A,B43)</f>
        <v>0</v>
      </c>
      <c r="U43" s="68"/>
      <c r="V43" s="68"/>
      <c r="W43" s="423" t="s">
        <v>32</v>
      </c>
      <c r="X43" s="132" t="s">
        <v>1166</v>
      </c>
      <c r="Y43" s="175" t="e">
        <f>SUM(D43)/SUM(D$43:D$46)</f>
        <v>#DIV/0!</v>
      </c>
      <c r="Z43" s="175" t="e">
        <f t="shared" ref="Z43:AN46" si="9">SUM(E43)/SUM(E$43:E$46)</f>
        <v>#DIV/0!</v>
      </c>
      <c r="AA43" s="175" t="e">
        <f t="shared" si="9"/>
        <v>#DIV/0!</v>
      </c>
      <c r="AB43" s="175" t="e">
        <f t="shared" si="9"/>
        <v>#DIV/0!</v>
      </c>
      <c r="AC43" s="175" t="e">
        <f t="shared" si="9"/>
        <v>#DIV/0!</v>
      </c>
      <c r="AD43" s="175" t="e">
        <f t="shared" si="9"/>
        <v>#DIV/0!</v>
      </c>
      <c r="AE43" s="175" t="e">
        <f t="shared" si="9"/>
        <v>#DIV/0!</v>
      </c>
      <c r="AF43" s="175" t="e">
        <f t="shared" si="9"/>
        <v>#DIV/0!</v>
      </c>
      <c r="AG43" s="175" t="e">
        <f t="shared" si="9"/>
        <v>#DIV/0!</v>
      </c>
      <c r="AH43" s="175" t="e">
        <f t="shared" si="9"/>
        <v>#DIV/0!</v>
      </c>
      <c r="AI43" s="175" t="e">
        <f t="shared" si="9"/>
        <v>#DIV/0!</v>
      </c>
      <c r="AJ43" s="175" t="e">
        <f t="shared" si="9"/>
        <v>#DIV/0!</v>
      </c>
      <c r="AK43" s="175" t="e">
        <f t="shared" si="9"/>
        <v>#DIV/0!</v>
      </c>
      <c r="AL43" s="175" t="e">
        <f t="shared" si="9"/>
        <v>#DIV/0!</v>
      </c>
      <c r="AM43" s="175" t="e">
        <f t="shared" si="9"/>
        <v>#DIV/0!</v>
      </c>
      <c r="AN43" s="175" t="e">
        <f t="shared" si="9"/>
        <v>#DIV/0!</v>
      </c>
    </row>
    <row r="44" spans="2:40" x14ac:dyDescent="0.15">
      <c r="B44" s="424"/>
      <c r="C44" s="133" t="s">
        <v>1172</v>
      </c>
      <c r="D44" s="98">
        <f>SUMIFS('caseload data'!E:E,'caseload data'!$D:$D,"PSO",'caseload data'!$A:$A,"Wales")</f>
        <v>0</v>
      </c>
      <c r="E44" s="98">
        <f>SUMIFS('caseload data'!F:F,'caseload data'!$D:$D,"PSO",'caseload data'!$A:$A,"Wales")</f>
        <v>0</v>
      </c>
      <c r="F44" s="98">
        <f>SUMIFS('caseload data'!G:G,'caseload data'!$D:$D,"PSO",'caseload data'!$A:$A,"Wales")</f>
        <v>0</v>
      </c>
      <c r="G44" s="98">
        <f>SUMIFS('caseload data'!H:H,'caseload data'!$D:$D,"PSO",'caseload data'!$A:$A,"Wales")</f>
        <v>0</v>
      </c>
      <c r="H44" s="98">
        <f>SUMIFS('caseload data'!I:I,'caseload data'!$D:$D,"PSO",'caseload data'!$A:$A,"Wales")</f>
        <v>0</v>
      </c>
      <c r="I44" s="98">
        <f>SUMIFS('caseload data'!J:J,'caseload data'!$D:$D,"PSO",'caseload data'!$A:$A,"Wales")</f>
        <v>0</v>
      </c>
      <c r="J44" s="98">
        <f>SUMIFS('caseload data'!K:K,'caseload data'!$D:$D,"PSO",'caseload data'!$A:$A,"Wales")</f>
        <v>0</v>
      </c>
      <c r="K44" s="98">
        <f>SUMIFS('caseload data'!L:L,'caseload data'!$D:$D,"PSO",'caseload data'!$A:$A,"Wales")</f>
        <v>0</v>
      </c>
      <c r="L44" s="98">
        <f>SUMIFS('caseload data'!M:M,'caseload data'!$D:$D,"PSO",'caseload data'!$A:$A,"Wales")</f>
        <v>0</v>
      </c>
      <c r="M44" s="98">
        <f>SUMIFS('caseload data'!N:N,'caseload data'!$D:$D,"PSO",'caseload data'!$A:$A,"Wales")</f>
        <v>0</v>
      </c>
      <c r="N44" s="98">
        <f>SUMIFS('caseload data'!O:O,'caseload data'!$D:$D,"PSO",'caseload data'!$A:$A,"Wales")</f>
        <v>0</v>
      </c>
      <c r="O44" s="98">
        <f>SUMIFS('caseload data'!P:P,'caseload data'!$D:$D,"PSO",'caseload data'!$A:$A,"Wales")</f>
        <v>0</v>
      </c>
      <c r="P44" s="98">
        <f>SUMIFS('caseload data'!Q:Q,'caseload data'!$D:$D,"PSO",'caseload data'!$A:$A,"Wales")</f>
        <v>0</v>
      </c>
      <c r="Q44" s="98">
        <f>SUMIFS('caseload data'!R:R,'caseload data'!$D:$D,"PSO",'caseload data'!$A:$A,"Wales")</f>
        <v>0</v>
      </c>
      <c r="R44" s="98">
        <f>SUMIFS('caseload data'!S:S,'caseload data'!$D:$D,"PSO",'caseload data'!$A:$A,"Wales")</f>
        <v>0</v>
      </c>
      <c r="S44" s="98">
        <f>SUMIFS('caseload data'!T:T,'caseload data'!$D:$D,"PSO",'caseload data'!$A:$A,"Wales")</f>
        <v>0</v>
      </c>
      <c r="T44" s="98">
        <f>SUMIFS('caseload data'!V:V,'caseload data'!$D:$D,"PSO",'caseload data'!$A:$A,"Wales")</f>
        <v>0</v>
      </c>
      <c r="U44" s="68"/>
      <c r="V44" s="68"/>
      <c r="W44" s="424"/>
      <c r="X44" s="133" t="s">
        <v>1172</v>
      </c>
      <c r="Y44" s="175" t="e">
        <f>SUM(D44)/SUM(D$43:D$46)</f>
        <v>#DIV/0!</v>
      </c>
      <c r="Z44" s="175" t="e">
        <f t="shared" si="9"/>
        <v>#DIV/0!</v>
      </c>
      <c r="AA44" s="175" t="e">
        <f t="shared" si="9"/>
        <v>#DIV/0!</v>
      </c>
      <c r="AB44" s="175" t="e">
        <f t="shared" si="9"/>
        <v>#DIV/0!</v>
      </c>
      <c r="AC44" s="175" t="e">
        <f t="shared" si="9"/>
        <v>#DIV/0!</v>
      </c>
      <c r="AD44" s="175" t="e">
        <f t="shared" si="9"/>
        <v>#DIV/0!</v>
      </c>
      <c r="AE44" s="175" t="e">
        <f t="shared" si="9"/>
        <v>#DIV/0!</v>
      </c>
      <c r="AF44" s="175" t="e">
        <f t="shared" si="9"/>
        <v>#DIV/0!</v>
      </c>
      <c r="AG44" s="175" t="e">
        <f t="shared" si="9"/>
        <v>#DIV/0!</v>
      </c>
      <c r="AH44" s="175" t="e">
        <f t="shared" si="9"/>
        <v>#DIV/0!</v>
      </c>
      <c r="AI44" s="175" t="e">
        <f t="shared" si="9"/>
        <v>#DIV/0!</v>
      </c>
      <c r="AJ44" s="175" t="e">
        <f t="shared" si="9"/>
        <v>#DIV/0!</v>
      </c>
      <c r="AK44" s="175" t="e">
        <f t="shared" si="9"/>
        <v>#DIV/0!</v>
      </c>
      <c r="AL44" s="175" t="e">
        <f t="shared" si="9"/>
        <v>#DIV/0!</v>
      </c>
      <c r="AM44" s="175" t="e">
        <f t="shared" si="9"/>
        <v>#DIV/0!</v>
      </c>
      <c r="AN44" s="175" t="e">
        <f t="shared" si="9"/>
        <v>#DIV/0!</v>
      </c>
    </row>
    <row r="45" spans="2:40" x14ac:dyDescent="0.15">
      <c r="B45" s="424"/>
      <c r="C45" s="133" t="s">
        <v>1173</v>
      </c>
      <c r="D45" s="98">
        <f>SUMIFS('caseload data'!E:E,'caseload data'!$D:$D,"TPO",'caseload data'!$A:$A,"Wales")</f>
        <v>0</v>
      </c>
      <c r="E45" s="98">
        <f>SUMIFS('caseload data'!F:F,'caseload data'!$D:$D,"TPO",'caseload data'!$A:$A,"Wales")</f>
        <v>0</v>
      </c>
      <c r="F45" s="98">
        <f>SUMIFS('caseload data'!G:G,'caseload data'!$D:$D,"TPO",'caseload data'!$A:$A,"Wales")</f>
        <v>0</v>
      </c>
      <c r="G45" s="98">
        <f>SUMIFS('caseload data'!H:H,'caseload data'!$D:$D,"TPO",'caseload data'!$A:$A,"Wales")</f>
        <v>0</v>
      </c>
      <c r="H45" s="98">
        <f>SUMIFS('caseload data'!I:I,'caseload data'!$D:$D,"TPO",'caseload data'!$A:$A,"Wales")</f>
        <v>0</v>
      </c>
      <c r="I45" s="98">
        <f>SUMIFS('caseload data'!J:J,'caseload data'!$D:$D,"TPO",'caseload data'!$A:$A,"Wales")</f>
        <v>0</v>
      </c>
      <c r="J45" s="98">
        <f>SUMIFS('caseload data'!K:K,'caseload data'!$D:$D,"TPO",'caseload data'!$A:$A,"Wales")</f>
        <v>0</v>
      </c>
      <c r="K45" s="98">
        <f>SUMIFS('caseload data'!L:L,'caseload data'!$D:$D,"TPO",'caseload data'!$A:$A,"Wales")</f>
        <v>0</v>
      </c>
      <c r="L45" s="98">
        <f>SUMIFS('caseload data'!M:M,'caseload data'!$D:$D,"TPO",'caseload data'!$A:$A,"Wales")</f>
        <v>0</v>
      </c>
      <c r="M45" s="98">
        <f>SUMIFS('caseload data'!N:N,'caseload data'!$D:$D,"TPO",'caseload data'!$A:$A,"Wales")</f>
        <v>0</v>
      </c>
      <c r="N45" s="98">
        <f>SUMIFS('caseload data'!O:O,'caseload data'!$D:$D,"TPO",'caseload data'!$A:$A,"Wales")</f>
        <v>0</v>
      </c>
      <c r="O45" s="98">
        <f>SUMIFS('caseload data'!P:P,'caseload data'!$D:$D,"TPO",'caseload data'!$A:$A,"Wales")</f>
        <v>0</v>
      </c>
      <c r="P45" s="98">
        <f>SUMIFS('caseload data'!Q:Q,'caseload data'!$D:$D,"TPO",'caseload data'!$A:$A,"Wales")</f>
        <v>0</v>
      </c>
      <c r="Q45" s="98">
        <f>SUMIFS('caseload data'!R:R,'caseload data'!$D:$D,"TPO",'caseload data'!$A:$A,"Wales")</f>
        <v>0</v>
      </c>
      <c r="R45" s="98">
        <f>SUMIFS('caseload data'!S:S,'caseload data'!$D:$D,"TPO",'caseload data'!$A:$A,"Wales")</f>
        <v>0</v>
      </c>
      <c r="S45" s="98">
        <f>SUMIFS('caseload data'!T:T,'caseload data'!$D:$D,"TPO",'caseload data'!$A:$A,"Wales")</f>
        <v>0</v>
      </c>
      <c r="T45" s="98">
        <f>SUMIFS('caseload data'!V:V,'caseload data'!$D:$D,"TPO",'caseload data'!$A:$A,"Wales")</f>
        <v>0</v>
      </c>
      <c r="U45" s="68"/>
      <c r="V45" s="68"/>
      <c r="W45" s="424"/>
      <c r="X45" s="133" t="s">
        <v>1173</v>
      </c>
      <c r="Y45" s="175" t="e">
        <f>SUM(D45)/SUM(D$43:D$46)</f>
        <v>#DIV/0!</v>
      </c>
      <c r="Z45" s="175" t="e">
        <f t="shared" si="9"/>
        <v>#DIV/0!</v>
      </c>
      <c r="AA45" s="175" t="e">
        <f t="shared" si="9"/>
        <v>#DIV/0!</v>
      </c>
      <c r="AB45" s="175" t="e">
        <f t="shared" si="9"/>
        <v>#DIV/0!</v>
      </c>
      <c r="AC45" s="175" t="e">
        <f t="shared" si="9"/>
        <v>#DIV/0!</v>
      </c>
      <c r="AD45" s="175" t="e">
        <f t="shared" si="9"/>
        <v>#DIV/0!</v>
      </c>
      <c r="AE45" s="175" t="e">
        <f t="shared" si="9"/>
        <v>#DIV/0!</v>
      </c>
      <c r="AF45" s="175" t="e">
        <f t="shared" si="9"/>
        <v>#DIV/0!</v>
      </c>
      <c r="AG45" s="175" t="e">
        <f t="shared" si="9"/>
        <v>#DIV/0!</v>
      </c>
      <c r="AH45" s="175" t="e">
        <f t="shared" si="9"/>
        <v>#DIV/0!</v>
      </c>
      <c r="AI45" s="175" t="e">
        <f t="shared" si="9"/>
        <v>#DIV/0!</v>
      </c>
      <c r="AJ45" s="175" t="e">
        <f t="shared" si="9"/>
        <v>#DIV/0!</v>
      </c>
      <c r="AK45" s="175" t="e">
        <f t="shared" si="9"/>
        <v>#DIV/0!</v>
      </c>
      <c r="AL45" s="175" t="e">
        <f t="shared" si="9"/>
        <v>#DIV/0!</v>
      </c>
      <c r="AM45" s="175" t="e">
        <f t="shared" si="9"/>
        <v>#DIV/0!</v>
      </c>
      <c r="AN45" s="175" t="e">
        <f t="shared" si="9"/>
        <v>#DIV/0!</v>
      </c>
    </row>
    <row r="46" spans="2:40" x14ac:dyDescent="0.15">
      <c r="B46" s="425"/>
      <c r="C46" s="134" t="s">
        <v>1174</v>
      </c>
      <c r="D46" s="98">
        <f>SUMIFS('caseload data'!E:E,'caseload data'!$D:$D,"SPO",'caseload data'!$A:$A,"Wales")</f>
        <v>0</v>
      </c>
      <c r="E46" s="98">
        <f>SUMIFS('caseload data'!F:F,'caseload data'!$D:$D,"SPO",'caseload data'!$A:$A,"Wales")</f>
        <v>0</v>
      </c>
      <c r="F46" s="98">
        <f>SUMIFS('caseload data'!G:G,'caseload data'!$D:$D,"SPO",'caseload data'!$A:$A,"Wales")</f>
        <v>0</v>
      </c>
      <c r="G46" s="98">
        <f>SUMIFS('caseload data'!H:H,'caseload data'!$D:$D,"SPO",'caseload data'!$A:$A,"Wales")</f>
        <v>0</v>
      </c>
      <c r="H46" s="98">
        <f>SUMIFS('caseload data'!I:I,'caseload data'!$D:$D,"SPO",'caseload data'!$A:$A,"Wales")</f>
        <v>0</v>
      </c>
      <c r="I46" s="98">
        <f>SUMIFS('caseload data'!J:J,'caseload data'!$D:$D,"SPO",'caseload data'!$A:$A,"Wales")</f>
        <v>0</v>
      </c>
      <c r="J46" s="98">
        <f>SUMIFS('caseload data'!K:K,'caseload data'!$D:$D,"SPO",'caseload data'!$A:$A,"Wales")</f>
        <v>0</v>
      </c>
      <c r="K46" s="98">
        <f>SUMIFS('caseload data'!L:L,'caseload data'!$D:$D,"SPO",'caseload data'!$A:$A,"Wales")</f>
        <v>0</v>
      </c>
      <c r="L46" s="98">
        <f>SUMIFS('caseload data'!M:M,'caseload data'!$D:$D,"SPO",'caseload data'!$A:$A,"Wales")</f>
        <v>0</v>
      </c>
      <c r="M46" s="98">
        <f>SUMIFS('caseload data'!N:N,'caseload data'!$D:$D,"SPO",'caseload data'!$A:$A,"Wales")</f>
        <v>0</v>
      </c>
      <c r="N46" s="98">
        <f>SUMIFS('caseload data'!O:O,'caseload data'!$D:$D,"SPO",'caseload data'!$A:$A,"Wales")</f>
        <v>0</v>
      </c>
      <c r="O46" s="98">
        <f>SUMIFS('caseload data'!P:P,'caseload data'!$D:$D,"SPO",'caseload data'!$A:$A,"Wales")</f>
        <v>0</v>
      </c>
      <c r="P46" s="98">
        <f>SUMIFS('caseload data'!Q:Q,'caseload data'!$D:$D,"SPO",'caseload data'!$A:$A,"Wales")</f>
        <v>0</v>
      </c>
      <c r="Q46" s="98">
        <f>SUMIFS('caseload data'!R:R,'caseload data'!$D:$D,"SPO",'caseload data'!$A:$A,"Wales")</f>
        <v>0</v>
      </c>
      <c r="R46" s="98">
        <f>SUMIFS('caseload data'!S:S,'caseload data'!$D:$D,"SPO",'caseload data'!$A:$A,"Wales")</f>
        <v>0</v>
      </c>
      <c r="S46" s="98">
        <f>SUMIFS('caseload data'!T:T,'caseload data'!$D:$D,"SPO",'caseload data'!$A:$A,"Wales")</f>
        <v>0</v>
      </c>
      <c r="T46" s="98">
        <f>SUMIFS('caseload data'!V:V,'caseload data'!$D:$D,"SPO",'caseload data'!$A:$A,"Wales")</f>
        <v>0</v>
      </c>
      <c r="U46" s="68"/>
      <c r="V46" s="68"/>
      <c r="W46" s="425"/>
      <c r="X46" s="134" t="s">
        <v>1174</v>
      </c>
      <c r="Y46" s="175" t="e">
        <f>SUM(D46)/SUM(D$43:D$46)</f>
        <v>#DIV/0!</v>
      </c>
      <c r="Z46" s="175" t="e">
        <f t="shared" si="9"/>
        <v>#DIV/0!</v>
      </c>
      <c r="AA46" s="175" t="e">
        <f t="shared" si="9"/>
        <v>#DIV/0!</v>
      </c>
      <c r="AB46" s="175" t="e">
        <f t="shared" si="9"/>
        <v>#DIV/0!</v>
      </c>
      <c r="AC46" s="175" t="e">
        <f t="shared" si="9"/>
        <v>#DIV/0!</v>
      </c>
      <c r="AD46" s="175" t="e">
        <f t="shared" si="9"/>
        <v>#DIV/0!</v>
      </c>
      <c r="AE46" s="175" t="e">
        <f t="shared" si="9"/>
        <v>#DIV/0!</v>
      </c>
      <c r="AF46" s="175" t="e">
        <f t="shared" si="9"/>
        <v>#DIV/0!</v>
      </c>
      <c r="AG46" s="175" t="e">
        <f t="shared" si="9"/>
        <v>#DIV/0!</v>
      </c>
      <c r="AH46" s="175" t="e">
        <f t="shared" si="9"/>
        <v>#DIV/0!</v>
      </c>
      <c r="AI46" s="175" t="e">
        <f t="shared" si="9"/>
        <v>#DIV/0!</v>
      </c>
      <c r="AJ46" s="175" t="e">
        <f t="shared" si="9"/>
        <v>#DIV/0!</v>
      </c>
      <c r="AK46" s="175" t="e">
        <f t="shared" si="9"/>
        <v>#DIV/0!</v>
      </c>
      <c r="AL46" s="175" t="e">
        <f t="shared" si="9"/>
        <v>#DIV/0!</v>
      </c>
      <c r="AM46" s="175" t="e">
        <f t="shared" si="9"/>
        <v>#DIV/0!</v>
      </c>
      <c r="AN46" s="175" t="e">
        <f t="shared" si="9"/>
        <v>#DIV/0!</v>
      </c>
    </row>
    <row r="47" spans="2:40" x14ac:dyDescent="0.15">
      <c r="B47" s="423" t="s">
        <v>33</v>
      </c>
      <c r="C47" s="132" t="s">
        <v>1166</v>
      </c>
      <c r="D47" s="98">
        <f>SUMIFS('caseload data'!E:E,'caseload data'!$D:$D,"PO",'caseload data'!$A:$A,$B$47)</f>
        <v>0</v>
      </c>
      <c r="E47" s="98">
        <f>SUMIFS('caseload data'!F:F,'caseload data'!$D:$D,"PO",'caseload data'!$A:$A,$B$47)</f>
        <v>0</v>
      </c>
      <c r="F47" s="98">
        <f>SUMIFS('caseload data'!G:G,'caseload data'!$D:$D,"PO",'caseload data'!$A:$A,$B$47)</f>
        <v>0</v>
      </c>
      <c r="G47" s="98">
        <f>SUMIFS('caseload data'!H:H,'caseload data'!$D:$D,"PO",'caseload data'!$A:$A,$B$47)</f>
        <v>0</v>
      </c>
      <c r="H47" s="98">
        <f>SUMIFS('caseload data'!I:I,'caseload data'!$D:$D,"PO",'caseload data'!$A:$A,$B$47)</f>
        <v>0</v>
      </c>
      <c r="I47" s="98">
        <f>SUMIFS('caseload data'!J:J,'caseload data'!$D:$D,"PO",'caseload data'!$A:$A,$B$47)</f>
        <v>0</v>
      </c>
      <c r="J47" s="98">
        <f>SUMIFS('caseload data'!K:K,'caseload data'!$D:$D,"PO",'caseload data'!$A:$A,$B$47)</f>
        <v>0</v>
      </c>
      <c r="K47" s="98">
        <f>SUMIFS('caseload data'!L:L,'caseload data'!$D:$D,"PO",'caseload data'!$A:$A,$B$47)</f>
        <v>0</v>
      </c>
      <c r="L47" s="98">
        <f>SUMIFS('caseload data'!M:M,'caseload data'!$D:$D,"PO",'caseload data'!$A:$A,$B$47)</f>
        <v>0</v>
      </c>
      <c r="M47" s="98">
        <f>SUMIFS('caseload data'!N:N,'caseload data'!$D:$D,"PO",'caseload data'!$A:$A,$B$47)</f>
        <v>0</v>
      </c>
      <c r="N47" s="98">
        <f>SUMIFS('caseload data'!O:O,'caseload data'!$D:$D,"PO",'caseload data'!$A:$A,$B$47)</f>
        <v>0</v>
      </c>
      <c r="O47" s="98">
        <f>SUMIFS('caseload data'!P:P,'caseload data'!$D:$D,"PO",'caseload data'!$A:$A,$B$47)</f>
        <v>0</v>
      </c>
      <c r="P47" s="98">
        <f>SUMIFS('caseload data'!Q:Q,'caseload data'!$D:$D,"PO",'caseload data'!$A:$A,$B$47)</f>
        <v>0</v>
      </c>
      <c r="Q47" s="98">
        <f>SUMIFS('caseload data'!R:R,'caseload data'!$D:$D,"PO",'caseload data'!$A:$A,$B$47)</f>
        <v>0</v>
      </c>
      <c r="R47" s="98">
        <f>SUMIFS('caseload data'!S:S,'caseload data'!$D:$D,"PO",'caseload data'!$A:$A,$B$47)</f>
        <v>0</v>
      </c>
      <c r="S47" s="98">
        <f>SUMIFS('caseload data'!T:T,'caseload data'!$D:$D,"PO",'caseload data'!$A:$A,$B$47)</f>
        <v>0</v>
      </c>
      <c r="T47" s="98">
        <f>SUMIFS('caseload data'!V:V,'caseload data'!$D:$D,"PO",'caseload data'!$A:$A,B47)</f>
        <v>0</v>
      </c>
      <c r="U47" s="68"/>
      <c r="V47" s="68"/>
      <c r="W47" s="423" t="s">
        <v>33</v>
      </c>
      <c r="X47" s="132" t="s">
        <v>1166</v>
      </c>
      <c r="Y47" s="175" t="e">
        <f>SUM(D47)/SUM(D$47:D$50)</f>
        <v>#DIV/0!</v>
      </c>
      <c r="Z47" s="175" t="e">
        <f t="shared" ref="Z47:AN50" si="10">SUM(E47)/SUM(E$47:E$50)</f>
        <v>#DIV/0!</v>
      </c>
      <c r="AA47" s="175" t="e">
        <f t="shared" si="10"/>
        <v>#DIV/0!</v>
      </c>
      <c r="AB47" s="175" t="e">
        <f t="shared" si="10"/>
        <v>#DIV/0!</v>
      </c>
      <c r="AC47" s="175" t="e">
        <f t="shared" si="10"/>
        <v>#DIV/0!</v>
      </c>
      <c r="AD47" s="175" t="e">
        <f t="shared" si="10"/>
        <v>#DIV/0!</v>
      </c>
      <c r="AE47" s="175" t="e">
        <f t="shared" si="10"/>
        <v>#DIV/0!</v>
      </c>
      <c r="AF47" s="175" t="e">
        <f t="shared" si="10"/>
        <v>#DIV/0!</v>
      </c>
      <c r="AG47" s="175" t="e">
        <f t="shared" si="10"/>
        <v>#DIV/0!</v>
      </c>
      <c r="AH47" s="175" t="e">
        <f t="shared" si="10"/>
        <v>#DIV/0!</v>
      </c>
      <c r="AI47" s="175" t="e">
        <f t="shared" si="10"/>
        <v>#DIV/0!</v>
      </c>
      <c r="AJ47" s="175" t="e">
        <f t="shared" si="10"/>
        <v>#DIV/0!</v>
      </c>
      <c r="AK47" s="175" t="e">
        <f t="shared" si="10"/>
        <v>#DIV/0!</v>
      </c>
      <c r="AL47" s="175" t="e">
        <f t="shared" si="10"/>
        <v>#DIV/0!</v>
      </c>
      <c r="AM47" s="175" t="e">
        <f t="shared" si="10"/>
        <v>#DIV/0!</v>
      </c>
      <c r="AN47" s="175" t="e">
        <f t="shared" si="10"/>
        <v>#DIV/0!</v>
      </c>
    </row>
    <row r="48" spans="2:40" x14ac:dyDescent="0.15">
      <c r="B48" s="424"/>
      <c r="C48" s="133" t="s">
        <v>1172</v>
      </c>
      <c r="D48" s="98">
        <f>SUMIFS('caseload data'!E:E,'caseload data'!$D:$D,"PSO",'caseload data'!$A:$A,"West Midlands Region")</f>
        <v>0</v>
      </c>
      <c r="E48" s="98">
        <f>SUMIFS('caseload data'!F:F,'caseload data'!$D:$D,"PSO",'caseload data'!$A:$A,"West Midlands Region")</f>
        <v>0</v>
      </c>
      <c r="F48" s="98">
        <f>SUMIFS('caseload data'!G:G,'caseload data'!$D:$D,"PSO",'caseload data'!$A:$A,"West Midlands Region")</f>
        <v>0</v>
      </c>
      <c r="G48" s="98">
        <f>SUMIFS('caseload data'!H:H,'caseload data'!$D:$D,"PSO",'caseload data'!$A:$A,"West Midlands Region")</f>
        <v>0</v>
      </c>
      <c r="H48" s="98">
        <f>SUMIFS('caseload data'!I:I,'caseload data'!$D:$D,"PSO",'caseload data'!$A:$A,"West Midlands Region")</f>
        <v>0</v>
      </c>
      <c r="I48" s="98">
        <f>SUMIFS('caseload data'!J:J,'caseload data'!$D:$D,"PSO",'caseload data'!$A:$A,"West Midlands Region")</f>
        <v>0</v>
      </c>
      <c r="J48" s="98">
        <f>SUMIFS('caseload data'!K:K,'caseload data'!$D:$D,"PSO",'caseload data'!$A:$A,"West Midlands Region")</f>
        <v>0</v>
      </c>
      <c r="K48" s="98">
        <f>SUMIFS('caseload data'!L:L,'caseload data'!$D:$D,"PSO",'caseload data'!$A:$A,"West Midlands Region")</f>
        <v>0</v>
      </c>
      <c r="L48" s="98">
        <f>SUMIFS('caseload data'!M:M,'caseload data'!$D:$D,"PSO",'caseload data'!$A:$A,"West Midlands Region")</f>
        <v>0</v>
      </c>
      <c r="M48" s="98">
        <f>SUMIFS('caseload data'!N:N,'caseload data'!$D:$D,"PSO",'caseload data'!$A:$A,"West Midlands Region")</f>
        <v>0</v>
      </c>
      <c r="N48" s="98">
        <f>SUMIFS('caseload data'!O:O,'caseload data'!$D:$D,"PSO",'caseload data'!$A:$A,"West Midlands Region")</f>
        <v>0</v>
      </c>
      <c r="O48" s="98">
        <f>SUMIFS('caseload data'!P:P,'caseload data'!$D:$D,"PSO",'caseload data'!$A:$A,"West Midlands Region")</f>
        <v>0</v>
      </c>
      <c r="P48" s="98">
        <f>SUMIFS('caseload data'!Q:Q,'caseload data'!$D:$D,"PSO",'caseload data'!$A:$A,"West Midlands Region")</f>
        <v>0</v>
      </c>
      <c r="Q48" s="98">
        <f>SUMIFS('caseload data'!R:R,'caseload data'!$D:$D,"PSO",'caseload data'!$A:$A,"West Midlands Region")</f>
        <v>0</v>
      </c>
      <c r="R48" s="98">
        <f>SUMIFS('caseload data'!S:S,'caseload data'!$D:$D,"PSO",'caseload data'!$A:$A,"West Midlands Region")</f>
        <v>0</v>
      </c>
      <c r="S48" s="98">
        <f>SUMIFS('caseload data'!T:T,'caseload data'!$D:$D,"PSO",'caseload data'!$A:$A,"West Midlands Region")</f>
        <v>0</v>
      </c>
      <c r="T48" s="98">
        <f>SUMIFS('caseload data'!V:V,'caseload data'!$D:$D,"PSO",'caseload data'!$A:$A,"West Midlands Region")</f>
        <v>0</v>
      </c>
      <c r="U48" s="68"/>
      <c r="V48" s="68"/>
      <c r="W48" s="424"/>
      <c r="X48" s="133" t="s">
        <v>1172</v>
      </c>
      <c r="Y48" s="175" t="e">
        <f>SUM(D48)/SUM(D$47:D$50)</f>
        <v>#DIV/0!</v>
      </c>
      <c r="Z48" s="175" t="e">
        <f t="shared" si="10"/>
        <v>#DIV/0!</v>
      </c>
      <c r="AA48" s="175" t="e">
        <f t="shared" si="10"/>
        <v>#DIV/0!</v>
      </c>
      <c r="AB48" s="175" t="e">
        <f t="shared" si="10"/>
        <v>#DIV/0!</v>
      </c>
      <c r="AC48" s="175" t="e">
        <f t="shared" si="10"/>
        <v>#DIV/0!</v>
      </c>
      <c r="AD48" s="175" t="e">
        <f t="shared" si="10"/>
        <v>#DIV/0!</v>
      </c>
      <c r="AE48" s="175" t="e">
        <f t="shared" si="10"/>
        <v>#DIV/0!</v>
      </c>
      <c r="AF48" s="175" t="e">
        <f t="shared" si="10"/>
        <v>#DIV/0!</v>
      </c>
      <c r="AG48" s="175" t="e">
        <f t="shared" si="10"/>
        <v>#DIV/0!</v>
      </c>
      <c r="AH48" s="175" t="e">
        <f t="shared" si="10"/>
        <v>#DIV/0!</v>
      </c>
      <c r="AI48" s="175" t="e">
        <f t="shared" si="10"/>
        <v>#DIV/0!</v>
      </c>
      <c r="AJ48" s="175" t="e">
        <f t="shared" si="10"/>
        <v>#DIV/0!</v>
      </c>
      <c r="AK48" s="175" t="e">
        <f t="shared" si="10"/>
        <v>#DIV/0!</v>
      </c>
      <c r="AL48" s="175" t="e">
        <f t="shared" si="10"/>
        <v>#DIV/0!</v>
      </c>
      <c r="AM48" s="175" t="e">
        <f t="shared" si="10"/>
        <v>#DIV/0!</v>
      </c>
      <c r="AN48" s="175" t="e">
        <f t="shared" si="10"/>
        <v>#DIV/0!</v>
      </c>
    </row>
    <row r="49" spans="2:40" x14ac:dyDescent="0.15">
      <c r="B49" s="424"/>
      <c r="C49" s="133" t="s">
        <v>1173</v>
      </c>
      <c r="D49" s="98">
        <f>SUMIFS('caseload data'!E:E,'caseload data'!$D:$D,"TPO",'caseload data'!$A:$A,"West Midlands Region")</f>
        <v>0</v>
      </c>
      <c r="E49" s="98">
        <f>SUMIFS('caseload data'!F:F,'caseload data'!$D:$D,"TPO",'caseload data'!$A:$A,"West Midlands Region")</f>
        <v>0</v>
      </c>
      <c r="F49" s="98">
        <f>SUMIFS('caseload data'!G:G,'caseload data'!$D:$D,"TPO",'caseload data'!$A:$A,"West Midlands Region")</f>
        <v>0</v>
      </c>
      <c r="G49" s="98">
        <f>SUMIFS('caseload data'!H:H,'caseload data'!$D:$D,"TPO",'caseload data'!$A:$A,"West Midlands Region")</f>
        <v>0</v>
      </c>
      <c r="H49" s="98">
        <f>SUMIFS('caseload data'!I:I,'caseload data'!$D:$D,"TPO",'caseload data'!$A:$A,"West Midlands Region")</f>
        <v>0</v>
      </c>
      <c r="I49" s="98">
        <f>SUMIFS('caseload data'!J:J,'caseload data'!$D:$D,"TPO",'caseload data'!$A:$A,"West Midlands Region")</f>
        <v>0</v>
      </c>
      <c r="J49" s="98">
        <f>SUMIFS('caseload data'!K:K,'caseload data'!$D:$D,"TPO",'caseload data'!$A:$A,"West Midlands Region")</f>
        <v>0</v>
      </c>
      <c r="K49" s="98">
        <f>SUMIFS('caseload data'!L:L,'caseload data'!$D:$D,"TPO",'caseload data'!$A:$A,"West Midlands Region")</f>
        <v>0</v>
      </c>
      <c r="L49" s="98">
        <f>SUMIFS('caseload data'!M:M,'caseload data'!$D:$D,"TPO",'caseload data'!$A:$A,"West Midlands Region")</f>
        <v>0</v>
      </c>
      <c r="M49" s="98">
        <f>SUMIFS('caseload data'!N:N,'caseload data'!$D:$D,"TPO",'caseload data'!$A:$A,"West Midlands Region")</f>
        <v>0</v>
      </c>
      <c r="N49" s="98">
        <f>SUMIFS('caseload data'!O:O,'caseload data'!$D:$D,"TPO",'caseload data'!$A:$A,"West Midlands Region")</f>
        <v>0</v>
      </c>
      <c r="O49" s="98">
        <f>SUMIFS('caseload data'!P:P,'caseload data'!$D:$D,"TPO",'caseload data'!$A:$A,"West Midlands Region")</f>
        <v>0</v>
      </c>
      <c r="P49" s="98">
        <f>SUMIFS('caseload data'!Q:Q,'caseload data'!$D:$D,"TPO",'caseload data'!$A:$A,"West Midlands Region")</f>
        <v>0</v>
      </c>
      <c r="Q49" s="98">
        <f>SUMIFS('caseload data'!R:R,'caseload data'!$D:$D,"TPO",'caseload data'!$A:$A,"West Midlands Region")</f>
        <v>0</v>
      </c>
      <c r="R49" s="98">
        <f>SUMIFS('caseload data'!S:S,'caseload data'!$D:$D,"TPO",'caseload data'!$A:$A,"West Midlands Region")</f>
        <v>0</v>
      </c>
      <c r="S49" s="98">
        <f>SUMIFS('caseload data'!T:T,'caseload data'!$D:$D,"TPO",'caseload data'!$A:$A,"West Midlands Region")</f>
        <v>0</v>
      </c>
      <c r="T49" s="98">
        <f>SUMIFS('caseload data'!V:V,'caseload data'!$D:$D,"TPO",'caseload data'!$A:$A,"West Midlands Region")</f>
        <v>0</v>
      </c>
      <c r="U49" s="68"/>
      <c r="V49" s="68"/>
      <c r="W49" s="424"/>
      <c r="X49" s="133" t="s">
        <v>1173</v>
      </c>
      <c r="Y49" s="175" t="e">
        <f>SUM(D49)/SUM(D$47:D$50)</f>
        <v>#DIV/0!</v>
      </c>
      <c r="Z49" s="175" t="e">
        <f t="shared" si="10"/>
        <v>#DIV/0!</v>
      </c>
      <c r="AA49" s="175" t="e">
        <f t="shared" si="10"/>
        <v>#DIV/0!</v>
      </c>
      <c r="AB49" s="175" t="e">
        <f t="shared" si="10"/>
        <v>#DIV/0!</v>
      </c>
      <c r="AC49" s="175" t="e">
        <f t="shared" si="10"/>
        <v>#DIV/0!</v>
      </c>
      <c r="AD49" s="175" t="e">
        <f t="shared" si="10"/>
        <v>#DIV/0!</v>
      </c>
      <c r="AE49" s="175" t="e">
        <f t="shared" si="10"/>
        <v>#DIV/0!</v>
      </c>
      <c r="AF49" s="175" t="e">
        <f t="shared" si="10"/>
        <v>#DIV/0!</v>
      </c>
      <c r="AG49" s="175" t="e">
        <f t="shared" si="10"/>
        <v>#DIV/0!</v>
      </c>
      <c r="AH49" s="175" t="e">
        <f t="shared" si="10"/>
        <v>#DIV/0!</v>
      </c>
      <c r="AI49" s="175" t="e">
        <f t="shared" si="10"/>
        <v>#DIV/0!</v>
      </c>
      <c r="AJ49" s="175" t="e">
        <f t="shared" si="10"/>
        <v>#DIV/0!</v>
      </c>
      <c r="AK49" s="175" t="e">
        <f t="shared" si="10"/>
        <v>#DIV/0!</v>
      </c>
      <c r="AL49" s="175" t="e">
        <f t="shared" si="10"/>
        <v>#DIV/0!</v>
      </c>
      <c r="AM49" s="175" t="e">
        <f t="shared" si="10"/>
        <v>#DIV/0!</v>
      </c>
      <c r="AN49" s="175" t="e">
        <f t="shared" si="10"/>
        <v>#DIV/0!</v>
      </c>
    </row>
    <row r="50" spans="2:40" x14ac:dyDescent="0.15">
      <c r="B50" s="425"/>
      <c r="C50" s="134" t="s">
        <v>1174</v>
      </c>
      <c r="D50" s="98">
        <f>SUMIFS('caseload data'!E:E,'caseload data'!$D:$D,"SPO",'caseload data'!$A:$A,"West Midlands Region")</f>
        <v>0</v>
      </c>
      <c r="E50" s="98">
        <f>SUMIFS('caseload data'!F:F,'caseload data'!$D:$D,"SPO",'caseload data'!$A:$A,"West Midlands Region")</f>
        <v>0</v>
      </c>
      <c r="F50" s="98">
        <f>SUMIFS('caseload data'!G:G,'caseload data'!$D:$D,"SPO",'caseload data'!$A:$A,"West Midlands Region")</f>
        <v>0</v>
      </c>
      <c r="G50" s="98">
        <f>SUMIFS('caseload data'!H:H,'caseload data'!$D:$D,"SPO",'caseload data'!$A:$A,"West Midlands Region")</f>
        <v>0</v>
      </c>
      <c r="H50" s="98">
        <f>SUMIFS('caseload data'!I:I,'caseload data'!$D:$D,"SPO",'caseload data'!$A:$A,"West Midlands Region")</f>
        <v>0</v>
      </c>
      <c r="I50" s="98">
        <f>SUMIFS('caseload data'!J:J,'caseload data'!$D:$D,"SPO",'caseload data'!$A:$A,"West Midlands Region")</f>
        <v>0</v>
      </c>
      <c r="J50" s="98">
        <f>SUMIFS('caseload data'!K:K,'caseload data'!$D:$D,"SPO",'caseload data'!$A:$A,"West Midlands Region")</f>
        <v>0</v>
      </c>
      <c r="K50" s="98">
        <f>SUMIFS('caseload data'!L:L,'caseload data'!$D:$D,"SPO",'caseload data'!$A:$A,"West Midlands Region")</f>
        <v>0</v>
      </c>
      <c r="L50" s="98">
        <f>SUMIFS('caseload data'!M:M,'caseload data'!$D:$D,"SPO",'caseload data'!$A:$A,"West Midlands Region")</f>
        <v>0</v>
      </c>
      <c r="M50" s="98">
        <f>SUMIFS('caseload data'!N:N,'caseload data'!$D:$D,"SPO",'caseload data'!$A:$A,"West Midlands Region")</f>
        <v>0</v>
      </c>
      <c r="N50" s="98">
        <f>SUMIFS('caseload data'!O:O,'caseload data'!$D:$D,"SPO",'caseload data'!$A:$A,"West Midlands Region")</f>
        <v>0</v>
      </c>
      <c r="O50" s="98">
        <f>SUMIFS('caseload data'!P:P,'caseload data'!$D:$D,"SPO",'caseload data'!$A:$A,"West Midlands Region")</f>
        <v>0</v>
      </c>
      <c r="P50" s="98">
        <f>SUMIFS('caseload data'!Q:Q,'caseload data'!$D:$D,"SPO",'caseload data'!$A:$A,"West Midlands Region")</f>
        <v>0</v>
      </c>
      <c r="Q50" s="98">
        <f>SUMIFS('caseload data'!R:R,'caseload data'!$D:$D,"SPO",'caseload data'!$A:$A,"West Midlands Region")</f>
        <v>0</v>
      </c>
      <c r="R50" s="98">
        <f>SUMIFS('caseload data'!S:S,'caseload data'!$D:$D,"SPO",'caseload data'!$A:$A,"West Midlands Region")</f>
        <v>0</v>
      </c>
      <c r="S50" s="98">
        <f>SUMIFS('caseload data'!T:T,'caseload data'!$D:$D,"SPO",'caseload data'!$A:$A,"West Midlands Region")</f>
        <v>0</v>
      </c>
      <c r="T50" s="98">
        <f>SUMIFS('caseload data'!V:V,'caseload data'!$D:$D,"SPO",'caseload data'!$A:$A,"West Midlands Region")</f>
        <v>0</v>
      </c>
      <c r="U50" s="68"/>
      <c r="V50" s="68"/>
      <c r="W50" s="425"/>
      <c r="X50" s="134" t="s">
        <v>1174</v>
      </c>
      <c r="Y50" s="175" t="e">
        <f>SUM(D50)/SUM(D$47:D$50)</f>
        <v>#DIV/0!</v>
      </c>
      <c r="Z50" s="175" t="e">
        <f t="shared" si="10"/>
        <v>#DIV/0!</v>
      </c>
      <c r="AA50" s="175" t="e">
        <f t="shared" si="10"/>
        <v>#DIV/0!</v>
      </c>
      <c r="AB50" s="175" t="e">
        <f t="shared" si="10"/>
        <v>#DIV/0!</v>
      </c>
      <c r="AC50" s="175" t="e">
        <f t="shared" si="10"/>
        <v>#DIV/0!</v>
      </c>
      <c r="AD50" s="175" t="e">
        <f t="shared" si="10"/>
        <v>#DIV/0!</v>
      </c>
      <c r="AE50" s="175" t="e">
        <f t="shared" si="10"/>
        <v>#DIV/0!</v>
      </c>
      <c r="AF50" s="175" t="e">
        <f t="shared" si="10"/>
        <v>#DIV/0!</v>
      </c>
      <c r="AG50" s="175" t="e">
        <f t="shared" si="10"/>
        <v>#DIV/0!</v>
      </c>
      <c r="AH50" s="175" t="e">
        <f t="shared" si="10"/>
        <v>#DIV/0!</v>
      </c>
      <c r="AI50" s="175" t="e">
        <f t="shared" si="10"/>
        <v>#DIV/0!</v>
      </c>
      <c r="AJ50" s="175" t="e">
        <f t="shared" si="10"/>
        <v>#DIV/0!</v>
      </c>
      <c r="AK50" s="175" t="e">
        <f t="shared" si="10"/>
        <v>#DIV/0!</v>
      </c>
      <c r="AL50" s="175" t="e">
        <f t="shared" si="10"/>
        <v>#DIV/0!</v>
      </c>
      <c r="AM50" s="175" t="e">
        <f t="shared" si="10"/>
        <v>#DIV/0!</v>
      </c>
      <c r="AN50" s="175" t="e">
        <f t="shared" si="10"/>
        <v>#DIV/0!</v>
      </c>
    </row>
    <row r="51" spans="2:40" x14ac:dyDescent="0.15">
      <c r="B51" s="423" t="s">
        <v>34</v>
      </c>
      <c r="C51" s="132" t="s">
        <v>1166</v>
      </c>
      <c r="D51" s="98">
        <f>SUMIFS('caseload data'!E:E,'caseload data'!$D:$D,"PO",'caseload data'!$A:$A,$B$51)</f>
        <v>0</v>
      </c>
      <c r="E51" s="98">
        <f>SUMIFS('caseload data'!F:F,'caseload data'!$D:$D,"PO",'caseload data'!$A:$A,$B$51)</f>
        <v>0</v>
      </c>
      <c r="F51" s="98">
        <f>SUMIFS('caseload data'!G:G,'caseload data'!$D:$D,"PO",'caseload data'!$A:$A,$B$51)</f>
        <v>0</v>
      </c>
      <c r="G51" s="98">
        <f>SUMIFS('caseload data'!H:H,'caseload data'!$D:$D,"PO",'caseload data'!$A:$A,$B$51)</f>
        <v>0</v>
      </c>
      <c r="H51" s="98">
        <f>SUMIFS('caseload data'!I:I,'caseload data'!$D:$D,"PO",'caseload data'!$A:$A,$B$51)</f>
        <v>0</v>
      </c>
      <c r="I51" s="98">
        <f>SUMIFS('caseload data'!J:J,'caseload data'!$D:$D,"PO",'caseload data'!$A:$A,$B$51)</f>
        <v>0</v>
      </c>
      <c r="J51" s="98">
        <f>SUMIFS('caseload data'!K:K,'caseload data'!$D:$D,"PO",'caseload data'!$A:$A,$B$51)</f>
        <v>0</v>
      </c>
      <c r="K51" s="98">
        <f>SUMIFS('caseload data'!L:L,'caseload data'!$D:$D,"PO",'caseload data'!$A:$A,$B$51)</f>
        <v>0</v>
      </c>
      <c r="L51" s="98">
        <f>SUMIFS('caseload data'!M:M,'caseload data'!$D:$D,"PO",'caseload data'!$A:$A,$B$51)</f>
        <v>0</v>
      </c>
      <c r="M51" s="98">
        <f>SUMIFS('caseload data'!N:N,'caseload data'!$D:$D,"PO",'caseload data'!$A:$A,$B$51)</f>
        <v>0</v>
      </c>
      <c r="N51" s="98">
        <f>SUMIFS('caseload data'!O:O,'caseload data'!$D:$D,"PO",'caseload data'!$A:$A,$B$51)</f>
        <v>0</v>
      </c>
      <c r="O51" s="98">
        <f>SUMIFS('caseload data'!P:P,'caseload data'!$D:$D,"PO",'caseload data'!$A:$A,$B$51)</f>
        <v>0</v>
      </c>
      <c r="P51" s="98">
        <f>SUMIFS('caseload data'!Q:Q,'caseload data'!$D:$D,"PO",'caseload data'!$A:$A,$B$51)</f>
        <v>0</v>
      </c>
      <c r="Q51" s="98">
        <f>SUMIFS('caseload data'!R:R,'caseload data'!$D:$D,"PO",'caseload data'!$A:$A,$B$51)</f>
        <v>0</v>
      </c>
      <c r="R51" s="98">
        <f>SUMIFS('caseload data'!S:S,'caseload data'!$D:$D,"PO",'caseload data'!$A:$A,$B$51)</f>
        <v>0</v>
      </c>
      <c r="S51" s="98">
        <f>SUMIFS('caseload data'!T:T,'caseload data'!$D:$D,"PO",'caseload data'!$A:$A,$B$51)</f>
        <v>0</v>
      </c>
      <c r="T51" s="98">
        <f>SUMIFS('caseload data'!V:V,'caseload data'!$D:$D,"PO",'caseload data'!$A:$A,B51)</f>
        <v>0</v>
      </c>
      <c r="U51" s="68"/>
      <c r="V51" s="68"/>
      <c r="W51" s="423" t="s">
        <v>34</v>
      </c>
      <c r="X51" s="132" t="s">
        <v>1166</v>
      </c>
      <c r="Y51" s="175" t="e">
        <f t="shared" ref="Y51:AN54" si="11">SUM(D51)/SUM(D$51:D$54)</f>
        <v>#DIV/0!</v>
      </c>
      <c r="Z51" s="175" t="e">
        <f t="shared" si="11"/>
        <v>#DIV/0!</v>
      </c>
      <c r="AA51" s="175" t="e">
        <f t="shared" si="11"/>
        <v>#DIV/0!</v>
      </c>
      <c r="AB51" s="175" t="e">
        <f t="shared" si="11"/>
        <v>#DIV/0!</v>
      </c>
      <c r="AC51" s="175" t="e">
        <f t="shared" si="11"/>
        <v>#DIV/0!</v>
      </c>
      <c r="AD51" s="175" t="e">
        <f t="shared" si="11"/>
        <v>#DIV/0!</v>
      </c>
      <c r="AE51" s="175" t="e">
        <f t="shared" si="11"/>
        <v>#DIV/0!</v>
      </c>
      <c r="AF51" s="175" t="e">
        <f t="shared" si="11"/>
        <v>#DIV/0!</v>
      </c>
      <c r="AG51" s="175" t="e">
        <f t="shared" si="11"/>
        <v>#DIV/0!</v>
      </c>
      <c r="AH51" s="175" t="e">
        <f t="shared" si="11"/>
        <v>#DIV/0!</v>
      </c>
      <c r="AI51" s="175" t="e">
        <f t="shared" si="11"/>
        <v>#DIV/0!</v>
      </c>
      <c r="AJ51" s="175" t="e">
        <f t="shared" si="11"/>
        <v>#DIV/0!</v>
      </c>
      <c r="AK51" s="175" t="e">
        <f t="shared" si="11"/>
        <v>#DIV/0!</v>
      </c>
      <c r="AL51" s="175" t="e">
        <f t="shared" si="11"/>
        <v>#DIV/0!</v>
      </c>
      <c r="AM51" s="175" t="e">
        <f t="shared" si="11"/>
        <v>#DIV/0!</v>
      </c>
      <c r="AN51" s="175" t="e">
        <f t="shared" si="11"/>
        <v>#DIV/0!</v>
      </c>
    </row>
    <row r="52" spans="2:40" x14ac:dyDescent="0.15">
      <c r="B52" s="424"/>
      <c r="C52" s="133" t="s">
        <v>1172</v>
      </c>
      <c r="D52" s="98">
        <f>SUMIFS('caseload data'!E:E,'caseload data'!$D:$D,"PSO",'caseload data'!$A:$A,"Yorkshire and The Humber")</f>
        <v>0</v>
      </c>
      <c r="E52" s="98">
        <f>SUMIFS('caseload data'!F:F,'caseload data'!$D:$D,"PSO",'caseload data'!$A:$A,"Yorkshire and The Humber")</f>
        <v>0</v>
      </c>
      <c r="F52" s="98">
        <f>SUMIFS('caseload data'!G:G,'caseload data'!$D:$D,"PSO",'caseload data'!$A:$A,"Yorkshire and The Humber")</f>
        <v>0</v>
      </c>
      <c r="G52" s="98">
        <f>SUMIFS('caseload data'!H:H,'caseload data'!$D:$D,"PSO",'caseload data'!$A:$A,"Yorkshire and The Humber")</f>
        <v>0</v>
      </c>
      <c r="H52" s="98">
        <f>SUMIFS('caseload data'!I:I,'caseload data'!$D:$D,"PSO",'caseload data'!$A:$A,"Yorkshire and The Humber")</f>
        <v>0</v>
      </c>
      <c r="I52" s="98">
        <f>SUMIFS('caseload data'!J:J,'caseload data'!$D:$D,"PSO",'caseload data'!$A:$A,"Yorkshire and The Humber")</f>
        <v>0</v>
      </c>
      <c r="J52" s="98">
        <f>SUMIFS('caseload data'!K:K,'caseload data'!$D:$D,"PSO",'caseload data'!$A:$A,"Yorkshire and The Humber")</f>
        <v>0</v>
      </c>
      <c r="K52" s="98">
        <f>SUMIFS('caseload data'!L:L,'caseload data'!$D:$D,"PSO",'caseload data'!$A:$A,"Yorkshire and The Humber")</f>
        <v>0</v>
      </c>
      <c r="L52" s="98">
        <f>SUMIFS('caseload data'!M:M,'caseload data'!$D:$D,"PSO",'caseload data'!$A:$A,"Yorkshire and The Humber")</f>
        <v>0</v>
      </c>
      <c r="M52" s="98">
        <f>SUMIFS('caseload data'!N:N,'caseload data'!$D:$D,"PSO",'caseload data'!$A:$A,"Yorkshire and The Humber")</f>
        <v>0</v>
      </c>
      <c r="N52" s="98">
        <f>SUMIFS('caseload data'!O:O,'caseload data'!$D:$D,"PSO",'caseload data'!$A:$A,"Yorkshire and The Humber")</f>
        <v>0</v>
      </c>
      <c r="O52" s="98">
        <f>SUMIFS('caseload data'!P:P,'caseload data'!$D:$D,"PSO",'caseload data'!$A:$A,"Yorkshire and The Humber")</f>
        <v>0</v>
      </c>
      <c r="P52" s="98">
        <f>SUMIFS('caseload data'!Q:Q,'caseload data'!$D:$D,"PSO",'caseload data'!$A:$A,"Yorkshire and The Humber")</f>
        <v>0</v>
      </c>
      <c r="Q52" s="98">
        <f>SUMIFS('caseload data'!R:R,'caseload data'!$D:$D,"PSO",'caseload data'!$A:$A,"Yorkshire and The Humber")</f>
        <v>0</v>
      </c>
      <c r="R52" s="98">
        <f>SUMIFS('caseload data'!S:S,'caseload data'!$D:$D,"PSO",'caseload data'!$A:$A,"Yorkshire and The Humber")</f>
        <v>0</v>
      </c>
      <c r="S52" s="98">
        <f>SUMIFS('caseload data'!T:T,'caseload data'!$D:$D,"PSO",'caseload data'!$A:$A,"Yorkshire and The Humber")</f>
        <v>0</v>
      </c>
      <c r="T52" s="98">
        <f>SUMIFS('caseload data'!V:V,'caseload data'!$D:$D,"PSO",'caseload data'!$A:$A,"Yorkshire and The Humber")</f>
        <v>0</v>
      </c>
      <c r="U52" s="68"/>
      <c r="V52" s="68"/>
      <c r="W52" s="424"/>
      <c r="X52" s="133" t="s">
        <v>1172</v>
      </c>
      <c r="Y52" s="175" t="e">
        <f t="shared" si="11"/>
        <v>#DIV/0!</v>
      </c>
      <c r="Z52" s="175" t="e">
        <f t="shared" si="11"/>
        <v>#DIV/0!</v>
      </c>
      <c r="AA52" s="175" t="e">
        <f t="shared" si="11"/>
        <v>#DIV/0!</v>
      </c>
      <c r="AB52" s="175" t="e">
        <f t="shared" si="11"/>
        <v>#DIV/0!</v>
      </c>
      <c r="AC52" s="175" t="e">
        <f t="shared" si="11"/>
        <v>#DIV/0!</v>
      </c>
      <c r="AD52" s="175" t="e">
        <f t="shared" si="11"/>
        <v>#DIV/0!</v>
      </c>
      <c r="AE52" s="175" t="e">
        <f t="shared" si="11"/>
        <v>#DIV/0!</v>
      </c>
      <c r="AF52" s="175" t="e">
        <f t="shared" si="11"/>
        <v>#DIV/0!</v>
      </c>
      <c r="AG52" s="175" t="e">
        <f t="shared" si="11"/>
        <v>#DIV/0!</v>
      </c>
      <c r="AH52" s="175" t="e">
        <f t="shared" si="11"/>
        <v>#DIV/0!</v>
      </c>
      <c r="AI52" s="175" t="e">
        <f t="shared" si="11"/>
        <v>#DIV/0!</v>
      </c>
      <c r="AJ52" s="175" t="e">
        <f t="shared" si="11"/>
        <v>#DIV/0!</v>
      </c>
      <c r="AK52" s="175" t="e">
        <f t="shared" si="11"/>
        <v>#DIV/0!</v>
      </c>
      <c r="AL52" s="175" t="e">
        <f t="shared" si="11"/>
        <v>#DIV/0!</v>
      </c>
      <c r="AM52" s="175" t="e">
        <f t="shared" si="11"/>
        <v>#DIV/0!</v>
      </c>
      <c r="AN52" s="175" t="e">
        <f t="shared" si="11"/>
        <v>#DIV/0!</v>
      </c>
    </row>
    <row r="53" spans="2:40" x14ac:dyDescent="0.15">
      <c r="B53" s="424"/>
      <c r="C53" s="133" t="s">
        <v>1173</v>
      </c>
      <c r="D53" s="98">
        <f>SUMIFS('caseload data'!E:E,'caseload data'!$D:$D,"TPO",'caseload data'!$A:$A,"Yorkshire and The Humber")</f>
        <v>0</v>
      </c>
      <c r="E53" s="98">
        <f>SUMIFS('caseload data'!F:F,'caseload data'!$D:$D,"TPO",'caseload data'!$A:$A,"Yorkshire and The Humber")</f>
        <v>0</v>
      </c>
      <c r="F53" s="98">
        <f>SUMIFS('caseload data'!G:G,'caseload data'!$D:$D,"TPO",'caseload data'!$A:$A,"Yorkshire and The Humber")</f>
        <v>0</v>
      </c>
      <c r="G53" s="98">
        <f>SUMIFS('caseload data'!H:H,'caseload data'!$D:$D,"TPO",'caseload data'!$A:$A,"Yorkshire and The Humber")</f>
        <v>0</v>
      </c>
      <c r="H53" s="98">
        <f>SUMIFS('caseload data'!I:I,'caseload data'!$D:$D,"TPO",'caseload data'!$A:$A,"Yorkshire and The Humber")</f>
        <v>0</v>
      </c>
      <c r="I53" s="98">
        <f>SUMIFS('caseload data'!J:J,'caseload data'!$D:$D,"TPO",'caseload data'!$A:$A,"Yorkshire and The Humber")</f>
        <v>0</v>
      </c>
      <c r="J53" s="98">
        <f>SUMIFS('caseload data'!K:K,'caseload data'!$D:$D,"TPO",'caseload data'!$A:$A,"Yorkshire and The Humber")</f>
        <v>0</v>
      </c>
      <c r="K53" s="98">
        <f>SUMIFS('caseload data'!L:L,'caseload data'!$D:$D,"TPO",'caseload data'!$A:$A,"Yorkshire and The Humber")</f>
        <v>0</v>
      </c>
      <c r="L53" s="98">
        <f>SUMIFS('caseload data'!M:M,'caseload data'!$D:$D,"TPO",'caseload data'!$A:$A,"Yorkshire and The Humber")</f>
        <v>0</v>
      </c>
      <c r="M53" s="98">
        <f>SUMIFS('caseload data'!N:N,'caseload data'!$D:$D,"TPO",'caseload data'!$A:$A,"Yorkshire and The Humber")</f>
        <v>0</v>
      </c>
      <c r="N53" s="98">
        <f>SUMIFS('caseload data'!O:O,'caseload data'!$D:$D,"TPO",'caseload data'!$A:$A,"Yorkshire and The Humber")</f>
        <v>0</v>
      </c>
      <c r="O53" s="98">
        <f>SUMIFS('caseload data'!P:P,'caseload data'!$D:$D,"TPO",'caseload data'!$A:$A,"Yorkshire and The Humber")</f>
        <v>0</v>
      </c>
      <c r="P53" s="98">
        <f>SUMIFS('caseload data'!Q:Q,'caseload data'!$D:$D,"TPO",'caseload data'!$A:$A,"Yorkshire and The Humber")</f>
        <v>0</v>
      </c>
      <c r="Q53" s="98">
        <f>SUMIFS('caseload data'!R:R,'caseload data'!$D:$D,"TPO",'caseload data'!$A:$A,"Yorkshire and The Humber")</f>
        <v>0</v>
      </c>
      <c r="R53" s="98">
        <f>SUMIFS('caseload data'!S:S,'caseload data'!$D:$D,"TPO",'caseload data'!$A:$A,"Yorkshire and The Humber")</f>
        <v>0</v>
      </c>
      <c r="S53" s="98">
        <f>SUMIFS('caseload data'!T:T,'caseload data'!$D:$D,"TPO",'caseload data'!$A:$A,"Yorkshire and The Humber")</f>
        <v>0</v>
      </c>
      <c r="T53" s="98">
        <f>SUMIFS('caseload data'!V:V,'caseload data'!$D:$D,"TPO",'caseload data'!$A:$A,"Yorkshire and The Humber")</f>
        <v>0</v>
      </c>
      <c r="U53" s="68"/>
      <c r="V53" s="68"/>
      <c r="W53" s="424"/>
      <c r="X53" s="133" t="s">
        <v>1173</v>
      </c>
      <c r="Y53" s="175" t="e">
        <f t="shared" si="11"/>
        <v>#DIV/0!</v>
      </c>
      <c r="Z53" s="175" t="e">
        <f t="shared" si="11"/>
        <v>#DIV/0!</v>
      </c>
      <c r="AA53" s="175" t="e">
        <f t="shared" si="11"/>
        <v>#DIV/0!</v>
      </c>
      <c r="AB53" s="175" t="e">
        <f t="shared" si="11"/>
        <v>#DIV/0!</v>
      </c>
      <c r="AC53" s="175" t="e">
        <f t="shared" si="11"/>
        <v>#DIV/0!</v>
      </c>
      <c r="AD53" s="175" t="e">
        <f t="shared" si="11"/>
        <v>#DIV/0!</v>
      </c>
      <c r="AE53" s="175" t="e">
        <f t="shared" si="11"/>
        <v>#DIV/0!</v>
      </c>
      <c r="AF53" s="175" t="e">
        <f t="shared" si="11"/>
        <v>#DIV/0!</v>
      </c>
      <c r="AG53" s="175" t="e">
        <f t="shared" si="11"/>
        <v>#DIV/0!</v>
      </c>
      <c r="AH53" s="175" t="e">
        <f t="shared" si="11"/>
        <v>#DIV/0!</v>
      </c>
      <c r="AI53" s="175" t="e">
        <f t="shared" si="11"/>
        <v>#DIV/0!</v>
      </c>
      <c r="AJ53" s="175" t="e">
        <f t="shared" si="11"/>
        <v>#DIV/0!</v>
      </c>
      <c r="AK53" s="175" t="e">
        <f t="shared" si="11"/>
        <v>#DIV/0!</v>
      </c>
      <c r="AL53" s="175" t="e">
        <f t="shared" si="11"/>
        <v>#DIV/0!</v>
      </c>
      <c r="AM53" s="175" t="e">
        <f t="shared" si="11"/>
        <v>#DIV/0!</v>
      </c>
      <c r="AN53" s="175" t="e">
        <f t="shared" si="11"/>
        <v>#DIV/0!</v>
      </c>
    </row>
    <row r="54" spans="2:40" ht="15" thickBot="1" x14ac:dyDescent="0.2">
      <c r="B54" s="443"/>
      <c r="C54" s="133" t="s">
        <v>1174</v>
      </c>
      <c r="D54" s="98">
        <f>SUMIFS('caseload data'!E:E,'caseload data'!$D:$D,"SPO",'caseload data'!$A:$A,"Yorkshire and The Humber")</f>
        <v>0</v>
      </c>
      <c r="E54" s="98">
        <f>SUMIFS('caseload data'!F:F,'caseload data'!$D:$D,"SPO",'caseload data'!$A:$A,"Yorkshire and The Humber")</f>
        <v>0</v>
      </c>
      <c r="F54" s="98">
        <f>SUMIFS('caseload data'!G:G,'caseload data'!$D:$D,"SPO",'caseload data'!$A:$A,"Yorkshire and The Humber")</f>
        <v>0</v>
      </c>
      <c r="G54" s="98">
        <f>SUMIFS('caseload data'!H:H,'caseload data'!$D:$D,"SPO",'caseload data'!$A:$A,"Yorkshire and The Humber")</f>
        <v>0</v>
      </c>
      <c r="H54" s="98">
        <f>SUMIFS('caseload data'!I:I,'caseload data'!$D:$D,"SPO",'caseload data'!$A:$A,"Yorkshire and The Humber")</f>
        <v>0</v>
      </c>
      <c r="I54" s="98">
        <f>SUMIFS('caseload data'!J:J,'caseload data'!$D:$D,"SPO",'caseload data'!$A:$A,"Yorkshire and The Humber")</f>
        <v>0</v>
      </c>
      <c r="J54" s="98">
        <f>SUMIFS('caseload data'!K:K,'caseload data'!$D:$D,"SPO",'caseload data'!$A:$A,"Yorkshire and The Humber")</f>
        <v>0</v>
      </c>
      <c r="K54" s="98">
        <f>SUMIFS('caseload data'!L:L,'caseload data'!$D:$D,"SPO",'caseload data'!$A:$A,"Yorkshire and The Humber")</f>
        <v>0</v>
      </c>
      <c r="L54" s="98">
        <f>SUMIFS('caseload data'!M:M,'caseload data'!$D:$D,"SPO",'caseload data'!$A:$A,"Yorkshire and The Humber")</f>
        <v>0</v>
      </c>
      <c r="M54" s="98">
        <f>SUMIFS('caseload data'!N:N,'caseload data'!$D:$D,"SPO",'caseload data'!$A:$A,"Yorkshire and The Humber")</f>
        <v>0</v>
      </c>
      <c r="N54" s="98">
        <f>SUMIFS('caseload data'!O:O,'caseload data'!$D:$D,"SPO",'caseload data'!$A:$A,"Yorkshire and The Humber")</f>
        <v>0</v>
      </c>
      <c r="O54" s="98">
        <f>SUMIFS('caseload data'!P:P,'caseload data'!$D:$D,"SPO",'caseload data'!$A:$A,"Yorkshire and The Humber")</f>
        <v>0</v>
      </c>
      <c r="P54" s="98">
        <f>SUMIFS('caseload data'!Q:Q,'caseload data'!$D:$D,"SPO",'caseload data'!$A:$A,"Yorkshire and The Humber")</f>
        <v>0</v>
      </c>
      <c r="Q54" s="98">
        <f>SUMIFS('caseload data'!R:R,'caseload data'!$D:$D,"SPO",'caseload data'!$A:$A,"Yorkshire and The Humber")</f>
        <v>0</v>
      </c>
      <c r="R54" s="98">
        <f>SUMIFS('caseload data'!S:S,'caseload data'!$D:$D,"SPO",'caseload data'!$A:$A,"Yorkshire and The Humber")</f>
        <v>0</v>
      </c>
      <c r="S54" s="98">
        <f>SUMIFS('caseload data'!T:T,'caseload data'!$D:$D,"SPO",'caseload data'!$A:$A,"Yorkshire and The Humber")</f>
        <v>0</v>
      </c>
      <c r="T54" s="98">
        <f>SUMIFS('caseload data'!V:V,'caseload data'!$D:$D,"SPO",'caseload data'!$A:$A,"Yorkshire and The Humber")</f>
        <v>0</v>
      </c>
      <c r="U54" s="68"/>
      <c r="V54" s="68"/>
      <c r="W54" s="425"/>
      <c r="X54" s="134" t="s">
        <v>1174</v>
      </c>
      <c r="Y54" s="175" t="e">
        <f t="shared" si="11"/>
        <v>#DIV/0!</v>
      </c>
      <c r="Z54" s="175" t="e">
        <f t="shared" si="11"/>
        <v>#DIV/0!</v>
      </c>
      <c r="AA54" s="175" t="e">
        <f t="shared" si="11"/>
        <v>#DIV/0!</v>
      </c>
      <c r="AB54" s="175" t="e">
        <f t="shared" si="11"/>
        <v>#DIV/0!</v>
      </c>
      <c r="AC54" s="175" t="e">
        <f t="shared" si="11"/>
        <v>#DIV/0!</v>
      </c>
      <c r="AD54" s="175" t="e">
        <f t="shared" si="11"/>
        <v>#DIV/0!</v>
      </c>
      <c r="AE54" s="175" t="e">
        <f t="shared" si="11"/>
        <v>#DIV/0!</v>
      </c>
      <c r="AF54" s="175" t="e">
        <f t="shared" si="11"/>
        <v>#DIV/0!</v>
      </c>
      <c r="AG54" s="175" t="e">
        <f t="shared" si="11"/>
        <v>#DIV/0!</v>
      </c>
      <c r="AH54" s="175" t="e">
        <f t="shared" si="11"/>
        <v>#DIV/0!</v>
      </c>
      <c r="AI54" s="175" t="e">
        <f t="shared" si="11"/>
        <v>#DIV/0!</v>
      </c>
      <c r="AJ54" s="175" t="e">
        <f t="shared" si="11"/>
        <v>#DIV/0!</v>
      </c>
      <c r="AK54" s="175" t="e">
        <f t="shared" si="11"/>
        <v>#DIV/0!</v>
      </c>
      <c r="AL54" s="175" t="e">
        <f t="shared" si="11"/>
        <v>#DIV/0!</v>
      </c>
      <c r="AM54" s="175" t="e">
        <f t="shared" si="11"/>
        <v>#DIV/0!</v>
      </c>
      <c r="AN54" s="175" t="e">
        <f t="shared" si="11"/>
        <v>#DIV/0!</v>
      </c>
    </row>
    <row r="55" spans="2:40" x14ac:dyDescent="0.15">
      <c r="B55" s="438" t="s">
        <v>1127</v>
      </c>
      <c r="C55" s="141" t="s">
        <v>1166</v>
      </c>
      <c r="D55" s="142">
        <f>SUMIF('caseload data'!$D:$D,"PO",'caseload data'!E:E)</f>
        <v>0</v>
      </c>
      <c r="E55" s="142">
        <f>SUMIF('caseload data'!$D:$D,"PO",'caseload data'!F:F)</f>
        <v>0</v>
      </c>
      <c r="F55" s="142">
        <f>SUMIF('caseload data'!$D:$D,"PO",'caseload data'!G:G)</f>
        <v>0</v>
      </c>
      <c r="G55" s="142">
        <f>SUMIF('caseload data'!$D:$D,"PO",'caseload data'!H:H)</f>
        <v>0</v>
      </c>
      <c r="H55" s="142">
        <f>SUMIF('caseload data'!$D:$D,"PO",'caseload data'!I:I)</f>
        <v>0</v>
      </c>
      <c r="I55" s="142">
        <f>SUMIF('caseload data'!$D:$D,"PO",'caseload data'!J:J)</f>
        <v>0</v>
      </c>
      <c r="J55" s="142">
        <f>SUMIF('caseload data'!$D:$D,"PO",'caseload data'!K:K)</f>
        <v>0</v>
      </c>
      <c r="K55" s="142">
        <f>SUMIF('caseload data'!$D:$D,"PO",'caseload data'!L:L)</f>
        <v>0</v>
      </c>
      <c r="L55" s="142">
        <f>SUMIF('caseload data'!$D:$D,"PO",'caseload data'!M:M)</f>
        <v>0</v>
      </c>
      <c r="M55" s="142">
        <f>SUMIF('caseload data'!$D:$D,"PO",'caseload data'!N:N)</f>
        <v>0</v>
      </c>
      <c r="N55" s="142">
        <f>SUMIF('caseload data'!$D:$D,"PO",'caseload data'!O:O)</f>
        <v>0</v>
      </c>
      <c r="O55" s="142">
        <f>SUMIF('caseload data'!$D:$D,"PO",'caseload data'!P:P)</f>
        <v>0</v>
      </c>
      <c r="P55" s="142">
        <f>SUMIF('caseload data'!$D:$D,"PO",'caseload data'!Q:Q)</f>
        <v>0</v>
      </c>
      <c r="Q55" s="142">
        <f>SUMIF('caseload data'!$D:$D,"PO",'caseload data'!R:R)</f>
        <v>0</v>
      </c>
      <c r="R55" s="142">
        <f>SUMIF('caseload data'!$D:$D,"PO",'caseload data'!S:S)</f>
        <v>0</v>
      </c>
      <c r="S55" s="142">
        <f>SUMIF('caseload data'!$D:$D,"PO",'caseload data'!T:T)</f>
        <v>0</v>
      </c>
      <c r="T55" s="143">
        <f>SUMIF('caseload data'!D:D,"PO",'caseload data'!V:V)</f>
        <v>0</v>
      </c>
      <c r="U55" s="68"/>
      <c r="V55" s="68"/>
      <c r="W55" s="429" t="s">
        <v>1127</v>
      </c>
      <c r="X55" s="141" t="s">
        <v>1166</v>
      </c>
      <c r="Y55" s="145" t="e">
        <f>SUM(D55)/SUM(D$55:D$58)</f>
        <v>#DIV/0!</v>
      </c>
      <c r="Z55" s="145" t="e">
        <f t="shared" ref="Z55:AN58" si="12">SUM(E55)/SUM(E$55:E$58)</f>
        <v>#DIV/0!</v>
      </c>
      <c r="AA55" s="145" t="e">
        <f t="shared" si="12"/>
        <v>#DIV/0!</v>
      </c>
      <c r="AB55" s="145" t="e">
        <f t="shared" si="12"/>
        <v>#DIV/0!</v>
      </c>
      <c r="AC55" s="145" t="e">
        <f t="shared" si="12"/>
        <v>#DIV/0!</v>
      </c>
      <c r="AD55" s="145" t="e">
        <f t="shared" si="12"/>
        <v>#DIV/0!</v>
      </c>
      <c r="AE55" s="145" t="e">
        <f t="shared" si="12"/>
        <v>#DIV/0!</v>
      </c>
      <c r="AF55" s="145" t="e">
        <f t="shared" si="12"/>
        <v>#DIV/0!</v>
      </c>
      <c r="AG55" s="145" t="e">
        <f t="shared" si="12"/>
        <v>#DIV/0!</v>
      </c>
      <c r="AH55" s="145" t="e">
        <f t="shared" si="12"/>
        <v>#DIV/0!</v>
      </c>
      <c r="AI55" s="145" t="e">
        <f t="shared" si="12"/>
        <v>#DIV/0!</v>
      </c>
      <c r="AJ55" s="145" t="e">
        <f t="shared" si="12"/>
        <v>#DIV/0!</v>
      </c>
      <c r="AK55" s="145" t="e">
        <f t="shared" si="12"/>
        <v>#DIV/0!</v>
      </c>
      <c r="AL55" s="145" t="e">
        <f t="shared" si="12"/>
        <v>#DIV/0!</v>
      </c>
      <c r="AM55" s="145" t="e">
        <f t="shared" si="12"/>
        <v>#DIV/0!</v>
      </c>
      <c r="AN55" s="145" t="e">
        <f t="shared" si="12"/>
        <v>#DIV/0!</v>
      </c>
    </row>
    <row r="56" spans="2:40" x14ac:dyDescent="0.15">
      <c r="B56" s="439"/>
      <c r="C56" s="144" t="s">
        <v>1172</v>
      </c>
      <c r="D56" s="142">
        <f>SUMIF('caseload data'!$D:$D,"PSO",'caseload data'!E:E)</f>
        <v>0</v>
      </c>
      <c r="E56" s="142">
        <f>SUMIF('caseload data'!$D:$D,"PSO",'caseload data'!F:F)</f>
        <v>0</v>
      </c>
      <c r="F56" s="142">
        <f>SUMIF('caseload data'!$D:$D,"PSO",'caseload data'!G:G)</f>
        <v>0</v>
      </c>
      <c r="G56" s="142">
        <f>SUMIF('caseload data'!$D:$D,"PSO",'caseload data'!H:H)</f>
        <v>0</v>
      </c>
      <c r="H56" s="142">
        <f>SUMIF('caseload data'!$D:$D,"PSO",'caseload data'!I:I)</f>
        <v>0</v>
      </c>
      <c r="I56" s="142">
        <f>SUMIF('caseload data'!$D:$D,"PSO",'caseload data'!J:J)</f>
        <v>0</v>
      </c>
      <c r="J56" s="142">
        <f>SUMIF('caseload data'!$D:$D,"PSO",'caseload data'!K:K)</f>
        <v>0</v>
      </c>
      <c r="K56" s="142">
        <f>SUMIF('caseload data'!$D:$D,"PSO",'caseload data'!L:L)</f>
        <v>0</v>
      </c>
      <c r="L56" s="142">
        <f>SUMIF('caseload data'!$D:$D,"PSO",'caseload data'!M:M)</f>
        <v>0</v>
      </c>
      <c r="M56" s="142">
        <f>SUMIF('caseload data'!$D:$D,"PSO",'caseload data'!N:N)</f>
        <v>0</v>
      </c>
      <c r="N56" s="142">
        <f>SUMIF('caseload data'!$D:$D,"PSO",'caseload data'!O:O)</f>
        <v>0</v>
      </c>
      <c r="O56" s="142">
        <f>SUMIF('caseload data'!$D:$D,"PSO",'caseload data'!P:P)</f>
        <v>0</v>
      </c>
      <c r="P56" s="142">
        <f>SUMIF('caseload data'!$D:$D,"PSO",'caseload data'!Q:Q)</f>
        <v>0</v>
      </c>
      <c r="Q56" s="142">
        <f>SUMIF('caseload data'!$D:$D,"PSO",'caseload data'!R:R)</f>
        <v>0</v>
      </c>
      <c r="R56" s="142">
        <f>SUMIF('caseload data'!$D:$D,"PSO",'caseload data'!S:S)</f>
        <v>0</v>
      </c>
      <c r="S56" s="142">
        <f>SUMIF('caseload data'!$D:$D,"PSO",'caseload data'!T:T)</f>
        <v>0</v>
      </c>
      <c r="T56" s="143">
        <f>SUMIF('caseload data'!D:D,"PSO",'caseload data'!V:V)</f>
        <v>0</v>
      </c>
      <c r="U56" s="68"/>
      <c r="V56" s="68"/>
      <c r="W56" s="430"/>
      <c r="X56" s="144" t="s">
        <v>1172</v>
      </c>
      <c r="Y56" s="145" t="e">
        <f>SUM(D56)/SUM(D$55:D$58)</f>
        <v>#DIV/0!</v>
      </c>
      <c r="Z56" s="145" t="e">
        <f t="shared" si="12"/>
        <v>#DIV/0!</v>
      </c>
      <c r="AA56" s="145" t="e">
        <f t="shared" si="12"/>
        <v>#DIV/0!</v>
      </c>
      <c r="AB56" s="145" t="e">
        <f t="shared" si="12"/>
        <v>#DIV/0!</v>
      </c>
      <c r="AC56" s="145" t="e">
        <f t="shared" si="12"/>
        <v>#DIV/0!</v>
      </c>
      <c r="AD56" s="145" t="e">
        <f t="shared" si="12"/>
        <v>#DIV/0!</v>
      </c>
      <c r="AE56" s="145" t="e">
        <f t="shared" si="12"/>
        <v>#DIV/0!</v>
      </c>
      <c r="AF56" s="145" t="e">
        <f t="shared" si="12"/>
        <v>#DIV/0!</v>
      </c>
      <c r="AG56" s="145" t="e">
        <f t="shared" si="12"/>
        <v>#DIV/0!</v>
      </c>
      <c r="AH56" s="145" t="e">
        <f t="shared" si="12"/>
        <v>#DIV/0!</v>
      </c>
      <c r="AI56" s="145" t="e">
        <f t="shared" si="12"/>
        <v>#DIV/0!</v>
      </c>
      <c r="AJ56" s="145" t="e">
        <f t="shared" si="12"/>
        <v>#DIV/0!</v>
      </c>
      <c r="AK56" s="145" t="e">
        <f t="shared" si="12"/>
        <v>#DIV/0!</v>
      </c>
      <c r="AL56" s="145" t="e">
        <f t="shared" si="12"/>
        <v>#DIV/0!</v>
      </c>
      <c r="AM56" s="145" t="e">
        <f t="shared" si="12"/>
        <v>#DIV/0!</v>
      </c>
      <c r="AN56" s="145" t="e">
        <f t="shared" si="12"/>
        <v>#DIV/0!</v>
      </c>
    </row>
    <row r="57" spans="2:40" x14ac:dyDescent="0.15">
      <c r="B57" s="439"/>
      <c r="C57" s="144" t="s">
        <v>1173</v>
      </c>
      <c r="D57" s="142">
        <f>SUMIF('caseload data'!$D:$D,"TPO",'caseload data'!E:E)</f>
        <v>0</v>
      </c>
      <c r="E57" s="142">
        <f>SUMIF('caseload data'!$D:$D,"TPO",'caseload data'!F:F)</f>
        <v>0</v>
      </c>
      <c r="F57" s="142">
        <f>SUMIF('caseload data'!$D:$D,"TPO",'caseload data'!G:G)</f>
        <v>0</v>
      </c>
      <c r="G57" s="142">
        <f>SUMIF('caseload data'!$D:$D,"TPO",'caseload data'!H:H)</f>
        <v>0</v>
      </c>
      <c r="H57" s="142">
        <f>SUMIF('caseload data'!$D:$D,"TPO",'caseload data'!I:I)</f>
        <v>0</v>
      </c>
      <c r="I57" s="142">
        <f>SUMIF('caseload data'!$D:$D,"TPO",'caseload data'!J:J)</f>
        <v>0</v>
      </c>
      <c r="J57" s="142">
        <f>SUMIF('caseload data'!$D:$D,"TPO",'caseload data'!K:K)</f>
        <v>0</v>
      </c>
      <c r="K57" s="142">
        <f>SUMIF('caseload data'!$D:$D,"TPO",'caseload data'!L:L)</f>
        <v>0</v>
      </c>
      <c r="L57" s="142">
        <f>SUMIF('caseload data'!$D:$D,"TPO",'caseload data'!M:M)</f>
        <v>0</v>
      </c>
      <c r="M57" s="142">
        <f>SUMIF('caseload data'!$D:$D,"TPO",'caseload data'!N:N)</f>
        <v>0</v>
      </c>
      <c r="N57" s="142">
        <f>SUMIF('caseload data'!$D:$D,"TPO",'caseload data'!O:O)</f>
        <v>0</v>
      </c>
      <c r="O57" s="142">
        <f>SUMIF('caseload data'!$D:$D,"TPO",'caseload data'!P:P)</f>
        <v>0</v>
      </c>
      <c r="P57" s="142">
        <f>SUMIF('caseload data'!$D:$D,"TPO",'caseload data'!Q:Q)</f>
        <v>0</v>
      </c>
      <c r="Q57" s="142">
        <f>SUMIF('caseload data'!$D:$D,"TPO",'caseload data'!R:R)</f>
        <v>0</v>
      </c>
      <c r="R57" s="142">
        <f>SUMIF('caseload data'!$D:$D,"TPO",'caseload data'!S:S)</f>
        <v>0</v>
      </c>
      <c r="S57" s="142">
        <f>SUMIF('caseload data'!$D:$D,"TPO",'caseload data'!T:T)</f>
        <v>0</v>
      </c>
      <c r="T57" s="143">
        <f>SUMIF('caseload data'!D:D,"TPO",'caseload data'!V:V)</f>
        <v>0</v>
      </c>
      <c r="U57" s="68"/>
      <c r="V57" s="68"/>
      <c r="W57" s="430"/>
      <c r="X57" s="144" t="s">
        <v>1173</v>
      </c>
      <c r="Y57" s="145" t="e">
        <f>SUM(D57)/SUM(D$55:D$58)</f>
        <v>#DIV/0!</v>
      </c>
      <c r="Z57" s="145" t="e">
        <f t="shared" si="12"/>
        <v>#DIV/0!</v>
      </c>
      <c r="AA57" s="145" t="e">
        <f t="shared" si="12"/>
        <v>#DIV/0!</v>
      </c>
      <c r="AB57" s="145" t="e">
        <f t="shared" si="12"/>
        <v>#DIV/0!</v>
      </c>
      <c r="AC57" s="145" t="e">
        <f t="shared" si="12"/>
        <v>#DIV/0!</v>
      </c>
      <c r="AD57" s="145" t="e">
        <f t="shared" si="12"/>
        <v>#DIV/0!</v>
      </c>
      <c r="AE57" s="145" t="e">
        <f t="shared" si="12"/>
        <v>#DIV/0!</v>
      </c>
      <c r="AF57" s="145" t="e">
        <f t="shared" si="12"/>
        <v>#DIV/0!</v>
      </c>
      <c r="AG57" s="145" t="e">
        <f t="shared" si="12"/>
        <v>#DIV/0!</v>
      </c>
      <c r="AH57" s="145" t="e">
        <f t="shared" si="12"/>
        <v>#DIV/0!</v>
      </c>
      <c r="AI57" s="145" t="e">
        <f t="shared" si="12"/>
        <v>#DIV/0!</v>
      </c>
      <c r="AJ57" s="145" t="e">
        <f t="shared" si="12"/>
        <v>#DIV/0!</v>
      </c>
      <c r="AK57" s="145" t="e">
        <f t="shared" si="12"/>
        <v>#DIV/0!</v>
      </c>
      <c r="AL57" s="145" t="e">
        <f t="shared" si="12"/>
        <v>#DIV/0!</v>
      </c>
      <c r="AM57" s="145" t="e">
        <f t="shared" si="12"/>
        <v>#DIV/0!</v>
      </c>
      <c r="AN57" s="145" t="e">
        <f t="shared" si="12"/>
        <v>#DIV/0!</v>
      </c>
    </row>
    <row r="58" spans="2:40" ht="15" thickBot="1" x14ac:dyDescent="0.2">
      <c r="B58" s="439"/>
      <c r="C58" s="144" t="s">
        <v>1174</v>
      </c>
      <c r="D58" s="142">
        <f>SUMIF('caseload data'!$D:$D,"SPO",'caseload data'!E:E)</f>
        <v>0</v>
      </c>
      <c r="E58" s="142">
        <f>SUMIF('caseload data'!$D:$D,"SPO",'caseload data'!F:F)</f>
        <v>0</v>
      </c>
      <c r="F58" s="142">
        <f>SUMIF('caseload data'!$D:$D,"SPO",'caseload data'!G:G)</f>
        <v>0</v>
      </c>
      <c r="G58" s="142">
        <f>SUMIF('caseload data'!$D:$D,"SPO",'caseload data'!H:H)</f>
        <v>0</v>
      </c>
      <c r="H58" s="142">
        <f>SUMIF('caseload data'!$D:$D,"SPO",'caseload data'!I:I)</f>
        <v>0</v>
      </c>
      <c r="I58" s="142">
        <f>SUMIF('caseload data'!$D:$D,"SPO",'caseload data'!J:J)</f>
        <v>0</v>
      </c>
      <c r="J58" s="142">
        <f>SUMIF('caseload data'!$D:$D,"SPO",'caseload data'!K:K)</f>
        <v>0</v>
      </c>
      <c r="K58" s="142">
        <f>SUMIF('caseload data'!$D:$D,"SPO",'caseload data'!L:L)</f>
        <v>0</v>
      </c>
      <c r="L58" s="142">
        <f>SUMIF('caseload data'!$D:$D,"SPO",'caseload data'!M:M)</f>
        <v>0</v>
      </c>
      <c r="M58" s="142">
        <f>SUMIF('caseload data'!$D:$D,"SPO",'caseload data'!N:N)</f>
        <v>0</v>
      </c>
      <c r="N58" s="142">
        <f>SUMIF('caseload data'!$D:$D,"SPO",'caseload data'!O:O)</f>
        <v>0</v>
      </c>
      <c r="O58" s="142">
        <f>SUMIF('caseload data'!$D:$D,"SPO",'caseload data'!P:P)</f>
        <v>0</v>
      </c>
      <c r="P58" s="142">
        <f>SUMIF('caseload data'!$D:$D,"SPO",'caseload data'!Q:Q)</f>
        <v>0</v>
      </c>
      <c r="Q58" s="142">
        <f>SUMIF('caseload data'!$D:$D,"SPO",'caseload data'!R:R)</f>
        <v>0</v>
      </c>
      <c r="R58" s="142">
        <f>SUMIF('caseload data'!$D:$D,"SPO",'caseload data'!S:S)</f>
        <v>0</v>
      </c>
      <c r="S58" s="142">
        <f>SUMIF('caseload data'!$D:$D,"SPO",'caseload data'!T:T)</f>
        <v>0</v>
      </c>
      <c r="T58" s="143">
        <f>SUMIF('caseload data'!D:D,"SPO",'caseload data'!V:V)</f>
        <v>0</v>
      </c>
      <c r="U58" s="68"/>
      <c r="V58" s="68"/>
      <c r="W58" s="431"/>
      <c r="X58" s="146" t="s">
        <v>1174</v>
      </c>
      <c r="Y58" s="145" t="e">
        <f>SUM(D58)/SUM(D$55:D$58)</f>
        <v>#DIV/0!</v>
      </c>
      <c r="Z58" s="145" t="e">
        <f t="shared" si="12"/>
        <v>#DIV/0!</v>
      </c>
      <c r="AA58" s="145" t="e">
        <f t="shared" si="12"/>
        <v>#DIV/0!</v>
      </c>
      <c r="AB58" s="145" t="e">
        <f t="shared" si="12"/>
        <v>#DIV/0!</v>
      </c>
      <c r="AC58" s="145" t="e">
        <f t="shared" si="12"/>
        <v>#DIV/0!</v>
      </c>
      <c r="AD58" s="145" t="e">
        <f t="shared" si="12"/>
        <v>#DIV/0!</v>
      </c>
      <c r="AE58" s="145" t="e">
        <f t="shared" si="12"/>
        <v>#DIV/0!</v>
      </c>
      <c r="AF58" s="145" t="e">
        <f t="shared" si="12"/>
        <v>#DIV/0!</v>
      </c>
      <c r="AG58" s="145" t="e">
        <f t="shared" si="12"/>
        <v>#DIV/0!</v>
      </c>
      <c r="AH58" s="145" t="e">
        <f t="shared" si="12"/>
        <v>#DIV/0!</v>
      </c>
      <c r="AI58" s="145" t="e">
        <f t="shared" si="12"/>
        <v>#DIV/0!</v>
      </c>
      <c r="AJ58" s="145" t="e">
        <f t="shared" si="12"/>
        <v>#DIV/0!</v>
      </c>
      <c r="AK58" s="145" t="e">
        <f t="shared" si="12"/>
        <v>#DIV/0!</v>
      </c>
      <c r="AL58" s="145" t="e">
        <f t="shared" si="12"/>
        <v>#DIV/0!</v>
      </c>
      <c r="AM58" s="145" t="e">
        <f t="shared" si="12"/>
        <v>#DIV/0!</v>
      </c>
      <c r="AN58" s="145" t="e">
        <f t="shared" si="12"/>
        <v>#DIV/0!</v>
      </c>
    </row>
    <row r="59" spans="2:40" ht="35.25" customHeight="1" thickBot="1" x14ac:dyDescent="0.2">
      <c r="B59" s="440"/>
      <c r="C59" s="138" t="s">
        <v>1254</v>
      </c>
      <c r="D59" s="139">
        <f>SUM('caseload data'!E:E)</f>
        <v>0</v>
      </c>
      <c r="E59" s="139">
        <f>SUM('caseload data'!F:F)</f>
        <v>0</v>
      </c>
      <c r="F59" s="139">
        <f>SUM('caseload data'!G:G)</f>
        <v>0</v>
      </c>
      <c r="G59" s="139">
        <f>SUM('caseload data'!H:H)</f>
        <v>0</v>
      </c>
      <c r="H59" s="139">
        <f>SUM('caseload data'!I:I)</f>
        <v>0</v>
      </c>
      <c r="I59" s="139">
        <f>SUM('caseload data'!J:J)</f>
        <v>0</v>
      </c>
      <c r="J59" s="139">
        <f>SUM('caseload data'!K:K)</f>
        <v>0</v>
      </c>
      <c r="K59" s="139">
        <f>SUM('caseload data'!L:L)</f>
        <v>0</v>
      </c>
      <c r="L59" s="139">
        <f>SUM('caseload data'!M:M)</f>
        <v>0</v>
      </c>
      <c r="M59" s="139">
        <f>SUM('caseload data'!N:N)</f>
        <v>0</v>
      </c>
      <c r="N59" s="139">
        <f>SUM('caseload data'!O:O)</f>
        <v>0</v>
      </c>
      <c r="O59" s="139">
        <f>SUM('caseload data'!P:P)</f>
        <v>0</v>
      </c>
      <c r="P59" s="139">
        <f>SUM('caseload data'!Q:Q)</f>
        <v>0</v>
      </c>
      <c r="Q59" s="139">
        <f>SUM('caseload data'!R:R)</f>
        <v>0</v>
      </c>
      <c r="R59" s="139">
        <f>SUM('caseload data'!S:S)</f>
        <v>0</v>
      </c>
      <c r="S59" s="139">
        <f>SUM('caseload data'!T:T)</f>
        <v>0</v>
      </c>
      <c r="T59" s="140">
        <f>SUM('caseload data'!V:V)</f>
        <v>0</v>
      </c>
      <c r="U59" s="68"/>
      <c r="V59" s="68"/>
      <c r="W59" s="135"/>
      <c r="X59" s="136"/>
      <c r="Y59" s="137"/>
      <c r="Z59" s="137"/>
      <c r="AA59" s="137"/>
      <c r="AB59" s="137"/>
      <c r="AC59" s="137"/>
      <c r="AD59" s="137"/>
      <c r="AE59" s="137"/>
    </row>
    <row r="61" spans="2:40" ht="15" thickBot="1" x14ac:dyDescent="0.2"/>
    <row r="62" spans="2:40" ht="23.25" customHeight="1" thickBot="1" x14ac:dyDescent="0.25">
      <c r="B62" s="1"/>
      <c r="C62" s="2"/>
      <c r="D62" s="432" t="s">
        <v>1255</v>
      </c>
      <c r="E62" s="433"/>
      <c r="F62" s="433"/>
      <c r="G62" s="433"/>
      <c r="H62" s="433"/>
      <c r="I62" s="433"/>
      <c r="J62" s="433"/>
      <c r="K62" s="433"/>
      <c r="L62" s="433"/>
      <c r="M62" s="433"/>
      <c r="N62" s="433"/>
      <c r="O62" s="433"/>
      <c r="P62" s="433"/>
      <c r="Q62" s="433"/>
      <c r="R62" s="433"/>
      <c r="S62" s="433"/>
      <c r="T62" s="434"/>
      <c r="W62" s="1"/>
      <c r="X62" s="2"/>
      <c r="Y62" s="436" t="s">
        <v>1256</v>
      </c>
      <c r="Z62" s="437"/>
      <c r="AA62" s="437"/>
      <c r="AB62" s="437"/>
      <c r="AC62" s="437"/>
      <c r="AD62" s="437"/>
      <c r="AE62" s="437"/>
      <c r="AF62" s="437"/>
      <c r="AG62" s="437"/>
      <c r="AH62" s="437"/>
      <c r="AI62" s="437"/>
      <c r="AJ62" s="437"/>
      <c r="AK62" s="437"/>
      <c r="AL62" s="437"/>
      <c r="AM62" s="437"/>
      <c r="AN62" s="437"/>
    </row>
    <row r="63" spans="2:40" x14ac:dyDescent="0.15">
      <c r="B63" s="128" t="s">
        <v>996</v>
      </c>
      <c r="C63" s="130" t="s">
        <v>1165</v>
      </c>
      <c r="D63" s="40" t="s">
        <v>1022</v>
      </c>
      <c r="E63" s="40" t="s">
        <v>1023</v>
      </c>
      <c r="F63" s="40" t="s">
        <v>1024</v>
      </c>
      <c r="G63" s="40" t="s">
        <v>1025</v>
      </c>
      <c r="H63" s="40" t="s">
        <v>1026</v>
      </c>
      <c r="I63" s="40" t="s">
        <v>1027</v>
      </c>
      <c r="J63" s="40" t="s">
        <v>1028</v>
      </c>
      <c r="K63" s="40" t="s">
        <v>1029</v>
      </c>
      <c r="L63" s="40" t="s">
        <v>1030</v>
      </c>
      <c r="M63" s="40" t="s">
        <v>1031</v>
      </c>
      <c r="N63" s="40" t="s">
        <v>1032</v>
      </c>
      <c r="O63" s="40" t="s">
        <v>1033</v>
      </c>
      <c r="P63" s="40" t="s">
        <v>1034</v>
      </c>
      <c r="Q63" s="40" t="s">
        <v>1035</v>
      </c>
      <c r="R63" s="40" t="s">
        <v>1036</v>
      </c>
      <c r="S63" s="40" t="s">
        <v>1037</v>
      </c>
      <c r="T63" s="131" t="s">
        <v>1039</v>
      </c>
      <c r="U63" s="68"/>
      <c r="V63" s="68"/>
      <c r="W63" s="128" t="s">
        <v>996</v>
      </c>
      <c r="X63" s="130" t="s">
        <v>1165</v>
      </c>
      <c r="Y63" s="40" t="s">
        <v>1022</v>
      </c>
      <c r="Z63" s="40" t="s">
        <v>1023</v>
      </c>
      <c r="AA63" s="40" t="s">
        <v>1024</v>
      </c>
      <c r="AB63" s="40" t="s">
        <v>1025</v>
      </c>
      <c r="AC63" s="40" t="s">
        <v>1026</v>
      </c>
      <c r="AD63" s="40" t="s">
        <v>1027</v>
      </c>
      <c r="AE63" s="40" t="s">
        <v>1028</v>
      </c>
      <c r="AF63" s="40" t="s">
        <v>1029</v>
      </c>
      <c r="AG63" s="40" t="s">
        <v>1030</v>
      </c>
      <c r="AH63" s="40" t="s">
        <v>1031</v>
      </c>
      <c r="AI63" s="40" t="s">
        <v>1032</v>
      </c>
      <c r="AJ63" s="40" t="s">
        <v>1033</v>
      </c>
      <c r="AK63" s="40" t="s">
        <v>1034</v>
      </c>
      <c r="AL63" s="40" t="s">
        <v>1035</v>
      </c>
      <c r="AM63" s="40" t="s">
        <v>1036</v>
      </c>
      <c r="AN63" s="40" t="s">
        <v>1037</v>
      </c>
    </row>
    <row r="64" spans="2:40" x14ac:dyDescent="0.15">
      <c r="B64" s="426" t="s">
        <v>23</v>
      </c>
      <c r="C64" s="132" t="s">
        <v>1166</v>
      </c>
      <c r="D64" s="98" cm="1">
        <f t="array" ref="D64">SUM(SUMIFS('caseload data'!E:E,'caseload data'!$D:$D,"PO",'caseload data'!$A:$A,_xlfn.SINGLE('national caseload'!$B$64:$B$66),'caseload data'!$B:$B,{"licence","community"}))</f>
        <v>0</v>
      </c>
      <c r="E64" s="98" cm="1">
        <f t="array" ref="E64">SUM(SUMIFS('caseload data'!F:F,'caseload data'!$D:$D,"PO",'caseload data'!$A:$A,_xlfn.SINGLE('national caseload'!$B$64:$B$66),'caseload data'!$B:$B,{"licence","community"}))</f>
        <v>0</v>
      </c>
      <c r="F64" s="98" cm="1">
        <f t="array" ref="F64">SUM(SUMIFS('caseload data'!G:G,'caseload data'!$D:$D,"PO",'caseload data'!$A:$A,_xlfn.SINGLE('national caseload'!$B$64:$B$66),'caseload data'!$B:$B,{"licence","community"}))</f>
        <v>0</v>
      </c>
      <c r="G64" s="98" cm="1">
        <f t="array" ref="G64">SUM(SUMIFS('caseload data'!H:H,'caseload data'!$D:$D,"PO",'caseload data'!$A:$A,_xlfn.SINGLE('national caseload'!$B$64:$B$66),'caseload data'!$B:$B,{"licence","community"}))</f>
        <v>0</v>
      </c>
      <c r="H64" s="98" cm="1">
        <f t="array" ref="H64">SUM(SUMIFS('caseload data'!I:I,'caseload data'!$D:$D,"PO",'caseload data'!$A:$A,_xlfn.SINGLE('national caseload'!$B$64:$B$66),'caseload data'!$B:$B,{"licence","community"}))</f>
        <v>0</v>
      </c>
      <c r="I64" s="98" cm="1">
        <f t="array" ref="I64">SUM(SUMIFS('caseload data'!J:J,'caseload data'!$D:$D,"PO",'caseload data'!$A:$A,_xlfn.SINGLE('national caseload'!$B$64:$B$66),'caseload data'!$B:$B,{"licence","community"}))</f>
        <v>0</v>
      </c>
      <c r="J64" s="98" cm="1">
        <f t="array" ref="J64">SUM(SUMIFS('caseload data'!K:K,'caseload data'!$D:$D,"PO",'caseload data'!$A:$A,_xlfn.SINGLE('national caseload'!$B$64:$B$66),'caseload data'!$B:$B,{"licence","community"}))</f>
        <v>0</v>
      </c>
      <c r="K64" s="98" cm="1">
        <f t="array" ref="K64">SUM(SUMIFS('caseload data'!L:L,'caseload data'!$D:$D,"PO",'caseload data'!$A:$A,_xlfn.SINGLE('national caseload'!$B$64:$B$66),'caseload data'!$B:$B,{"licence","community"}))</f>
        <v>0</v>
      </c>
      <c r="L64" s="98" cm="1">
        <f t="array" ref="L64">SUM(SUMIFS('caseload data'!M:M,'caseload data'!$D:$D,"PO",'caseload data'!$A:$A,_xlfn.SINGLE('national caseload'!$B$64:$B$66),'caseload data'!$B:$B,{"licence","community"}))</f>
        <v>0</v>
      </c>
      <c r="M64" s="98" cm="1">
        <f t="array" ref="M64">SUM(SUMIFS('caseload data'!N:N,'caseload data'!$D:$D,"PO",'caseload data'!$A:$A,_xlfn.SINGLE('national caseload'!$B$64:$B$66),'caseload data'!$B:$B,{"licence","community"}))</f>
        <v>0</v>
      </c>
      <c r="N64" s="98" cm="1">
        <f t="array" ref="N64">SUM(SUMIFS('caseload data'!O:O,'caseload data'!$D:$D,"PO",'caseload data'!$A:$A,_xlfn.SINGLE('national caseload'!$B$64:$B$66),'caseload data'!$B:$B,{"licence","community"}))</f>
        <v>0</v>
      </c>
      <c r="O64" s="98" cm="1">
        <f t="array" ref="O64">SUM(SUMIFS('caseload data'!P:P,'caseload data'!$D:$D,"PO",'caseload data'!$A:$A,_xlfn.SINGLE('national caseload'!$B$64:$B$66),'caseload data'!$B:$B,{"licence","community"}))</f>
        <v>0</v>
      </c>
      <c r="P64" s="98" cm="1">
        <f t="array" ref="P64">SUM(SUMIFS('caseload data'!Q:Q,'caseload data'!$D:$D,"PO",'caseload data'!$A:$A,_xlfn.SINGLE('national caseload'!$B$64:$B$66),'caseload data'!$B:$B,{"licence","community"}))</f>
        <v>0</v>
      </c>
      <c r="Q64" s="98" cm="1">
        <f t="array" ref="Q64">SUM(SUMIFS('caseload data'!R:R,'caseload data'!$D:$D,"PO",'caseload data'!$A:$A,_xlfn.SINGLE('national caseload'!$B$64:$B$66),'caseload data'!$B:$B,{"licence","community"}))</f>
        <v>0</v>
      </c>
      <c r="R64" s="98" cm="1">
        <f t="array" ref="R64">SUM(SUMIFS('caseload data'!S:S,'caseload data'!$D:$D,"PO",'caseload data'!$A:$A,_xlfn.SINGLE('national caseload'!$B$64:$B$66),'caseload data'!$B:$B,{"licence","community"}))</f>
        <v>0</v>
      </c>
      <c r="S64" s="98" cm="1">
        <f t="array" ref="S64">SUM(SUMIFS('caseload data'!T:T,'caseload data'!$D:$D,"PO",'caseload data'!$A:$A,_xlfn.SINGLE('national caseload'!$B$64:$B$66),'caseload data'!$B:$B,{"licence","community"}))</f>
        <v>0</v>
      </c>
      <c r="T64" s="98">
        <f>SUM(SUMIFS('caseload data'!V:V,'caseload data'!D:D,"PO",'caseload data'!A:A,'national caseload'!B64:B66,'caseload data'!B:B,{"licence","community"}))</f>
        <v>0</v>
      </c>
      <c r="U64" s="68"/>
      <c r="V64" s="68"/>
      <c r="W64" s="426" t="s">
        <v>23</v>
      </c>
      <c r="X64" s="132" t="s">
        <v>1166</v>
      </c>
      <c r="Y64" s="175" t="e">
        <f t="shared" ref="Y64:Y83" si="13">SUM(D64)/SUM(D$64:D$67)</f>
        <v>#DIV/0!</v>
      </c>
      <c r="Z64" s="175" t="e">
        <f t="shared" ref="Z64:AN78" si="14">SUM(E64)/SUM(E$64:E$67)</f>
        <v>#DIV/0!</v>
      </c>
      <c r="AA64" s="175" t="e">
        <f t="shared" si="14"/>
        <v>#DIV/0!</v>
      </c>
      <c r="AB64" s="175" t="e">
        <f t="shared" si="14"/>
        <v>#DIV/0!</v>
      </c>
      <c r="AC64" s="175" t="e">
        <f t="shared" si="14"/>
        <v>#DIV/0!</v>
      </c>
      <c r="AD64" s="175" t="e">
        <f t="shared" si="14"/>
        <v>#DIV/0!</v>
      </c>
      <c r="AE64" s="175" t="e">
        <f t="shared" si="14"/>
        <v>#DIV/0!</v>
      </c>
      <c r="AF64" s="175" t="e">
        <f t="shared" si="14"/>
        <v>#DIV/0!</v>
      </c>
      <c r="AG64" s="175" t="e">
        <f t="shared" si="14"/>
        <v>#DIV/0!</v>
      </c>
      <c r="AH64" s="175" t="e">
        <f t="shared" si="14"/>
        <v>#DIV/0!</v>
      </c>
      <c r="AI64" s="175" t="e">
        <f t="shared" si="14"/>
        <v>#DIV/0!</v>
      </c>
      <c r="AJ64" s="175" t="e">
        <f t="shared" si="14"/>
        <v>#DIV/0!</v>
      </c>
      <c r="AK64" s="175" t="e">
        <f t="shared" si="14"/>
        <v>#DIV/0!</v>
      </c>
      <c r="AL64" s="175" t="e">
        <f t="shared" si="14"/>
        <v>#DIV/0!</v>
      </c>
      <c r="AM64" s="175" t="e">
        <f t="shared" si="14"/>
        <v>#DIV/0!</v>
      </c>
      <c r="AN64" s="175" t="e">
        <f t="shared" si="14"/>
        <v>#DIV/0!</v>
      </c>
    </row>
    <row r="65" spans="2:40" x14ac:dyDescent="0.15">
      <c r="B65" s="427"/>
      <c r="C65" s="133" t="s">
        <v>1172</v>
      </c>
      <c r="D65" s="98" cm="1">
        <f t="array" ref="D65">SUM(SUMIFS('caseload data'!E:E,'caseload data'!$D:$D,"PSO",'caseload data'!$A:$A,"East Midlands Region",'caseload data'!$B:$B,{"licence","community"}))</f>
        <v>0</v>
      </c>
      <c r="E65" s="98" cm="1">
        <f t="array" ref="E65">SUM(SUMIFS('caseload data'!F:F,'caseload data'!$D:$D,"PSO",'caseload data'!$A:$A,"East Midlands Region",'caseload data'!$B:$B,{"licence","community"}))</f>
        <v>0</v>
      </c>
      <c r="F65" s="98" cm="1">
        <f t="array" ref="F65">SUM(SUMIFS('caseload data'!G:G,'caseload data'!$D:$D,"PSO",'caseload data'!$A:$A,"East Midlands Region",'caseload data'!$B:$B,{"licence","community"}))</f>
        <v>0</v>
      </c>
      <c r="G65" s="98" cm="1">
        <f t="array" ref="G65">SUM(SUMIFS('caseload data'!H:H,'caseload data'!$D:$D,"PSO",'caseload data'!$A:$A,"East Midlands Region",'caseload data'!$B:$B,{"licence","community"}))</f>
        <v>0</v>
      </c>
      <c r="H65" s="98" cm="1">
        <f t="array" ref="H65">SUM(SUMIFS('caseload data'!I:I,'caseload data'!$D:$D,"PSO",'caseload data'!$A:$A,"East Midlands Region",'caseload data'!$B:$B,{"licence","community"}))</f>
        <v>0</v>
      </c>
      <c r="I65" s="98" cm="1">
        <f t="array" ref="I65">SUM(SUMIFS('caseload data'!J:J,'caseload data'!$D:$D,"PSO",'caseload data'!$A:$A,"East Midlands Region",'caseload data'!$B:$B,{"licence","community"}))</f>
        <v>0</v>
      </c>
      <c r="J65" s="98" cm="1">
        <f t="array" ref="J65">SUM(SUMIFS('caseload data'!K:K,'caseload data'!$D:$D,"PSO",'caseload data'!$A:$A,"East Midlands Region",'caseload data'!$B:$B,{"licence","community"}))</f>
        <v>0</v>
      </c>
      <c r="K65" s="98" cm="1">
        <f t="array" ref="K65">SUM(SUMIFS('caseload data'!L:L,'caseload data'!$D:$D,"PSO",'caseload data'!$A:$A,"East Midlands Region",'caseload data'!$B:$B,{"licence","community"}))</f>
        <v>0</v>
      </c>
      <c r="L65" s="98" cm="1">
        <f t="array" ref="L65">SUM(SUMIFS('caseload data'!M:M,'caseload data'!$D:$D,"PSO",'caseload data'!$A:$A,"East Midlands Region",'caseload data'!$B:$B,{"licence","community"}))</f>
        <v>0</v>
      </c>
      <c r="M65" s="98" cm="1">
        <f t="array" ref="M65">SUM(SUMIFS('caseload data'!N:N,'caseload data'!$D:$D,"PSO",'caseload data'!$A:$A,"East Midlands Region",'caseload data'!$B:$B,{"licence","community"}))</f>
        <v>0</v>
      </c>
      <c r="N65" s="98" cm="1">
        <f t="array" ref="N65">SUM(SUMIFS('caseload data'!O:O,'caseload data'!$D:$D,"PSO",'caseload data'!$A:$A,"East Midlands Region",'caseload data'!$B:$B,{"licence","community"}))</f>
        <v>0</v>
      </c>
      <c r="O65" s="98" cm="1">
        <f t="array" ref="O65">SUM(SUMIFS('caseload data'!P:P,'caseload data'!$D:$D,"PSO",'caseload data'!$A:$A,"East Midlands Region",'caseload data'!$B:$B,{"licence","community"}))</f>
        <v>0</v>
      </c>
      <c r="P65" s="98" cm="1">
        <f t="array" ref="P65">SUM(SUMIFS('caseload data'!Q:Q,'caseload data'!$D:$D,"PSO",'caseload data'!$A:$A,"East Midlands Region",'caseload data'!$B:$B,{"licence","community"}))</f>
        <v>0</v>
      </c>
      <c r="Q65" s="98" cm="1">
        <f t="array" ref="Q65">SUM(SUMIFS('caseload data'!R:R,'caseload data'!$D:$D,"PSO",'caseload data'!$A:$A,"East Midlands Region",'caseload data'!$B:$B,{"licence","community"}))</f>
        <v>0</v>
      </c>
      <c r="R65" s="98" cm="1">
        <f t="array" ref="R65">SUM(SUMIFS('caseload data'!S:S,'caseload data'!$D:$D,"PSO",'caseload data'!$A:$A,"East Midlands Region",'caseload data'!$B:$B,{"licence","community"}))</f>
        <v>0</v>
      </c>
      <c r="S65" s="98" cm="1">
        <f t="array" ref="S65">SUM(SUMIFS('caseload data'!T:T,'caseload data'!$D:$D,"PSO",'caseload data'!$A:$A,"East Midlands Region",'caseload data'!$B:$B,{"licence","community"}))</f>
        <v>0</v>
      </c>
      <c r="T65" s="98" cm="1">
        <f t="array" ref="T65">SUM(SUMIFS('caseload data'!V:V,'caseload data'!D:D,"PSO",'caseload data'!A:A,"East Midlands Region",'caseload data'!B:B,{"licence","community"}))</f>
        <v>0</v>
      </c>
      <c r="U65" s="68"/>
      <c r="V65" s="68"/>
      <c r="W65" s="427"/>
      <c r="X65" s="133" t="s">
        <v>1172</v>
      </c>
      <c r="Y65" s="175" t="e">
        <f t="shared" si="13"/>
        <v>#DIV/0!</v>
      </c>
      <c r="Z65" s="175" t="e">
        <f t="shared" si="14"/>
        <v>#DIV/0!</v>
      </c>
      <c r="AA65" s="175" t="e">
        <f t="shared" si="14"/>
        <v>#DIV/0!</v>
      </c>
      <c r="AB65" s="175" t="e">
        <f t="shared" si="14"/>
        <v>#DIV/0!</v>
      </c>
      <c r="AC65" s="175" t="e">
        <f t="shared" si="14"/>
        <v>#DIV/0!</v>
      </c>
      <c r="AD65" s="175" t="e">
        <f t="shared" si="14"/>
        <v>#DIV/0!</v>
      </c>
      <c r="AE65" s="175" t="e">
        <f t="shared" si="14"/>
        <v>#DIV/0!</v>
      </c>
      <c r="AF65" s="175" t="e">
        <f t="shared" si="14"/>
        <v>#DIV/0!</v>
      </c>
      <c r="AG65" s="175" t="e">
        <f t="shared" si="14"/>
        <v>#DIV/0!</v>
      </c>
      <c r="AH65" s="175" t="e">
        <f t="shared" si="14"/>
        <v>#DIV/0!</v>
      </c>
      <c r="AI65" s="175" t="e">
        <f t="shared" si="14"/>
        <v>#DIV/0!</v>
      </c>
      <c r="AJ65" s="175" t="e">
        <f t="shared" si="14"/>
        <v>#DIV/0!</v>
      </c>
      <c r="AK65" s="175" t="e">
        <f t="shared" si="14"/>
        <v>#DIV/0!</v>
      </c>
      <c r="AL65" s="175" t="e">
        <f t="shared" si="14"/>
        <v>#DIV/0!</v>
      </c>
      <c r="AM65" s="175" t="e">
        <f t="shared" si="14"/>
        <v>#DIV/0!</v>
      </c>
      <c r="AN65" s="175" t="e">
        <f t="shared" si="14"/>
        <v>#DIV/0!</v>
      </c>
    </row>
    <row r="66" spans="2:40" x14ac:dyDescent="0.15">
      <c r="B66" s="427"/>
      <c r="C66" s="133" t="s">
        <v>1173</v>
      </c>
      <c r="D66" s="98" cm="1">
        <f t="array" ref="D66">SUM(SUMIFS('caseload data'!E:E,'caseload data'!$D:$D,"TPO",'caseload data'!$A:$A,"East Midlands Region",'caseload data'!$B:$B,{"licence","community"}))</f>
        <v>0</v>
      </c>
      <c r="E66" s="98" cm="1">
        <f t="array" ref="E66">SUM(SUMIFS('caseload data'!F:F,'caseload data'!$D:$D,"TPO",'caseload data'!$A:$A,"East Midlands Region",'caseload data'!$B:$B,{"licence","community"}))</f>
        <v>0</v>
      </c>
      <c r="F66" s="98" cm="1">
        <f t="array" ref="F66">SUM(SUMIFS('caseload data'!G:G,'caseload data'!$D:$D,"TPO",'caseload data'!$A:$A,"East Midlands Region",'caseload data'!$B:$B,{"licence","community"}))</f>
        <v>0</v>
      </c>
      <c r="G66" s="98" cm="1">
        <f t="array" ref="G66">SUM(SUMIFS('caseload data'!H:H,'caseload data'!$D:$D,"TPO",'caseload data'!$A:$A,"East Midlands Region",'caseload data'!$B:$B,{"licence","community"}))</f>
        <v>0</v>
      </c>
      <c r="H66" s="98" cm="1">
        <f t="array" ref="H66">SUM(SUMIFS('caseload data'!I:I,'caseload data'!$D:$D,"TPO",'caseload data'!$A:$A,"East Midlands Region",'caseload data'!$B:$B,{"licence","community"}))</f>
        <v>0</v>
      </c>
      <c r="I66" s="98" cm="1">
        <f t="array" ref="I66">SUM(SUMIFS('caseload data'!J:J,'caseload data'!$D:$D,"TPO",'caseload data'!$A:$A,"East Midlands Region",'caseload data'!$B:$B,{"licence","community"}))</f>
        <v>0</v>
      </c>
      <c r="J66" s="98" cm="1">
        <f t="array" ref="J66">SUM(SUMIFS('caseload data'!K:K,'caseload data'!$D:$D,"TPO",'caseload data'!$A:$A,"East Midlands Region",'caseload data'!$B:$B,{"licence","community"}))</f>
        <v>0</v>
      </c>
      <c r="K66" s="98" cm="1">
        <f t="array" ref="K66">SUM(SUMIFS('caseload data'!L:L,'caseload data'!$D:$D,"TPO",'caseload data'!$A:$A,"East Midlands Region",'caseload data'!$B:$B,{"licence","community"}))</f>
        <v>0</v>
      </c>
      <c r="L66" s="98" cm="1">
        <f t="array" ref="L66">SUM(SUMIFS('caseload data'!M:M,'caseload data'!$D:$D,"TPO",'caseload data'!$A:$A,"East Midlands Region",'caseload data'!$B:$B,{"licence","community"}))</f>
        <v>0</v>
      </c>
      <c r="M66" s="98" cm="1">
        <f t="array" ref="M66">SUM(SUMIFS('caseload data'!N:N,'caseload data'!$D:$D,"TPO",'caseload data'!$A:$A,"East Midlands Region",'caseload data'!$B:$B,{"licence","community"}))</f>
        <v>0</v>
      </c>
      <c r="N66" s="98" cm="1">
        <f t="array" ref="N66">SUM(SUMIFS('caseload data'!O:O,'caseload data'!$D:$D,"TPO",'caseload data'!$A:$A,"East Midlands Region",'caseload data'!$B:$B,{"licence","community"}))</f>
        <v>0</v>
      </c>
      <c r="O66" s="98" cm="1">
        <f t="array" ref="O66">SUM(SUMIFS('caseload data'!P:P,'caseload data'!$D:$D,"TPO",'caseload data'!$A:$A,"East Midlands Region",'caseload data'!$B:$B,{"licence","community"}))</f>
        <v>0</v>
      </c>
      <c r="P66" s="98" cm="1">
        <f t="array" ref="P66">SUM(SUMIFS('caseload data'!Q:Q,'caseload data'!$D:$D,"TPO",'caseload data'!$A:$A,"East Midlands Region",'caseload data'!$B:$B,{"licence","community"}))</f>
        <v>0</v>
      </c>
      <c r="Q66" s="98" cm="1">
        <f t="array" ref="Q66">SUM(SUMIFS('caseload data'!R:R,'caseload data'!$D:$D,"TPO",'caseload data'!$A:$A,"East Midlands Region",'caseload data'!$B:$B,{"licence","community"}))</f>
        <v>0</v>
      </c>
      <c r="R66" s="98" cm="1">
        <f t="array" ref="R66">SUM(SUMIFS('caseload data'!S:S,'caseload data'!$D:$D,"TPO",'caseload data'!$A:$A,"East Midlands Region",'caseload data'!$B:$B,{"licence","community"}))</f>
        <v>0</v>
      </c>
      <c r="S66" s="98" cm="1">
        <f t="array" ref="S66">SUM(SUMIFS('caseload data'!T:T,'caseload data'!$D:$D,"TPO",'caseload data'!$A:$A,"East Midlands Region",'caseload data'!$B:$B,{"licence","community"}))</f>
        <v>0</v>
      </c>
      <c r="T66" s="98" cm="1">
        <f t="array" ref="T66">SUM(SUMIFS('caseload data'!V:V,'caseload data'!D:D,"TPO",'caseload data'!A:A,"East Midlands Region",'caseload data'!B:B,{"licence","community"}))</f>
        <v>0</v>
      </c>
      <c r="U66" s="68"/>
      <c r="V66" s="68"/>
      <c r="W66" s="427"/>
      <c r="X66" s="133" t="s">
        <v>1173</v>
      </c>
      <c r="Y66" s="175" t="e">
        <f t="shared" si="13"/>
        <v>#DIV/0!</v>
      </c>
      <c r="Z66" s="175" t="e">
        <f t="shared" si="14"/>
        <v>#DIV/0!</v>
      </c>
      <c r="AA66" s="175" t="e">
        <f t="shared" si="14"/>
        <v>#DIV/0!</v>
      </c>
      <c r="AB66" s="175" t="e">
        <f t="shared" si="14"/>
        <v>#DIV/0!</v>
      </c>
      <c r="AC66" s="175" t="e">
        <f t="shared" si="14"/>
        <v>#DIV/0!</v>
      </c>
      <c r="AD66" s="175" t="e">
        <f t="shared" si="14"/>
        <v>#DIV/0!</v>
      </c>
      <c r="AE66" s="175" t="e">
        <f t="shared" si="14"/>
        <v>#DIV/0!</v>
      </c>
      <c r="AF66" s="175" t="e">
        <f t="shared" si="14"/>
        <v>#DIV/0!</v>
      </c>
      <c r="AG66" s="175" t="e">
        <f t="shared" si="14"/>
        <v>#DIV/0!</v>
      </c>
      <c r="AH66" s="175" t="e">
        <f t="shared" si="14"/>
        <v>#DIV/0!</v>
      </c>
      <c r="AI66" s="175" t="e">
        <f t="shared" si="14"/>
        <v>#DIV/0!</v>
      </c>
      <c r="AJ66" s="175" t="e">
        <f t="shared" si="14"/>
        <v>#DIV/0!</v>
      </c>
      <c r="AK66" s="175" t="e">
        <f t="shared" si="14"/>
        <v>#DIV/0!</v>
      </c>
      <c r="AL66" s="175" t="e">
        <f t="shared" si="14"/>
        <v>#DIV/0!</v>
      </c>
      <c r="AM66" s="175" t="e">
        <f t="shared" si="14"/>
        <v>#DIV/0!</v>
      </c>
      <c r="AN66" s="175" t="e">
        <f t="shared" si="14"/>
        <v>#DIV/0!</v>
      </c>
    </row>
    <row r="67" spans="2:40" x14ac:dyDescent="0.15">
      <c r="B67" s="428"/>
      <c r="C67" s="134" t="s">
        <v>1174</v>
      </c>
      <c r="D67" s="98" cm="1">
        <f t="array" ref="D67">SUM(SUMIFS('caseload data'!E:E,'caseload data'!$D:$D,"SPO",'caseload data'!$A:$A,"East Midlands Region",'caseload data'!$B:$B,{"licence","community"}))</f>
        <v>0</v>
      </c>
      <c r="E67" s="98" cm="1">
        <f t="array" ref="E67">SUM(SUMIFS('caseload data'!F:F,'caseload data'!$D:$D,"SPO",'caseload data'!$A:$A,"East Midlands Region",'caseload data'!$B:$B,{"licence","community"}))</f>
        <v>0</v>
      </c>
      <c r="F67" s="98" cm="1">
        <f t="array" ref="F67">SUM(SUMIFS('caseload data'!G:G,'caseload data'!$D:$D,"SPO",'caseload data'!$A:$A,"East Midlands Region",'caseload data'!$B:$B,{"licence","community"}))</f>
        <v>0</v>
      </c>
      <c r="G67" s="98" cm="1">
        <f t="array" ref="G67">SUM(SUMIFS('caseload data'!H:H,'caseload data'!$D:$D,"SPO",'caseload data'!$A:$A,"East Midlands Region",'caseload data'!$B:$B,{"licence","community"}))</f>
        <v>0</v>
      </c>
      <c r="H67" s="98" cm="1">
        <f t="array" ref="H67">SUM(SUMIFS('caseload data'!I:I,'caseload data'!$D:$D,"SPO",'caseload data'!$A:$A,"East Midlands Region",'caseload data'!$B:$B,{"licence","community"}))</f>
        <v>0</v>
      </c>
      <c r="I67" s="98" cm="1">
        <f t="array" ref="I67">SUM(SUMIFS('caseload data'!J:J,'caseload data'!$D:$D,"SPO",'caseload data'!$A:$A,"East Midlands Region",'caseload data'!$B:$B,{"licence","community"}))</f>
        <v>0</v>
      </c>
      <c r="J67" s="98" cm="1">
        <f t="array" ref="J67">SUM(SUMIFS('caseload data'!K:K,'caseload data'!$D:$D,"SPO",'caseload data'!$A:$A,"East Midlands Region",'caseload data'!$B:$B,{"licence","community"}))</f>
        <v>0</v>
      </c>
      <c r="K67" s="98" cm="1">
        <f t="array" ref="K67">SUM(SUMIFS('caseload data'!L:L,'caseload data'!$D:$D,"SPO",'caseload data'!$A:$A,"East Midlands Region",'caseload data'!$B:$B,{"licence","community"}))</f>
        <v>0</v>
      </c>
      <c r="L67" s="98" cm="1">
        <f t="array" ref="L67">SUM(SUMIFS('caseload data'!M:M,'caseload data'!$D:$D,"SPO",'caseload data'!$A:$A,"East Midlands Region",'caseload data'!$B:$B,{"licence","community"}))</f>
        <v>0</v>
      </c>
      <c r="M67" s="98" cm="1">
        <f t="array" ref="M67">SUM(SUMIFS('caseload data'!N:N,'caseload data'!$D:$D,"SPO",'caseload data'!$A:$A,"East Midlands Region",'caseload data'!$B:$B,{"licence","community"}))</f>
        <v>0</v>
      </c>
      <c r="N67" s="98" cm="1">
        <f t="array" ref="N67">SUM(SUMIFS('caseload data'!O:O,'caseload data'!$D:$D,"SPO",'caseload data'!$A:$A,"East Midlands Region",'caseload data'!$B:$B,{"licence","community"}))</f>
        <v>0</v>
      </c>
      <c r="O67" s="98" cm="1">
        <f t="array" ref="O67">SUM(SUMIFS('caseload data'!P:P,'caseload data'!$D:$D,"SPO",'caseload data'!$A:$A,"East Midlands Region",'caseload data'!$B:$B,{"licence","community"}))</f>
        <v>0</v>
      </c>
      <c r="P67" s="98" cm="1">
        <f t="array" ref="P67">SUM(SUMIFS('caseload data'!Q:Q,'caseload data'!$D:$D,"SPO",'caseload data'!$A:$A,"East Midlands Region",'caseload data'!$B:$B,{"licence","community"}))</f>
        <v>0</v>
      </c>
      <c r="Q67" s="98" cm="1">
        <f t="array" ref="Q67">SUM(SUMIFS('caseload data'!R:R,'caseload data'!$D:$D,"SPO",'caseload data'!$A:$A,"East Midlands Region",'caseload data'!$B:$B,{"licence","community"}))</f>
        <v>0</v>
      </c>
      <c r="R67" s="98" cm="1">
        <f t="array" ref="R67">SUM(SUMIFS('caseload data'!S:S,'caseload data'!$D:$D,"SPO",'caseload data'!$A:$A,"East Midlands Region",'caseload data'!$B:$B,{"licence","community"}))</f>
        <v>0</v>
      </c>
      <c r="S67" s="98" cm="1">
        <f t="array" ref="S67">SUM(SUMIFS('caseload data'!T:T,'caseload data'!$D:$D,"SPO",'caseload data'!$A:$A,"East Midlands Region",'caseload data'!$B:$B,{"licence","community"}))</f>
        <v>0</v>
      </c>
      <c r="T67" s="98" cm="1">
        <f t="array" ref="T67">SUM(SUMIFS('caseload data'!V:V,'caseload data'!$D:$D,"SPO",'caseload data'!$A:$A,"East Midlands Region",'caseload data'!$B:$B,{"licence","community"}))</f>
        <v>0</v>
      </c>
      <c r="U67" s="68"/>
      <c r="V67" s="68"/>
      <c r="W67" s="428"/>
      <c r="X67" s="134" t="s">
        <v>1174</v>
      </c>
      <c r="Y67" s="175" t="e">
        <f t="shared" si="13"/>
        <v>#DIV/0!</v>
      </c>
      <c r="Z67" s="175" t="e">
        <f t="shared" si="14"/>
        <v>#DIV/0!</v>
      </c>
      <c r="AA67" s="175" t="e">
        <f t="shared" si="14"/>
        <v>#DIV/0!</v>
      </c>
      <c r="AB67" s="175" t="e">
        <f t="shared" si="14"/>
        <v>#DIV/0!</v>
      </c>
      <c r="AC67" s="175" t="e">
        <f t="shared" si="14"/>
        <v>#DIV/0!</v>
      </c>
      <c r="AD67" s="175" t="e">
        <f t="shared" si="14"/>
        <v>#DIV/0!</v>
      </c>
      <c r="AE67" s="175" t="e">
        <f t="shared" si="14"/>
        <v>#DIV/0!</v>
      </c>
      <c r="AF67" s="175" t="e">
        <f t="shared" si="14"/>
        <v>#DIV/0!</v>
      </c>
      <c r="AG67" s="175" t="e">
        <f t="shared" si="14"/>
        <v>#DIV/0!</v>
      </c>
      <c r="AH67" s="175" t="e">
        <f t="shared" si="14"/>
        <v>#DIV/0!</v>
      </c>
      <c r="AI67" s="175" t="e">
        <f t="shared" si="14"/>
        <v>#DIV/0!</v>
      </c>
      <c r="AJ67" s="175" t="e">
        <f t="shared" si="14"/>
        <v>#DIV/0!</v>
      </c>
      <c r="AK67" s="175" t="e">
        <f t="shared" si="14"/>
        <v>#DIV/0!</v>
      </c>
      <c r="AL67" s="175" t="e">
        <f t="shared" si="14"/>
        <v>#DIV/0!</v>
      </c>
      <c r="AM67" s="175" t="e">
        <f t="shared" si="14"/>
        <v>#DIV/0!</v>
      </c>
      <c r="AN67" s="175" t="e">
        <f t="shared" si="14"/>
        <v>#DIV/0!</v>
      </c>
    </row>
    <row r="68" spans="2:40" x14ac:dyDescent="0.15">
      <c r="B68" s="426" t="s">
        <v>24</v>
      </c>
      <c r="C68" s="132" t="s">
        <v>1166</v>
      </c>
      <c r="D68" s="98" cm="1">
        <f t="array" ref="D68">SUM(SUMIFS('caseload data'!E:E,'caseload data'!$D:$D,"PO",'caseload data'!$A:$A,_xlfn.SINGLE('national caseload'!$B$68:$B$70),'caseload data'!$B:$B,{"licence","community"}))</f>
        <v>0</v>
      </c>
      <c r="E68" s="98" cm="1">
        <f t="array" ref="E68">SUM(SUMIFS('caseload data'!F:F,'caseload data'!$D:$D,"PO",'caseload data'!$A:$A,_xlfn.SINGLE('national caseload'!$B$68:$B$70),'caseload data'!$B:$B,{"licence","community"}))</f>
        <v>0</v>
      </c>
      <c r="F68" s="98" cm="1">
        <f t="array" ref="F68">SUM(SUMIFS('caseload data'!G:G,'caseload data'!$D:$D,"PO",'caseload data'!$A:$A,_xlfn.SINGLE('national caseload'!$B$68:$B$70),'caseload data'!$B:$B,{"licence","community"}))</f>
        <v>0</v>
      </c>
      <c r="G68" s="98" cm="1">
        <f t="array" ref="G68">SUM(SUMIFS('caseload data'!H:H,'caseload data'!$D:$D,"PO",'caseload data'!$A:$A,_xlfn.SINGLE('national caseload'!$B$68:$B$70),'caseload data'!$B:$B,{"licence","community"}))</f>
        <v>0</v>
      </c>
      <c r="H68" s="98" cm="1">
        <f t="array" ref="H68">SUM(SUMIFS('caseload data'!I:I,'caseload data'!$D:$D,"PO",'caseload data'!$A:$A,_xlfn.SINGLE('national caseload'!$B$68:$B$70),'caseload data'!$B:$B,{"licence","community"}))</f>
        <v>0</v>
      </c>
      <c r="I68" s="98" cm="1">
        <f t="array" ref="I68">SUM(SUMIFS('caseload data'!J:J,'caseload data'!$D:$D,"PO",'caseload data'!$A:$A,_xlfn.SINGLE('national caseload'!$B$68:$B$70),'caseload data'!$B:$B,{"licence","community"}))</f>
        <v>0</v>
      </c>
      <c r="J68" s="98" cm="1">
        <f t="array" ref="J68">SUM(SUMIFS('caseload data'!K:K,'caseload data'!$D:$D,"PO",'caseload data'!$A:$A,_xlfn.SINGLE('national caseload'!$B$68:$B$70),'caseload data'!$B:$B,{"licence","community"}))</f>
        <v>0</v>
      </c>
      <c r="K68" s="98" cm="1">
        <f t="array" ref="K68">SUM(SUMIFS('caseload data'!L:L,'caseload data'!$D:$D,"PO",'caseload data'!$A:$A,_xlfn.SINGLE('national caseload'!$B$68:$B$70),'caseload data'!$B:$B,{"licence","community"}))</f>
        <v>0</v>
      </c>
      <c r="L68" s="98" cm="1">
        <f t="array" ref="L68">SUM(SUMIFS('caseload data'!M:M,'caseload data'!$D:$D,"PO",'caseload data'!$A:$A,_xlfn.SINGLE('national caseload'!$B$68:$B$70),'caseload data'!$B:$B,{"licence","community"}))</f>
        <v>0</v>
      </c>
      <c r="M68" s="98" cm="1">
        <f t="array" ref="M68">SUM(SUMIFS('caseload data'!N:N,'caseload data'!$D:$D,"PO",'caseload data'!$A:$A,_xlfn.SINGLE('national caseload'!$B$68:$B$70),'caseload data'!$B:$B,{"licence","community"}))</f>
        <v>0</v>
      </c>
      <c r="N68" s="98" cm="1">
        <f t="array" ref="N68">SUM(SUMIFS('caseload data'!O:O,'caseload data'!$D:$D,"PO",'caseload data'!$A:$A,_xlfn.SINGLE('national caseload'!$B$68:$B$70),'caseload data'!$B:$B,{"licence","community"}))</f>
        <v>0</v>
      </c>
      <c r="O68" s="98" cm="1">
        <f t="array" ref="O68">SUM(SUMIFS('caseload data'!P:P,'caseload data'!$D:$D,"PO",'caseload data'!$A:$A,_xlfn.SINGLE('national caseload'!$B$68:$B$70),'caseload data'!$B:$B,{"licence","community"}))</f>
        <v>0</v>
      </c>
      <c r="P68" s="98" cm="1">
        <f t="array" ref="P68">SUM(SUMIFS('caseload data'!Q:Q,'caseload data'!$D:$D,"PO",'caseload data'!$A:$A,_xlfn.SINGLE('national caseload'!$B$68:$B$70),'caseload data'!$B:$B,{"licence","community"}))</f>
        <v>0</v>
      </c>
      <c r="Q68" s="98" cm="1">
        <f t="array" ref="Q68">SUM(SUMIFS('caseload data'!R:R,'caseload data'!$D:$D,"PO",'caseload data'!$A:$A,_xlfn.SINGLE('national caseload'!$B$68:$B$70),'caseload data'!$B:$B,{"licence","community"}))</f>
        <v>0</v>
      </c>
      <c r="R68" s="98" cm="1">
        <f t="array" ref="R68">SUM(SUMIFS('caseload data'!S:S,'caseload data'!$D:$D,"PO",'caseload data'!$A:$A,_xlfn.SINGLE('national caseload'!$B$68:$B$70),'caseload data'!$B:$B,{"licence","community"}))</f>
        <v>0</v>
      </c>
      <c r="S68" s="98" cm="1">
        <f t="array" ref="S68">SUM(SUMIFS('caseload data'!T:T,'caseload data'!$D:$D,"PO",'caseload data'!$A:$A,_xlfn.SINGLE('national caseload'!$B$68:$B$70),'caseload data'!$B:$B,{"licence","community"}))</f>
        <v>0</v>
      </c>
      <c r="T68" s="98">
        <f>SUM(SUMIFS('caseload data'!V:V,'caseload data'!D:D,"PO",'caseload data'!A:A,'national caseload'!B68:B70,'caseload data'!B:B,{"licence","community"}))</f>
        <v>0</v>
      </c>
      <c r="U68" s="68"/>
      <c r="V68" s="68"/>
      <c r="W68" s="426" t="s">
        <v>24</v>
      </c>
      <c r="X68" s="132" t="s">
        <v>1166</v>
      </c>
      <c r="Y68" s="175" t="e">
        <f t="shared" si="13"/>
        <v>#DIV/0!</v>
      </c>
      <c r="Z68" s="175" t="e">
        <f t="shared" si="14"/>
        <v>#DIV/0!</v>
      </c>
      <c r="AA68" s="175" t="e">
        <f t="shared" si="14"/>
        <v>#DIV/0!</v>
      </c>
      <c r="AB68" s="175" t="e">
        <f t="shared" si="14"/>
        <v>#DIV/0!</v>
      </c>
      <c r="AC68" s="175" t="e">
        <f t="shared" si="14"/>
        <v>#DIV/0!</v>
      </c>
      <c r="AD68" s="175" t="e">
        <f t="shared" si="14"/>
        <v>#DIV/0!</v>
      </c>
      <c r="AE68" s="175" t="e">
        <f t="shared" si="14"/>
        <v>#DIV/0!</v>
      </c>
      <c r="AF68" s="175" t="e">
        <f t="shared" si="14"/>
        <v>#DIV/0!</v>
      </c>
      <c r="AG68" s="175" t="e">
        <f t="shared" si="14"/>
        <v>#DIV/0!</v>
      </c>
      <c r="AH68" s="175" t="e">
        <f t="shared" si="14"/>
        <v>#DIV/0!</v>
      </c>
      <c r="AI68" s="175" t="e">
        <f t="shared" si="14"/>
        <v>#DIV/0!</v>
      </c>
      <c r="AJ68" s="175" t="e">
        <f t="shared" si="14"/>
        <v>#DIV/0!</v>
      </c>
      <c r="AK68" s="175" t="e">
        <f t="shared" si="14"/>
        <v>#DIV/0!</v>
      </c>
      <c r="AL68" s="175" t="e">
        <f t="shared" si="14"/>
        <v>#DIV/0!</v>
      </c>
      <c r="AM68" s="175" t="e">
        <f t="shared" si="14"/>
        <v>#DIV/0!</v>
      </c>
      <c r="AN68" s="175" t="e">
        <f t="shared" si="14"/>
        <v>#DIV/0!</v>
      </c>
    </row>
    <row r="69" spans="2:40" x14ac:dyDescent="0.15">
      <c r="B69" s="427"/>
      <c r="C69" s="133" t="s">
        <v>1172</v>
      </c>
      <c r="D69" s="98" cm="1">
        <f t="array" ref="D69">SUM(SUMIFS('caseload data'!E:E,'caseload data'!$D:$D,"PSO",'caseload data'!$A:$A,"East of England",'caseload data'!$B:$B,{"licence","community"}))</f>
        <v>0</v>
      </c>
      <c r="E69" s="98" cm="1">
        <f t="array" ref="E69">SUM(SUMIFS('caseload data'!F:F,'caseload data'!$D:$D,"PSO",'caseload data'!$A:$A,"East of England",'caseload data'!$B:$B,{"licence","community"}))</f>
        <v>0</v>
      </c>
      <c r="F69" s="98" cm="1">
        <f t="array" ref="F69">SUM(SUMIFS('caseload data'!G:G,'caseload data'!$D:$D,"PSO",'caseload data'!$A:$A,"East of England",'caseload data'!$B:$B,{"licence","community"}))</f>
        <v>0</v>
      </c>
      <c r="G69" s="98" cm="1">
        <f t="array" ref="G69">SUM(SUMIFS('caseload data'!H:H,'caseload data'!$D:$D,"PSO",'caseload data'!$A:$A,"East of England",'caseload data'!$B:$B,{"licence","community"}))</f>
        <v>0</v>
      </c>
      <c r="H69" s="98" cm="1">
        <f t="array" ref="H69">SUM(SUMIFS('caseload data'!I:I,'caseload data'!$D:$D,"PSO",'caseload data'!$A:$A,"East of England",'caseload data'!$B:$B,{"licence","community"}))</f>
        <v>0</v>
      </c>
      <c r="I69" s="98" cm="1">
        <f t="array" ref="I69">SUM(SUMIFS('caseload data'!J:J,'caseload data'!$D:$D,"PSO",'caseload data'!$A:$A,"East of England",'caseload data'!$B:$B,{"licence","community"}))</f>
        <v>0</v>
      </c>
      <c r="J69" s="98" cm="1">
        <f t="array" ref="J69">SUM(SUMIFS('caseload data'!K:K,'caseload data'!$D:$D,"PSO",'caseload data'!$A:$A,"East of England",'caseload data'!$B:$B,{"licence","community"}))</f>
        <v>0</v>
      </c>
      <c r="K69" s="98" cm="1">
        <f t="array" ref="K69">SUM(SUMIFS('caseload data'!L:L,'caseload data'!$D:$D,"PSO",'caseload data'!$A:$A,"East of England",'caseload data'!$B:$B,{"licence","community"}))</f>
        <v>0</v>
      </c>
      <c r="L69" s="98" cm="1">
        <f t="array" ref="L69">SUM(SUMIFS('caseload data'!M:M,'caseload data'!$D:$D,"PSO",'caseload data'!$A:$A,"East of England",'caseload data'!$B:$B,{"licence","community"}))</f>
        <v>0</v>
      </c>
      <c r="M69" s="98" cm="1">
        <f t="array" ref="M69">SUM(SUMIFS('caseload data'!N:N,'caseload data'!$D:$D,"PSO",'caseload data'!$A:$A,"East of England",'caseload data'!$B:$B,{"licence","community"}))</f>
        <v>0</v>
      </c>
      <c r="N69" s="98" cm="1">
        <f t="array" ref="N69">SUM(SUMIFS('caseload data'!O:O,'caseload data'!$D:$D,"PSO",'caseload data'!$A:$A,"East of England",'caseload data'!$B:$B,{"licence","community"}))</f>
        <v>0</v>
      </c>
      <c r="O69" s="98" cm="1">
        <f t="array" ref="O69">SUM(SUMIFS('caseload data'!P:P,'caseload data'!$D:$D,"PSO",'caseload data'!$A:$A,"East of England",'caseload data'!$B:$B,{"licence","community"}))</f>
        <v>0</v>
      </c>
      <c r="P69" s="98" cm="1">
        <f t="array" ref="P69">SUM(SUMIFS('caseload data'!Q:Q,'caseload data'!$D:$D,"PSO",'caseload data'!$A:$A,"East of England",'caseload data'!$B:$B,{"licence","community"}))</f>
        <v>0</v>
      </c>
      <c r="Q69" s="98" cm="1">
        <f t="array" ref="Q69">SUM(SUMIFS('caseload data'!R:R,'caseload data'!$D:$D,"PSO",'caseload data'!$A:$A,"East of England",'caseload data'!$B:$B,{"licence","community"}))</f>
        <v>0</v>
      </c>
      <c r="R69" s="98" cm="1">
        <f t="array" ref="R69">SUM(SUMIFS('caseload data'!S:S,'caseload data'!$D:$D,"PSO",'caseload data'!$A:$A,"East of England",'caseload data'!$B:$B,{"licence","community"}))</f>
        <v>0</v>
      </c>
      <c r="S69" s="98" cm="1">
        <f t="array" ref="S69">SUM(SUMIFS('caseload data'!T:T,'caseload data'!$D:$D,"PSO",'caseload data'!$A:$A,"East of England",'caseload data'!$B:$B,{"licence","community"}))</f>
        <v>0</v>
      </c>
      <c r="T69" s="98" cm="1">
        <f t="array" ref="T69">SUM(SUMIFS('caseload data'!V:V,'caseload data'!D:D,"PSO",'caseload data'!A:A,"East of England",'caseload data'!B:B,{"licence","community"}))</f>
        <v>0</v>
      </c>
      <c r="U69" s="68"/>
      <c r="V69" s="68"/>
      <c r="W69" s="427"/>
      <c r="X69" s="133" t="s">
        <v>1172</v>
      </c>
      <c r="Y69" s="175" t="e">
        <f t="shared" si="13"/>
        <v>#DIV/0!</v>
      </c>
      <c r="Z69" s="175" t="e">
        <f t="shared" si="14"/>
        <v>#DIV/0!</v>
      </c>
      <c r="AA69" s="175" t="e">
        <f t="shared" si="14"/>
        <v>#DIV/0!</v>
      </c>
      <c r="AB69" s="175" t="e">
        <f t="shared" si="14"/>
        <v>#DIV/0!</v>
      </c>
      <c r="AC69" s="175" t="e">
        <f t="shared" si="14"/>
        <v>#DIV/0!</v>
      </c>
      <c r="AD69" s="175" t="e">
        <f t="shared" si="14"/>
        <v>#DIV/0!</v>
      </c>
      <c r="AE69" s="175" t="e">
        <f t="shared" si="14"/>
        <v>#DIV/0!</v>
      </c>
      <c r="AF69" s="175" t="e">
        <f t="shared" si="14"/>
        <v>#DIV/0!</v>
      </c>
      <c r="AG69" s="175" t="e">
        <f t="shared" si="14"/>
        <v>#DIV/0!</v>
      </c>
      <c r="AH69" s="175" t="e">
        <f t="shared" si="14"/>
        <v>#DIV/0!</v>
      </c>
      <c r="AI69" s="175" t="e">
        <f t="shared" si="14"/>
        <v>#DIV/0!</v>
      </c>
      <c r="AJ69" s="175" t="e">
        <f t="shared" si="14"/>
        <v>#DIV/0!</v>
      </c>
      <c r="AK69" s="175" t="e">
        <f t="shared" si="14"/>
        <v>#DIV/0!</v>
      </c>
      <c r="AL69" s="175" t="e">
        <f t="shared" si="14"/>
        <v>#DIV/0!</v>
      </c>
      <c r="AM69" s="175" t="e">
        <f t="shared" si="14"/>
        <v>#DIV/0!</v>
      </c>
      <c r="AN69" s="175" t="e">
        <f t="shared" si="14"/>
        <v>#DIV/0!</v>
      </c>
    </row>
    <row r="70" spans="2:40" x14ac:dyDescent="0.15">
      <c r="B70" s="427"/>
      <c r="C70" s="133" t="s">
        <v>1173</v>
      </c>
      <c r="D70" s="98" cm="1">
        <f t="array" ref="D70">SUM(SUMIFS('caseload data'!E:E,'caseload data'!$D:$D,"TPO",'caseload data'!$A:$A,"East of England",'caseload data'!$B:$B,{"licence","community"}))</f>
        <v>0</v>
      </c>
      <c r="E70" s="98" cm="1">
        <f t="array" ref="E70">SUM(SUMIFS('caseload data'!F:F,'caseload data'!$D:$D,"TPO",'caseload data'!$A:$A,"East of England",'caseload data'!$B:$B,{"licence","community"}))</f>
        <v>0</v>
      </c>
      <c r="F70" s="98" cm="1">
        <f t="array" ref="F70">SUM(SUMIFS('caseload data'!G:G,'caseload data'!$D:$D,"TPO",'caseload data'!$A:$A,"East of England",'caseload data'!$B:$B,{"licence","community"}))</f>
        <v>0</v>
      </c>
      <c r="G70" s="98" cm="1">
        <f t="array" ref="G70">SUM(SUMIFS('caseload data'!H:H,'caseload data'!$D:$D,"TPO",'caseload data'!$A:$A,"East of England",'caseload data'!$B:$B,{"licence","community"}))</f>
        <v>0</v>
      </c>
      <c r="H70" s="98" cm="1">
        <f t="array" ref="H70">SUM(SUMIFS('caseload data'!I:I,'caseload data'!$D:$D,"TPO",'caseload data'!$A:$A,"East of England",'caseload data'!$B:$B,{"licence","community"}))</f>
        <v>0</v>
      </c>
      <c r="I70" s="98" cm="1">
        <f t="array" ref="I70">SUM(SUMIFS('caseload data'!J:J,'caseload data'!$D:$D,"TPO",'caseload data'!$A:$A,"East of England",'caseload data'!$B:$B,{"licence","community"}))</f>
        <v>0</v>
      </c>
      <c r="J70" s="98" cm="1">
        <f t="array" ref="J70">SUM(SUMIFS('caseload data'!K:K,'caseload data'!$D:$D,"TPO",'caseload data'!$A:$A,"East of England",'caseload data'!$B:$B,{"licence","community"}))</f>
        <v>0</v>
      </c>
      <c r="K70" s="98" cm="1">
        <f t="array" ref="K70">SUM(SUMIFS('caseload data'!L:L,'caseload data'!$D:$D,"TPO",'caseload data'!$A:$A,"East of England",'caseload data'!$B:$B,{"licence","community"}))</f>
        <v>0</v>
      </c>
      <c r="L70" s="98" cm="1">
        <f t="array" ref="L70">SUM(SUMIFS('caseload data'!M:M,'caseload data'!$D:$D,"TPO",'caseload data'!$A:$A,"East of England",'caseload data'!$B:$B,{"licence","community"}))</f>
        <v>0</v>
      </c>
      <c r="M70" s="98" cm="1">
        <f t="array" ref="M70">SUM(SUMIFS('caseload data'!N:N,'caseload data'!$D:$D,"TPO",'caseload data'!$A:$A,"East of England",'caseload data'!$B:$B,{"licence","community"}))</f>
        <v>0</v>
      </c>
      <c r="N70" s="98" cm="1">
        <f t="array" ref="N70">SUM(SUMIFS('caseload data'!O:O,'caseload data'!$D:$D,"TPO",'caseload data'!$A:$A,"East of England",'caseload data'!$B:$B,{"licence","community"}))</f>
        <v>0</v>
      </c>
      <c r="O70" s="98" cm="1">
        <f t="array" ref="O70">SUM(SUMIFS('caseload data'!P:P,'caseload data'!$D:$D,"TPO",'caseload data'!$A:$A,"East of England",'caseload data'!$B:$B,{"licence","community"}))</f>
        <v>0</v>
      </c>
      <c r="P70" s="98" cm="1">
        <f t="array" ref="P70">SUM(SUMIFS('caseload data'!Q:Q,'caseload data'!$D:$D,"TPO",'caseload data'!$A:$A,"East of England",'caseload data'!$B:$B,{"licence","community"}))</f>
        <v>0</v>
      </c>
      <c r="Q70" s="98" cm="1">
        <f t="array" ref="Q70">SUM(SUMIFS('caseload data'!R:R,'caseload data'!$D:$D,"TPO",'caseload data'!$A:$A,"East of England",'caseload data'!$B:$B,{"licence","community"}))</f>
        <v>0</v>
      </c>
      <c r="R70" s="98" cm="1">
        <f t="array" ref="R70">SUM(SUMIFS('caseload data'!S:S,'caseload data'!$D:$D,"TPO",'caseload data'!$A:$A,"East of England",'caseload data'!$B:$B,{"licence","community"}))</f>
        <v>0</v>
      </c>
      <c r="S70" s="98" cm="1">
        <f t="array" ref="S70">SUM(SUMIFS('caseload data'!T:T,'caseload data'!$D:$D,"TPO",'caseload data'!$A:$A,"East of England",'caseload data'!$B:$B,{"licence","community"}))</f>
        <v>0</v>
      </c>
      <c r="T70" s="98" cm="1">
        <f t="array" ref="T70">SUM(SUMIFS('caseload data'!V:V,'caseload data'!D:D,"TPO",'caseload data'!A:A,"East of England",'caseload data'!B:B,{"licence","community"}))</f>
        <v>0</v>
      </c>
      <c r="U70" s="68"/>
      <c r="V70" s="68"/>
      <c r="W70" s="427"/>
      <c r="X70" s="133" t="s">
        <v>1173</v>
      </c>
      <c r="Y70" s="175" t="e">
        <f t="shared" si="13"/>
        <v>#DIV/0!</v>
      </c>
      <c r="Z70" s="175" t="e">
        <f t="shared" si="14"/>
        <v>#DIV/0!</v>
      </c>
      <c r="AA70" s="175" t="e">
        <f t="shared" si="14"/>
        <v>#DIV/0!</v>
      </c>
      <c r="AB70" s="175" t="e">
        <f t="shared" si="14"/>
        <v>#DIV/0!</v>
      </c>
      <c r="AC70" s="175" t="e">
        <f t="shared" si="14"/>
        <v>#DIV/0!</v>
      </c>
      <c r="AD70" s="175" t="e">
        <f t="shared" si="14"/>
        <v>#DIV/0!</v>
      </c>
      <c r="AE70" s="175" t="e">
        <f t="shared" si="14"/>
        <v>#DIV/0!</v>
      </c>
      <c r="AF70" s="175" t="e">
        <f t="shared" si="14"/>
        <v>#DIV/0!</v>
      </c>
      <c r="AG70" s="175" t="e">
        <f t="shared" si="14"/>
        <v>#DIV/0!</v>
      </c>
      <c r="AH70" s="175" t="e">
        <f t="shared" si="14"/>
        <v>#DIV/0!</v>
      </c>
      <c r="AI70" s="175" t="e">
        <f t="shared" si="14"/>
        <v>#DIV/0!</v>
      </c>
      <c r="AJ70" s="175" t="e">
        <f t="shared" si="14"/>
        <v>#DIV/0!</v>
      </c>
      <c r="AK70" s="175" t="e">
        <f t="shared" si="14"/>
        <v>#DIV/0!</v>
      </c>
      <c r="AL70" s="175" t="e">
        <f t="shared" si="14"/>
        <v>#DIV/0!</v>
      </c>
      <c r="AM70" s="175" t="e">
        <f t="shared" si="14"/>
        <v>#DIV/0!</v>
      </c>
      <c r="AN70" s="175" t="e">
        <f t="shared" si="14"/>
        <v>#DIV/0!</v>
      </c>
    </row>
    <row r="71" spans="2:40" x14ac:dyDescent="0.15">
      <c r="B71" s="428"/>
      <c r="C71" s="134" t="s">
        <v>1174</v>
      </c>
      <c r="D71" s="98" cm="1">
        <f t="array" ref="D71">SUM(SUMIFS('caseload data'!E:E,'caseload data'!$D:$D,"SPO",'caseload data'!$A:$A,"East of England",'caseload data'!$B:$B,{"licence","community"}))</f>
        <v>0</v>
      </c>
      <c r="E71" s="98" cm="1">
        <f t="array" ref="E71">SUM(SUMIFS('caseload data'!F:F,'caseload data'!$D:$D,"SPO",'caseload data'!$A:$A,"East of England",'caseload data'!$B:$B,{"licence","community"}))</f>
        <v>0</v>
      </c>
      <c r="F71" s="98" cm="1">
        <f t="array" ref="F71">SUM(SUMIFS('caseload data'!G:G,'caseload data'!$D:$D,"SPO",'caseload data'!$A:$A,"East of England",'caseload data'!$B:$B,{"licence","community"}))</f>
        <v>0</v>
      </c>
      <c r="G71" s="98" cm="1">
        <f t="array" ref="G71">SUM(SUMIFS('caseload data'!H:H,'caseload data'!$D:$D,"SPO",'caseload data'!$A:$A,"East of England",'caseload data'!$B:$B,{"licence","community"}))</f>
        <v>0</v>
      </c>
      <c r="H71" s="98" cm="1">
        <f t="array" ref="H71">SUM(SUMIFS('caseload data'!I:I,'caseload data'!$D:$D,"SPO",'caseload data'!$A:$A,"East of England",'caseload data'!$B:$B,{"licence","community"}))</f>
        <v>0</v>
      </c>
      <c r="I71" s="98" cm="1">
        <f t="array" ref="I71">SUM(SUMIFS('caseload data'!J:J,'caseload data'!$D:$D,"SPO",'caseload data'!$A:$A,"East of England",'caseload data'!$B:$B,{"licence","community"}))</f>
        <v>0</v>
      </c>
      <c r="J71" s="98" cm="1">
        <f t="array" ref="J71">SUM(SUMIFS('caseload data'!K:K,'caseload data'!$D:$D,"SPO",'caseload data'!$A:$A,"East of England",'caseload data'!$B:$B,{"licence","community"}))</f>
        <v>0</v>
      </c>
      <c r="K71" s="98" cm="1">
        <f t="array" ref="K71">SUM(SUMIFS('caseload data'!L:L,'caseload data'!$D:$D,"SPO",'caseload data'!$A:$A,"East of England",'caseload data'!$B:$B,{"licence","community"}))</f>
        <v>0</v>
      </c>
      <c r="L71" s="98" cm="1">
        <f t="array" ref="L71">SUM(SUMIFS('caseload data'!M:M,'caseload data'!$D:$D,"SPO",'caseload data'!$A:$A,"East of England",'caseload data'!$B:$B,{"licence","community"}))</f>
        <v>0</v>
      </c>
      <c r="M71" s="98" cm="1">
        <f t="array" ref="M71">SUM(SUMIFS('caseload data'!N:N,'caseload data'!$D:$D,"SPO",'caseload data'!$A:$A,"East of England",'caseload data'!$B:$B,{"licence","community"}))</f>
        <v>0</v>
      </c>
      <c r="N71" s="98" cm="1">
        <f t="array" ref="N71">SUM(SUMIFS('caseload data'!O:O,'caseload data'!$D:$D,"SPO",'caseload data'!$A:$A,"East of England",'caseload data'!$B:$B,{"licence","community"}))</f>
        <v>0</v>
      </c>
      <c r="O71" s="98" cm="1">
        <f t="array" ref="O71">SUM(SUMIFS('caseload data'!P:P,'caseload data'!$D:$D,"SPO",'caseload data'!$A:$A,"East of England",'caseload data'!$B:$B,{"licence","community"}))</f>
        <v>0</v>
      </c>
      <c r="P71" s="98" cm="1">
        <f t="array" ref="P71">SUM(SUMIFS('caseload data'!Q:Q,'caseload data'!$D:$D,"SPO",'caseload data'!$A:$A,"East of England",'caseload data'!$B:$B,{"licence","community"}))</f>
        <v>0</v>
      </c>
      <c r="Q71" s="98" cm="1">
        <f t="array" ref="Q71">SUM(SUMIFS('caseload data'!R:R,'caseload data'!$D:$D,"SPO",'caseload data'!$A:$A,"East of England",'caseload data'!$B:$B,{"licence","community"}))</f>
        <v>0</v>
      </c>
      <c r="R71" s="98" cm="1">
        <f t="array" ref="R71">SUM(SUMIFS('caseload data'!S:S,'caseload data'!$D:$D,"SPO",'caseload data'!$A:$A,"East of England",'caseload data'!$B:$B,{"licence","community"}))</f>
        <v>0</v>
      </c>
      <c r="S71" s="98" cm="1">
        <f t="array" ref="S71">SUM(SUMIFS('caseload data'!T:T,'caseload data'!$D:$D,"SPO",'caseload data'!$A:$A,"East of England",'caseload data'!$B:$B,{"licence","community"}))</f>
        <v>0</v>
      </c>
      <c r="T71" s="98" cm="1">
        <f t="array" ref="T71">SUM(SUMIFS('caseload data'!V:V,'caseload data'!$D:$D,"SPO",'caseload data'!$A:$A,"East of England",'caseload data'!$B:$B,{"licence","community"}))</f>
        <v>0</v>
      </c>
      <c r="U71" s="68"/>
      <c r="V71" s="68"/>
      <c r="W71" s="428"/>
      <c r="X71" s="134" t="s">
        <v>1174</v>
      </c>
      <c r="Y71" s="175" t="e">
        <f t="shared" si="13"/>
        <v>#DIV/0!</v>
      </c>
      <c r="Z71" s="175" t="e">
        <f t="shared" si="14"/>
        <v>#DIV/0!</v>
      </c>
      <c r="AA71" s="175" t="e">
        <f t="shared" si="14"/>
        <v>#DIV/0!</v>
      </c>
      <c r="AB71" s="175" t="e">
        <f t="shared" si="14"/>
        <v>#DIV/0!</v>
      </c>
      <c r="AC71" s="175" t="e">
        <f t="shared" si="14"/>
        <v>#DIV/0!</v>
      </c>
      <c r="AD71" s="175" t="e">
        <f t="shared" si="14"/>
        <v>#DIV/0!</v>
      </c>
      <c r="AE71" s="175" t="e">
        <f t="shared" si="14"/>
        <v>#DIV/0!</v>
      </c>
      <c r="AF71" s="175" t="e">
        <f t="shared" si="14"/>
        <v>#DIV/0!</v>
      </c>
      <c r="AG71" s="175" t="e">
        <f t="shared" si="14"/>
        <v>#DIV/0!</v>
      </c>
      <c r="AH71" s="175" t="e">
        <f t="shared" si="14"/>
        <v>#DIV/0!</v>
      </c>
      <c r="AI71" s="175" t="e">
        <f t="shared" si="14"/>
        <v>#DIV/0!</v>
      </c>
      <c r="AJ71" s="175" t="e">
        <f t="shared" si="14"/>
        <v>#DIV/0!</v>
      </c>
      <c r="AK71" s="175" t="e">
        <f t="shared" si="14"/>
        <v>#DIV/0!</v>
      </c>
      <c r="AL71" s="175" t="e">
        <f t="shared" si="14"/>
        <v>#DIV/0!</v>
      </c>
      <c r="AM71" s="175" t="e">
        <f t="shared" si="14"/>
        <v>#DIV/0!</v>
      </c>
      <c r="AN71" s="175" t="e">
        <f t="shared" si="14"/>
        <v>#DIV/0!</v>
      </c>
    </row>
    <row r="72" spans="2:40" x14ac:dyDescent="0.15">
      <c r="B72" s="426" t="s">
        <v>25</v>
      </c>
      <c r="C72" s="132" t="s">
        <v>1166</v>
      </c>
      <c r="D72" s="98" cm="1">
        <f t="array" ref="D72">SUM(SUMIFS('caseload data'!E:E,'caseload data'!$D:$D,"PO",'caseload data'!$A:$A,_xlfn.SINGLE('national caseload'!$B$72:$B$74),'caseload data'!$B:$B,{"licence","community"}))</f>
        <v>0</v>
      </c>
      <c r="E72" s="98" cm="1">
        <f t="array" ref="E72">SUM(SUMIFS('caseload data'!F:F,'caseload data'!$D:$D,"PO",'caseload data'!$A:$A,_xlfn.SINGLE('national caseload'!$B$72:$B$74),'caseload data'!$B:$B,{"licence","community"}))</f>
        <v>0</v>
      </c>
      <c r="F72" s="98" cm="1">
        <f t="array" ref="F72">SUM(SUMIFS('caseload data'!G:G,'caseload data'!$D:$D,"PO",'caseload data'!$A:$A,_xlfn.SINGLE('national caseload'!$B$72:$B$74),'caseload data'!$B:$B,{"licence","community"}))</f>
        <v>0</v>
      </c>
      <c r="G72" s="98" cm="1">
        <f t="array" ref="G72">SUM(SUMIFS('caseload data'!H:H,'caseload data'!$D:$D,"PO",'caseload data'!$A:$A,_xlfn.SINGLE('national caseload'!$B$72:$B$74),'caseload data'!$B:$B,{"licence","community"}))</f>
        <v>0</v>
      </c>
      <c r="H72" s="98" cm="1">
        <f t="array" ref="H72">SUM(SUMIFS('caseload data'!I:I,'caseload data'!$D:$D,"PO",'caseload data'!$A:$A,_xlfn.SINGLE('national caseload'!$B$72:$B$74),'caseload data'!$B:$B,{"licence","community"}))</f>
        <v>0</v>
      </c>
      <c r="I72" s="98" cm="1">
        <f t="array" ref="I72">SUM(SUMIFS('caseload data'!J:J,'caseload data'!$D:$D,"PO",'caseload data'!$A:$A,_xlfn.SINGLE('national caseload'!$B$72:$B$74),'caseload data'!$B:$B,{"licence","community"}))</f>
        <v>0</v>
      </c>
      <c r="J72" s="98" cm="1">
        <f t="array" ref="J72">SUM(SUMIFS('caseload data'!K:K,'caseload data'!$D:$D,"PO",'caseload data'!$A:$A,_xlfn.SINGLE('national caseload'!$B$72:$B$74),'caseload data'!$B:$B,{"licence","community"}))</f>
        <v>0</v>
      </c>
      <c r="K72" s="98" cm="1">
        <f t="array" ref="K72">SUM(SUMIFS('caseload data'!L:L,'caseload data'!$D:$D,"PO",'caseload data'!$A:$A,_xlfn.SINGLE('national caseload'!$B$72:$B$74),'caseload data'!$B:$B,{"licence","community"}))</f>
        <v>0</v>
      </c>
      <c r="L72" s="98" cm="1">
        <f t="array" ref="L72">SUM(SUMIFS('caseload data'!M:M,'caseload data'!$D:$D,"PO",'caseload data'!$A:$A,_xlfn.SINGLE('national caseload'!$B$72:$B$74),'caseload data'!$B:$B,{"licence","community"}))</f>
        <v>0</v>
      </c>
      <c r="M72" s="98" cm="1">
        <f t="array" ref="M72">SUM(SUMIFS('caseload data'!N:N,'caseload data'!$D:$D,"PO",'caseload data'!$A:$A,_xlfn.SINGLE('national caseload'!$B$72:$B$74),'caseload data'!$B:$B,{"licence","community"}))</f>
        <v>0</v>
      </c>
      <c r="N72" s="98" cm="1">
        <f t="array" ref="N72">SUM(SUMIFS('caseload data'!O:O,'caseload data'!$D:$D,"PO",'caseload data'!$A:$A,_xlfn.SINGLE('national caseload'!$B$72:$B$74),'caseload data'!$B:$B,{"licence","community"}))</f>
        <v>0</v>
      </c>
      <c r="O72" s="98" cm="1">
        <f t="array" ref="O72">SUM(SUMIFS('caseload data'!P:P,'caseload data'!$D:$D,"PO",'caseload data'!$A:$A,_xlfn.SINGLE('national caseload'!$B$72:$B$74),'caseload data'!$B:$B,{"licence","community"}))</f>
        <v>0</v>
      </c>
      <c r="P72" s="98" cm="1">
        <f t="array" ref="P72">SUM(SUMIFS('caseload data'!Q:Q,'caseload data'!$D:$D,"PO",'caseload data'!$A:$A,_xlfn.SINGLE('national caseload'!$B$72:$B$74),'caseload data'!$B:$B,{"licence","community"}))</f>
        <v>0</v>
      </c>
      <c r="Q72" s="98" cm="1">
        <f t="array" ref="Q72">SUM(SUMIFS('caseload data'!R:R,'caseload data'!$D:$D,"PO",'caseload data'!$A:$A,_xlfn.SINGLE('national caseload'!$B$72:$B$74),'caseload data'!$B:$B,{"licence","community"}))</f>
        <v>0</v>
      </c>
      <c r="R72" s="98" cm="1">
        <f t="array" ref="R72">SUM(SUMIFS('caseload data'!S:S,'caseload data'!$D:$D,"PO",'caseload data'!$A:$A,_xlfn.SINGLE('national caseload'!$B$72:$B$74),'caseload data'!$B:$B,{"licence","community"}))</f>
        <v>0</v>
      </c>
      <c r="S72" s="98" cm="1">
        <f t="array" ref="S72">SUM(SUMIFS('caseload data'!T:T,'caseload data'!$D:$D,"PO",'caseload data'!$A:$A,_xlfn.SINGLE('national caseload'!$B$72:$B$74),'caseload data'!$B:$B,{"licence","community"}))</f>
        <v>0</v>
      </c>
      <c r="T72" s="98">
        <f>SUM(SUMIFS('caseload data'!V:V,'caseload data'!D:D,"PO",'caseload data'!A:A,'national caseload'!B72:B74,'caseload data'!B:B,{"licence","community"}))</f>
        <v>0</v>
      </c>
      <c r="U72" s="68"/>
      <c r="V72" s="68"/>
      <c r="W72" s="426" t="s">
        <v>25</v>
      </c>
      <c r="X72" s="132" t="s">
        <v>1166</v>
      </c>
      <c r="Y72" s="175" t="e">
        <f t="shared" si="13"/>
        <v>#DIV/0!</v>
      </c>
      <c r="Z72" s="175" t="e">
        <f t="shared" si="14"/>
        <v>#DIV/0!</v>
      </c>
      <c r="AA72" s="175" t="e">
        <f t="shared" si="14"/>
        <v>#DIV/0!</v>
      </c>
      <c r="AB72" s="175" t="e">
        <f t="shared" si="14"/>
        <v>#DIV/0!</v>
      </c>
      <c r="AC72" s="175" t="e">
        <f t="shared" si="14"/>
        <v>#DIV/0!</v>
      </c>
      <c r="AD72" s="175" t="e">
        <f t="shared" si="14"/>
        <v>#DIV/0!</v>
      </c>
      <c r="AE72" s="175" t="e">
        <f t="shared" si="14"/>
        <v>#DIV/0!</v>
      </c>
      <c r="AF72" s="175" t="e">
        <f t="shared" si="14"/>
        <v>#DIV/0!</v>
      </c>
      <c r="AG72" s="175" t="e">
        <f t="shared" si="14"/>
        <v>#DIV/0!</v>
      </c>
      <c r="AH72" s="175" t="e">
        <f t="shared" si="14"/>
        <v>#DIV/0!</v>
      </c>
      <c r="AI72" s="175" t="e">
        <f t="shared" si="14"/>
        <v>#DIV/0!</v>
      </c>
      <c r="AJ72" s="175" t="e">
        <f t="shared" si="14"/>
        <v>#DIV/0!</v>
      </c>
      <c r="AK72" s="175" t="e">
        <f t="shared" si="14"/>
        <v>#DIV/0!</v>
      </c>
      <c r="AL72" s="175" t="e">
        <f t="shared" si="14"/>
        <v>#DIV/0!</v>
      </c>
      <c r="AM72" s="175" t="e">
        <f t="shared" si="14"/>
        <v>#DIV/0!</v>
      </c>
      <c r="AN72" s="175" t="e">
        <f t="shared" si="14"/>
        <v>#DIV/0!</v>
      </c>
    </row>
    <row r="73" spans="2:40" x14ac:dyDescent="0.15">
      <c r="B73" s="427"/>
      <c r="C73" s="133" t="s">
        <v>1172</v>
      </c>
      <c r="D73" s="98" cm="1">
        <f t="array" ref="D73">SUM(SUMIFS('caseload data'!E:E,'caseload data'!$D:$D,"PSO",'caseload data'!$A:$A,"Greater Manchester",'caseload data'!$B:$B,{"licence","community"}))</f>
        <v>0</v>
      </c>
      <c r="E73" s="98" cm="1">
        <f t="array" ref="E73">SUM(SUMIFS('caseload data'!F:F,'caseload data'!$D:$D,"PSO",'caseload data'!$A:$A,"Greater Manchester",'caseload data'!$B:$B,{"licence","community"}))</f>
        <v>0</v>
      </c>
      <c r="F73" s="98" cm="1">
        <f t="array" ref="F73">SUM(SUMIFS('caseload data'!G:G,'caseload data'!$D:$D,"PSO",'caseload data'!$A:$A,"Greater Manchester",'caseload data'!$B:$B,{"licence","community"}))</f>
        <v>0</v>
      </c>
      <c r="G73" s="98" cm="1">
        <f t="array" ref="G73">SUM(SUMIFS('caseload data'!H:H,'caseload data'!$D:$D,"PSO",'caseload data'!$A:$A,"Greater Manchester",'caseload data'!$B:$B,{"licence","community"}))</f>
        <v>0</v>
      </c>
      <c r="H73" s="98" cm="1">
        <f t="array" ref="H73">SUM(SUMIFS('caseload data'!I:I,'caseload data'!$D:$D,"PSO",'caseload data'!$A:$A,"Greater Manchester",'caseload data'!$B:$B,{"licence","community"}))</f>
        <v>0</v>
      </c>
      <c r="I73" s="98" cm="1">
        <f t="array" ref="I73">SUM(SUMIFS('caseload data'!J:J,'caseload data'!$D:$D,"PSO",'caseload data'!$A:$A,"Greater Manchester",'caseload data'!$B:$B,{"licence","community"}))</f>
        <v>0</v>
      </c>
      <c r="J73" s="98" cm="1">
        <f t="array" ref="J73">SUM(SUMIFS('caseload data'!K:K,'caseload data'!$D:$D,"PSO",'caseload data'!$A:$A,"Greater Manchester",'caseload data'!$B:$B,{"licence","community"}))</f>
        <v>0</v>
      </c>
      <c r="K73" s="98" cm="1">
        <f t="array" ref="K73">SUM(SUMIFS('caseload data'!L:L,'caseload data'!$D:$D,"PSO",'caseload data'!$A:$A,"Greater Manchester",'caseload data'!$B:$B,{"licence","community"}))</f>
        <v>0</v>
      </c>
      <c r="L73" s="98" cm="1">
        <f t="array" ref="L73">SUM(SUMIFS('caseload data'!M:M,'caseload data'!$D:$D,"PSO",'caseload data'!$A:$A,"Greater Manchester",'caseload data'!$B:$B,{"licence","community"}))</f>
        <v>0</v>
      </c>
      <c r="M73" s="98" cm="1">
        <f t="array" ref="M73">SUM(SUMIFS('caseload data'!N:N,'caseload data'!$D:$D,"PSO",'caseload data'!$A:$A,"Greater Manchester",'caseload data'!$B:$B,{"licence","community"}))</f>
        <v>0</v>
      </c>
      <c r="N73" s="98" cm="1">
        <f t="array" ref="N73">SUM(SUMIFS('caseload data'!O:O,'caseload data'!$D:$D,"PSO",'caseload data'!$A:$A,"Greater Manchester",'caseload data'!$B:$B,{"licence","community"}))</f>
        <v>0</v>
      </c>
      <c r="O73" s="98" cm="1">
        <f t="array" ref="O73">SUM(SUMIFS('caseload data'!P:P,'caseload data'!$D:$D,"PSO",'caseload data'!$A:$A,"Greater Manchester",'caseload data'!$B:$B,{"licence","community"}))</f>
        <v>0</v>
      </c>
      <c r="P73" s="98" cm="1">
        <f t="array" ref="P73">SUM(SUMIFS('caseload data'!Q:Q,'caseload data'!$D:$D,"PSO",'caseload data'!$A:$A,"Greater Manchester",'caseload data'!$B:$B,{"licence","community"}))</f>
        <v>0</v>
      </c>
      <c r="Q73" s="98" cm="1">
        <f t="array" ref="Q73">SUM(SUMIFS('caseload data'!R:R,'caseload data'!$D:$D,"PSO",'caseload data'!$A:$A,"Greater Manchester",'caseload data'!$B:$B,{"licence","community"}))</f>
        <v>0</v>
      </c>
      <c r="R73" s="98" cm="1">
        <f t="array" ref="R73">SUM(SUMIFS('caseload data'!S:S,'caseload data'!$D:$D,"PSO",'caseload data'!$A:$A,"Greater Manchester",'caseload data'!$B:$B,{"licence","community"}))</f>
        <v>0</v>
      </c>
      <c r="S73" s="98" cm="1">
        <f t="array" ref="S73">SUM(SUMIFS('caseload data'!T:T,'caseload data'!$D:$D,"PSO",'caseload data'!$A:$A,"Greater Manchester",'caseload data'!$B:$B,{"licence","community"}))</f>
        <v>0</v>
      </c>
      <c r="T73" s="98" cm="1">
        <f t="array" ref="T73">SUM(SUMIFS('caseload data'!V:V,'caseload data'!D:D,"PSO",'caseload data'!A:A,"Greater Manchester",'caseload data'!B:B,{"licence","community"}))</f>
        <v>0</v>
      </c>
      <c r="U73" s="68"/>
      <c r="V73" s="68"/>
      <c r="W73" s="427"/>
      <c r="X73" s="133" t="s">
        <v>1172</v>
      </c>
      <c r="Y73" s="175" t="e">
        <f t="shared" si="13"/>
        <v>#DIV/0!</v>
      </c>
      <c r="Z73" s="175" t="e">
        <f t="shared" si="14"/>
        <v>#DIV/0!</v>
      </c>
      <c r="AA73" s="175" t="e">
        <f t="shared" si="14"/>
        <v>#DIV/0!</v>
      </c>
      <c r="AB73" s="175" t="e">
        <f t="shared" si="14"/>
        <v>#DIV/0!</v>
      </c>
      <c r="AC73" s="175" t="e">
        <f t="shared" si="14"/>
        <v>#DIV/0!</v>
      </c>
      <c r="AD73" s="175" t="e">
        <f t="shared" si="14"/>
        <v>#DIV/0!</v>
      </c>
      <c r="AE73" s="175" t="e">
        <f t="shared" si="14"/>
        <v>#DIV/0!</v>
      </c>
      <c r="AF73" s="175" t="e">
        <f t="shared" si="14"/>
        <v>#DIV/0!</v>
      </c>
      <c r="AG73" s="175" t="e">
        <f t="shared" si="14"/>
        <v>#DIV/0!</v>
      </c>
      <c r="AH73" s="175" t="e">
        <f t="shared" si="14"/>
        <v>#DIV/0!</v>
      </c>
      <c r="AI73" s="175" t="e">
        <f t="shared" si="14"/>
        <v>#DIV/0!</v>
      </c>
      <c r="AJ73" s="175" t="e">
        <f t="shared" si="14"/>
        <v>#DIV/0!</v>
      </c>
      <c r="AK73" s="175" t="e">
        <f t="shared" si="14"/>
        <v>#DIV/0!</v>
      </c>
      <c r="AL73" s="175" t="e">
        <f t="shared" si="14"/>
        <v>#DIV/0!</v>
      </c>
      <c r="AM73" s="175" t="e">
        <f t="shared" si="14"/>
        <v>#DIV/0!</v>
      </c>
      <c r="AN73" s="175" t="e">
        <f t="shared" si="14"/>
        <v>#DIV/0!</v>
      </c>
    </row>
    <row r="74" spans="2:40" x14ac:dyDescent="0.15">
      <c r="B74" s="427"/>
      <c r="C74" s="133" t="s">
        <v>1173</v>
      </c>
      <c r="D74" s="98" cm="1">
        <f t="array" ref="D74">SUM(SUMIFS('caseload data'!E:E,'caseload data'!$D:$D,"TPO",'caseload data'!$A:$A,"Greater Manchester",'caseload data'!$B:$B,{"licence","community"}))</f>
        <v>0</v>
      </c>
      <c r="E74" s="98" cm="1">
        <f t="array" ref="E74">SUM(SUMIFS('caseload data'!F:F,'caseload data'!$D:$D,"TPO",'caseload data'!$A:$A,"Greater Manchester",'caseload data'!$B:$B,{"licence","community"}))</f>
        <v>0</v>
      </c>
      <c r="F74" s="98" cm="1">
        <f t="array" ref="F74">SUM(SUMIFS('caseload data'!G:G,'caseload data'!$D:$D,"TPO",'caseload data'!$A:$A,"Greater Manchester",'caseload data'!$B:$B,{"licence","community"}))</f>
        <v>0</v>
      </c>
      <c r="G74" s="98" cm="1">
        <f t="array" ref="G74">SUM(SUMIFS('caseload data'!H:H,'caseload data'!$D:$D,"TPO",'caseload data'!$A:$A,"Greater Manchester",'caseload data'!$B:$B,{"licence","community"}))</f>
        <v>0</v>
      </c>
      <c r="H74" s="98" cm="1">
        <f t="array" ref="H74">SUM(SUMIFS('caseload data'!I:I,'caseload data'!$D:$D,"TPO",'caseload data'!$A:$A,"Greater Manchester",'caseload data'!$B:$B,{"licence","community"}))</f>
        <v>0</v>
      </c>
      <c r="I74" s="98" cm="1">
        <f t="array" ref="I74">SUM(SUMIFS('caseload data'!J:J,'caseload data'!$D:$D,"TPO",'caseload data'!$A:$A,"Greater Manchester",'caseload data'!$B:$B,{"licence","community"}))</f>
        <v>0</v>
      </c>
      <c r="J74" s="98" cm="1">
        <f t="array" ref="J74">SUM(SUMIFS('caseload data'!K:K,'caseload data'!$D:$D,"TPO",'caseload data'!$A:$A,"Greater Manchester",'caseload data'!$B:$B,{"licence","community"}))</f>
        <v>0</v>
      </c>
      <c r="K74" s="98" cm="1">
        <f t="array" ref="K74">SUM(SUMIFS('caseload data'!L:L,'caseload data'!$D:$D,"TPO",'caseload data'!$A:$A,"Greater Manchester",'caseload data'!$B:$B,{"licence","community"}))</f>
        <v>0</v>
      </c>
      <c r="L74" s="98" cm="1">
        <f t="array" ref="L74">SUM(SUMIFS('caseload data'!M:M,'caseload data'!$D:$D,"TPO",'caseload data'!$A:$A,"Greater Manchester",'caseload data'!$B:$B,{"licence","community"}))</f>
        <v>0</v>
      </c>
      <c r="M74" s="98" cm="1">
        <f t="array" ref="M74">SUM(SUMIFS('caseload data'!N:N,'caseload data'!$D:$D,"TPO",'caseload data'!$A:$A,"Greater Manchester",'caseload data'!$B:$B,{"licence","community"}))</f>
        <v>0</v>
      </c>
      <c r="N74" s="98" cm="1">
        <f t="array" ref="N74">SUM(SUMIFS('caseload data'!O:O,'caseload data'!$D:$D,"TPO",'caseload data'!$A:$A,"Greater Manchester",'caseload data'!$B:$B,{"licence","community"}))</f>
        <v>0</v>
      </c>
      <c r="O74" s="98" cm="1">
        <f t="array" ref="O74">SUM(SUMIFS('caseload data'!P:P,'caseload data'!$D:$D,"TPO",'caseload data'!$A:$A,"Greater Manchester",'caseload data'!$B:$B,{"licence","community"}))</f>
        <v>0</v>
      </c>
      <c r="P74" s="98" cm="1">
        <f t="array" ref="P74">SUM(SUMIFS('caseload data'!Q:Q,'caseload data'!$D:$D,"TPO",'caseload data'!$A:$A,"Greater Manchester",'caseload data'!$B:$B,{"licence","community"}))</f>
        <v>0</v>
      </c>
      <c r="Q74" s="98" cm="1">
        <f t="array" ref="Q74">SUM(SUMIFS('caseload data'!R:R,'caseload data'!$D:$D,"TPO",'caseload data'!$A:$A,"Greater Manchester",'caseload data'!$B:$B,{"licence","community"}))</f>
        <v>0</v>
      </c>
      <c r="R74" s="98" cm="1">
        <f t="array" ref="R74">SUM(SUMIFS('caseload data'!S:S,'caseload data'!$D:$D,"TPO",'caseload data'!$A:$A,"Greater Manchester",'caseload data'!$B:$B,{"licence","community"}))</f>
        <v>0</v>
      </c>
      <c r="S74" s="98" cm="1">
        <f t="array" ref="S74">SUM(SUMIFS('caseload data'!T:T,'caseload data'!$D:$D,"TPO",'caseload data'!$A:$A,"Greater Manchester",'caseload data'!$B:$B,{"licence","community"}))</f>
        <v>0</v>
      </c>
      <c r="T74" s="98" cm="1">
        <f t="array" ref="T74">SUM(SUMIFS('caseload data'!V:V,'caseload data'!D:D,"TPO",'caseload data'!A:A,"Greater Manchester",'caseload data'!B:B,{"licence","community"}))</f>
        <v>0</v>
      </c>
      <c r="U74" s="68"/>
      <c r="V74" s="68"/>
      <c r="W74" s="427"/>
      <c r="X74" s="133" t="s">
        <v>1173</v>
      </c>
      <c r="Y74" s="175" t="e">
        <f t="shared" si="13"/>
        <v>#DIV/0!</v>
      </c>
      <c r="Z74" s="175" t="e">
        <f t="shared" si="14"/>
        <v>#DIV/0!</v>
      </c>
      <c r="AA74" s="175" t="e">
        <f t="shared" si="14"/>
        <v>#DIV/0!</v>
      </c>
      <c r="AB74" s="175" t="e">
        <f t="shared" si="14"/>
        <v>#DIV/0!</v>
      </c>
      <c r="AC74" s="175" t="e">
        <f t="shared" si="14"/>
        <v>#DIV/0!</v>
      </c>
      <c r="AD74" s="175" t="e">
        <f t="shared" si="14"/>
        <v>#DIV/0!</v>
      </c>
      <c r="AE74" s="175" t="e">
        <f t="shared" si="14"/>
        <v>#DIV/0!</v>
      </c>
      <c r="AF74" s="175" t="e">
        <f t="shared" si="14"/>
        <v>#DIV/0!</v>
      </c>
      <c r="AG74" s="175" t="e">
        <f t="shared" si="14"/>
        <v>#DIV/0!</v>
      </c>
      <c r="AH74" s="175" t="e">
        <f t="shared" si="14"/>
        <v>#DIV/0!</v>
      </c>
      <c r="AI74" s="175" t="e">
        <f t="shared" si="14"/>
        <v>#DIV/0!</v>
      </c>
      <c r="AJ74" s="175" t="e">
        <f t="shared" si="14"/>
        <v>#DIV/0!</v>
      </c>
      <c r="AK74" s="175" t="e">
        <f t="shared" si="14"/>
        <v>#DIV/0!</v>
      </c>
      <c r="AL74" s="175" t="e">
        <f t="shared" si="14"/>
        <v>#DIV/0!</v>
      </c>
      <c r="AM74" s="175" t="e">
        <f t="shared" si="14"/>
        <v>#DIV/0!</v>
      </c>
      <c r="AN74" s="175" t="e">
        <f t="shared" si="14"/>
        <v>#DIV/0!</v>
      </c>
    </row>
    <row r="75" spans="2:40" x14ac:dyDescent="0.15">
      <c r="B75" s="428"/>
      <c r="C75" s="134" t="s">
        <v>1174</v>
      </c>
      <c r="D75" s="98" cm="1">
        <f t="array" ref="D75">SUM(SUMIFS('caseload data'!E:E,'caseload data'!$D:$D,"SPO",'caseload data'!$A:$A,"Greater Manchester",'caseload data'!$B:$B,{"licence","community"}))</f>
        <v>0</v>
      </c>
      <c r="E75" s="98" cm="1">
        <f t="array" ref="E75">SUM(SUMIFS('caseload data'!F:F,'caseload data'!$D:$D,"SPO",'caseload data'!$A:$A,"Greater Manchester",'caseload data'!$B:$B,{"licence","community"}))</f>
        <v>0</v>
      </c>
      <c r="F75" s="98" cm="1">
        <f t="array" ref="F75">SUM(SUMIFS('caseload data'!G:G,'caseload data'!$D:$D,"SPO",'caseload data'!$A:$A,"Greater Manchester",'caseload data'!$B:$B,{"licence","community"}))</f>
        <v>0</v>
      </c>
      <c r="G75" s="98" cm="1">
        <f t="array" ref="G75">SUM(SUMIFS('caseload data'!H:H,'caseload data'!$D:$D,"SPO",'caseload data'!$A:$A,"Greater Manchester",'caseload data'!$B:$B,{"licence","community"}))</f>
        <v>0</v>
      </c>
      <c r="H75" s="98" cm="1">
        <f t="array" ref="H75">SUM(SUMIFS('caseload data'!I:I,'caseload data'!$D:$D,"SPO",'caseload data'!$A:$A,"Greater Manchester",'caseload data'!$B:$B,{"licence","community"}))</f>
        <v>0</v>
      </c>
      <c r="I75" s="98" cm="1">
        <f t="array" ref="I75">SUM(SUMIFS('caseload data'!J:J,'caseload data'!$D:$D,"SPO",'caseload data'!$A:$A,"Greater Manchester",'caseload data'!$B:$B,{"licence","community"}))</f>
        <v>0</v>
      </c>
      <c r="J75" s="98" cm="1">
        <f t="array" ref="J75">SUM(SUMIFS('caseload data'!K:K,'caseload data'!$D:$D,"SPO",'caseload data'!$A:$A,"Greater Manchester",'caseload data'!$B:$B,{"licence","community"}))</f>
        <v>0</v>
      </c>
      <c r="K75" s="98" cm="1">
        <f t="array" ref="K75">SUM(SUMIFS('caseload data'!L:L,'caseload data'!$D:$D,"SPO",'caseload data'!$A:$A,"Greater Manchester",'caseload data'!$B:$B,{"licence","community"}))</f>
        <v>0</v>
      </c>
      <c r="L75" s="98" cm="1">
        <f t="array" ref="L75">SUM(SUMIFS('caseload data'!M:M,'caseload data'!$D:$D,"SPO",'caseload data'!$A:$A,"Greater Manchester",'caseload data'!$B:$B,{"licence","community"}))</f>
        <v>0</v>
      </c>
      <c r="M75" s="98" cm="1">
        <f t="array" ref="M75">SUM(SUMIFS('caseload data'!N:N,'caseload data'!$D:$D,"SPO",'caseload data'!$A:$A,"Greater Manchester",'caseload data'!$B:$B,{"licence","community"}))</f>
        <v>0</v>
      </c>
      <c r="N75" s="98" cm="1">
        <f t="array" ref="N75">SUM(SUMIFS('caseload data'!O:O,'caseload data'!$D:$D,"SPO",'caseload data'!$A:$A,"Greater Manchester",'caseload data'!$B:$B,{"licence","community"}))</f>
        <v>0</v>
      </c>
      <c r="O75" s="98" cm="1">
        <f t="array" ref="O75">SUM(SUMIFS('caseload data'!P:P,'caseload data'!$D:$D,"SPO",'caseload data'!$A:$A,"Greater Manchester",'caseload data'!$B:$B,{"licence","community"}))</f>
        <v>0</v>
      </c>
      <c r="P75" s="98" cm="1">
        <f t="array" ref="P75">SUM(SUMIFS('caseload data'!Q:Q,'caseload data'!$D:$D,"SPO",'caseload data'!$A:$A,"Greater Manchester",'caseload data'!$B:$B,{"licence","community"}))</f>
        <v>0</v>
      </c>
      <c r="Q75" s="98" cm="1">
        <f t="array" ref="Q75">SUM(SUMIFS('caseload data'!R:R,'caseload data'!$D:$D,"SPO",'caseload data'!$A:$A,"Greater Manchester",'caseload data'!$B:$B,{"licence","community"}))</f>
        <v>0</v>
      </c>
      <c r="R75" s="98" cm="1">
        <f t="array" ref="R75">SUM(SUMIFS('caseload data'!S:S,'caseload data'!$D:$D,"SPO",'caseload data'!$A:$A,"Greater Manchester",'caseload data'!$B:$B,{"licence","community"}))</f>
        <v>0</v>
      </c>
      <c r="S75" s="98" cm="1">
        <f t="array" ref="S75">SUM(SUMIFS('caseload data'!T:T,'caseload data'!$D:$D,"SPO",'caseload data'!$A:$A,"Greater Manchester",'caseload data'!$B:$B,{"licence","community"}))</f>
        <v>0</v>
      </c>
      <c r="T75" s="98" cm="1">
        <f t="array" ref="T75">SUM(SUMIFS('caseload data'!V:V,'caseload data'!$D:$D,"SPO",'caseload data'!$A:$A,"Greater Manchester",'caseload data'!$B:$B,{"licence","community"}))</f>
        <v>0</v>
      </c>
      <c r="U75" s="68"/>
      <c r="V75" s="68"/>
      <c r="W75" s="428"/>
      <c r="X75" s="134" t="s">
        <v>1174</v>
      </c>
      <c r="Y75" s="175" t="e">
        <f t="shared" si="13"/>
        <v>#DIV/0!</v>
      </c>
      <c r="Z75" s="175" t="e">
        <f t="shared" si="14"/>
        <v>#DIV/0!</v>
      </c>
      <c r="AA75" s="175" t="e">
        <f t="shared" si="14"/>
        <v>#DIV/0!</v>
      </c>
      <c r="AB75" s="175" t="e">
        <f t="shared" si="14"/>
        <v>#DIV/0!</v>
      </c>
      <c r="AC75" s="175" t="e">
        <f t="shared" si="14"/>
        <v>#DIV/0!</v>
      </c>
      <c r="AD75" s="175" t="e">
        <f t="shared" si="14"/>
        <v>#DIV/0!</v>
      </c>
      <c r="AE75" s="175" t="e">
        <f t="shared" si="14"/>
        <v>#DIV/0!</v>
      </c>
      <c r="AF75" s="175" t="e">
        <f t="shared" si="14"/>
        <v>#DIV/0!</v>
      </c>
      <c r="AG75" s="175" t="e">
        <f t="shared" si="14"/>
        <v>#DIV/0!</v>
      </c>
      <c r="AH75" s="175" t="e">
        <f t="shared" si="14"/>
        <v>#DIV/0!</v>
      </c>
      <c r="AI75" s="175" t="e">
        <f t="shared" si="14"/>
        <v>#DIV/0!</v>
      </c>
      <c r="AJ75" s="175" t="e">
        <f t="shared" si="14"/>
        <v>#DIV/0!</v>
      </c>
      <c r="AK75" s="175" t="e">
        <f t="shared" si="14"/>
        <v>#DIV/0!</v>
      </c>
      <c r="AL75" s="175" t="e">
        <f t="shared" si="14"/>
        <v>#DIV/0!</v>
      </c>
      <c r="AM75" s="175" t="e">
        <f t="shared" si="14"/>
        <v>#DIV/0!</v>
      </c>
      <c r="AN75" s="175" t="e">
        <f t="shared" si="14"/>
        <v>#DIV/0!</v>
      </c>
    </row>
    <row r="76" spans="2:40" x14ac:dyDescent="0.15">
      <c r="B76" s="426" t="s">
        <v>26</v>
      </c>
      <c r="C76" s="132" t="s">
        <v>1166</v>
      </c>
      <c r="D76" s="98" cm="1">
        <f t="array" ref="D76">SUM(SUMIFS('caseload data'!E:E,'caseload data'!$D:$D,"PO",'caseload data'!$A:$A,_xlfn.SINGLE('national caseload'!$B$76:$B$78),'caseload data'!$B:$B,{"licence","community"}))</f>
        <v>0</v>
      </c>
      <c r="E76" s="98" cm="1">
        <f t="array" ref="E76">SUM(SUMIFS('caseload data'!F:F,'caseload data'!$D:$D,"PO",'caseload data'!$A:$A,_xlfn.SINGLE('national caseload'!$B$76:$B$78),'caseload data'!$B:$B,{"licence","community"}))</f>
        <v>0</v>
      </c>
      <c r="F76" s="98" cm="1">
        <f t="array" ref="F76">SUM(SUMIFS('caseload data'!G:G,'caseload data'!$D:$D,"PO",'caseload data'!$A:$A,_xlfn.SINGLE('national caseload'!$B$76:$B$78),'caseload data'!$B:$B,{"licence","community"}))</f>
        <v>0</v>
      </c>
      <c r="G76" s="98" cm="1">
        <f t="array" ref="G76">SUM(SUMIFS('caseload data'!H:H,'caseload data'!$D:$D,"PO",'caseload data'!$A:$A,_xlfn.SINGLE('national caseload'!$B$76:$B$78),'caseload data'!$B:$B,{"licence","community"}))</f>
        <v>0</v>
      </c>
      <c r="H76" s="98" cm="1">
        <f t="array" ref="H76">SUM(SUMIFS('caseload data'!I:I,'caseload data'!$D:$D,"PO",'caseload data'!$A:$A,_xlfn.SINGLE('national caseload'!$B$76:$B$78),'caseload data'!$B:$B,{"licence","community"}))</f>
        <v>0</v>
      </c>
      <c r="I76" s="98" cm="1">
        <f t="array" ref="I76">SUM(SUMIFS('caseload data'!J:J,'caseload data'!$D:$D,"PO",'caseload data'!$A:$A,_xlfn.SINGLE('national caseload'!$B$76:$B$78),'caseload data'!$B:$B,{"licence","community"}))</f>
        <v>0</v>
      </c>
      <c r="J76" s="98" cm="1">
        <f t="array" ref="J76">SUM(SUMIFS('caseload data'!K:K,'caseload data'!$D:$D,"PO",'caseload data'!$A:$A,_xlfn.SINGLE('national caseload'!$B$76:$B$78),'caseload data'!$B:$B,{"licence","community"}))</f>
        <v>0</v>
      </c>
      <c r="K76" s="98" cm="1">
        <f t="array" ref="K76">SUM(SUMIFS('caseload data'!L:L,'caseload data'!$D:$D,"PO",'caseload data'!$A:$A,_xlfn.SINGLE('national caseload'!$B$76:$B$78),'caseload data'!$B:$B,{"licence","community"}))</f>
        <v>0</v>
      </c>
      <c r="L76" s="98" cm="1">
        <f t="array" ref="L76">SUM(SUMIFS('caseload data'!M:M,'caseload data'!$D:$D,"PO",'caseload data'!$A:$A,_xlfn.SINGLE('national caseload'!$B$76:$B$78),'caseload data'!$B:$B,{"licence","community"}))</f>
        <v>0</v>
      </c>
      <c r="M76" s="98" cm="1">
        <f t="array" ref="M76">SUM(SUMIFS('caseload data'!N:N,'caseload data'!$D:$D,"PO",'caseload data'!$A:$A,_xlfn.SINGLE('national caseload'!$B$76:$B$78),'caseload data'!$B:$B,{"licence","community"}))</f>
        <v>0</v>
      </c>
      <c r="N76" s="98" cm="1">
        <f t="array" ref="N76">SUM(SUMIFS('caseload data'!O:O,'caseload data'!$D:$D,"PO",'caseload data'!$A:$A,_xlfn.SINGLE('national caseload'!$B$76:$B$78),'caseload data'!$B:$B,{"licence","community"}))</f>
        <v>0</v>
      </c>
      <c r="O76" s="98" cm="1">
        <f t="array" ref="O76">SUM(SUMIFS('caseload data'!P:P,'caseload data'!$D:$D,"PO",'caseload data'!$A:$A,_xlfn.SINGLE('national caseload'!$B$76:$B$78),'caseload data'!$B:$B,{"licence","community"}))</f>
        <v>0</v>
      </c>
      <c r="P76" s="98" cm="1">
        <f t="array" ref="P76">SUM(SUMIFS('caseload data'!Q:Q,'caseload data'!$D:$D,"PO",'caseload data'!$A:$A,_xlfn.SINGLE('national caseload'!$B$76:$B$78),'caseload data'!$B:$B,{"licence","community"}))</f>
        <v>0</v>
      </c>
      <c r="Q76" s="98" cm="1">
        <f t="array" ref="Q76">SUM(SUMIFS('caseload data'!R:R,'caseload data'!$D:$D,"PO",'caseload data'!$A:$A,_xlfn.SINGLE('national caseload'!$B$76:$B$78),'caseload data'!$B:$B,{"licence","community"}))</f>
        <v>0</v>
      </c>
      <c r="R76" s="98" cm="1">
        <f t="array" ref="R76">SUM(SUMIFS('caseload data'!S:S,'caseload data'!$D:$D,"PO",'caseload data'!$A:$A,_xlfn.SINGLE('national caseload'!$B$76:$B$78),'caseload data'!$B:$B,{"licence","community"}))</f>
        <v>0</v>
      </c>
      <c r="S76" s="98" cm="1">
        <f t="array" ref="S76">SUM(SUMIFS('caseload data'!T:T,'caseload data'!$D:$D,"PO",'caseload data'!$A:$A,_xlfn.SINGLE('national caseload'!$B$76:$B$78),'caseload data'!$B:$B,{"licence","community"}))</f>
        <v>0</v>
      </c>
      <c r="T76" s="98">
        <f>SUM(SUMIFS('caseload data'!V:V,'caseload data'!D:D,"PO",'caseload data'!A:A,'national caseload'!B76:B78,'caseload data'!B:B,{"licence","community"}))</f>
        <v>0</v>
      </c>
      <c r="U76" s="68"/>
      <c r="V76" s="68"/>
      <c r="W76" s="426" t="s">
        <v>26</v>
      </c>
      <c r="X76" s="132" t="s">
        <v>1166</v>
      </c>
      <c r="Y76" s="175" t="e">
        <f t="shared" si="13"/>
        <v>#DIV/0!</v>
      </c>
      <c r="Z76" s="175" t="e">
        <f t="shared" si="14"/>
        <v>#DIV/0!</v>
      </c>
      <c r="AA76" s="175" t="e">
        <f t="shared" si="14"/>
        <v>#DIV/0!</v>
      </c>
      <c r="AB76" s="175" t="e">
        <f t="shared" si="14"/>
        <v>#DIV/0!</v>
      </c>
      <c r="AC76" s="175" t="e">
        <f t="shared" si="14"/>
        <v>#DIV/0!</v>
      </c>
      <c r="AD76" s="175" t="e">
        <f t="shared" si="14"/>
        <v>#DIV/0!</v>
      </c>
      <c r="AE76" s="175" t="e">
        <f t="shared" si="14"/>
        <v>#DIV/0!</v>
      </c>
      <c r="AF76" s="175" t="e">
        <f t="shared" si="14"/>
        <v>#DIV/0!</v>
      </c>
      <c r="AG76" s="175" t="e">
        <f t="shared" si="14"/>
        <v>#DIV/0!</v>
      </c>
      <c r="AH76" s="175" t="e">
        <f t="shared" si="14"/>
        <v>#DIV/0!</v>
      </c>
      <c r="AI76" s="175" t="e">
        <f t="shared" si="14"/>
        <v>#DIV/0!</v>
      </c>
      <c r="AJ76" s="175" t="e">
        <f t="shared" si="14"/>
        <v>#DIV/0!</v>
      </c>
      <c r="AK76" s="175" t="e">
        <f t="shared" si="14"/>
        <v>#DIV/0!</v>
      </c>
      <c r="AL76" s="175" t="e">
        <f t="shared" si="14"/>
        <v>#DIV/0!</v>
      </c>
      <c r="AM76" s="175" t="e">
        <f t="shared" si="14"/>
        <v>#DIV/0!</v>
      </c>
      <c r="AN76" s="175" t="e">
        <f t="shared" si="14"/>
        <v>#DIV/0!</v>
      </c>
    </row>
    <row r="77" spans="2:40" x14ac:dyDescent="0.15">
      <c r="B77" s="427"/>
      <c r="C77" s="133" t="s">
        <v>1172</v>
      </c>
      <c r="D77" s="98" cm="1">
        <f t="array" ref="D77">SUM(SUMIFS('caseload data'!E:E,'caseload data'!$D:$D,"PSO",'caseload data'!$A:$A,"Kent Surrey Sussex Region",'caseload data'!$B:$B,{"licence","community"}))</f>
        <v>0</v>
      </c>
      <c r="E77" s="98" cm="1">
        <f t="array" ref="E77">SUM(SUMIFS('caseload data'!F:F,'caseload data'!$D:$D,"PSO",'caseload data'!$A:$A,"Kent Surrey Sussex Region",'caseload data'!$B:$B,{"licence","community"}))</f>
        <v>0</v>
      </c>
      <c r="F77" s="98" cm="1">
        <f t="array" ref="F77">SUM(SUMIFS('caseload data'!G:G,'caseload data'!$D:$D,"PSO",'caseload data'!$A:$A,"Kent Surrey Sussex Region",'caseload data'!$B:$B,{"licence","community"}))</f>
        <v>0</v>
      </c>
      <c r="G77" s="98" cm="1">
        <f t="array" ref="G77">SUM(SUMIFS('caseload data'!H:H,'caseload data'!$D:$D,"PSO",'caseload data'!$A:$A,"Kent Surrey Sussex Region",'caseload data'!$B:$B,{"licence","community"}))</f>
        <v>0</v>
      </c>
      <c r="H77" s="98" cm="1">
        <f t="array" ref="H77">SUM(SUMIFS('caseload data'!I:I,'caseload data'!$D:$D,"PSO",'caseload data'!$A:$A,"Kent Surrey Sussex Region",'caseload data'!$B:$B,{"licence","community"}))</f>
        <v>0</v>
      </c>
      <c r="I77" s="98" cm="1">
        <f t="array" ref="I77">SUM(SUMIFS('caseload data'!J:J,'caseload data'!$D:$D,"PSO",'caseload data'!$A:$A,"Kent Surrey Sussex Region",'caseload data'!$B:$B,{"licence","community"}))</f>
        <v>0</v>
      </c>
      <c r="J77" s="98" cm="1">
        <f t="array" ref="J77">SUM(SUMIFS('caseload data'!K:K,'caseload data'!$D:$D,"PSO",'caseload data'!$A:$A,"Kent Surrey Sussex Region",'caseload data'!$B:$B,{"licence","community"}))</f>
        <v>0</v>
      </c>
      <c r="K77" s="98" cm="1">
        <f t="array" ref="K77">SUM(SUMIFS('caseload data'!L:L,'caseload data'!$D:$D,"PSO",'caseload data'!$A:$A,"Kent Surrey Sussex Region",'caseload data'!$B:$B,{"licence","community"}))</f>
        <v>0</v>
      </c>
      <c r="L77" s="98" cm="1">
        <f t="array" ref="L77">SUM(SUMIFS('caseload data'!M:M,'caseload data'!$D:$D,"PSO",'caseload data'!$A:$A,"Kent Surrey Sussex Region",'caseload data'!$B:$B,{"licence","community"}))</f>
        <v>0</v>
      </c>
      <c r="M77" s="98" cm="1">
        <f t="array" ref="M77">SUM(SUMIFS('caseload data'!N:N,'caseload data'!$D:$D,"PSO",'caseload data'!$A:$A,"Kent Surrey Sussex Region",'caseload data'!$B:$B,{"licence","community"}))</f>
        <v>0</v>
      </c>
      <c r="N77" s="98" cm="1">
        <f t="array" ref="N77">SUM(SUMIFS('caseload data'!O:O,'caseload data'!$D:$D,"PSO",'caseload data'!$A:$A,"Kent Surrey Sussex Region",'caseload data'!$B:$B,{"licence","community"}))</f>
        <v>0</v>
      </c>
      <c r="O77" s="98" cm="1">
        <f t="array" ref="O77">SUM(SUMIFS('caseload data'!P:P,'caseload data'!$D:$D,"PSO",'caseload data'!$A:$A,"Kent Surrey Sussex Region",'caseload data'!$B:$B,{"licence","community"}))</f>
        <v>0</v>
      </c>
      <c r="P77" s="98" cm="1">
        <f t="array" ref="P77">SUM(SUMIFS('caseload data'!Q:Q,'caseload data'!$D:$D,"PSO",'caseload data'!$A:$A,"Kent Surrey Sussex Region",'caseload data'!$B:$B,{"licence","community"}))</f>
        <v>0</v>
      </c>
      <c r="Q77" s="98" cm="1">
        <f t="array" ref="Q77">SUM(SUMIFS('caseload data'!R:R,'caseload data'!$D:$D,"PSO",'caseload data'!$A:$A,"Kent Surrey Sussex Region",'caseload data'!$B:$B,{"licence","community"}))</f>
        <v>0</v>
      </c>
      <c r="R77" s="98" cm="1">
        <f t="array" ref="R77">SUM(SUMIFS('caseload data'!S:S,'caseload data'!$D:$D,"PSO",'caseload data'!$A:$A,"Kent Surrey Sussex Region",'caseload data'!$B:$B,{"licence","community"}))</f>
        <v>0</v>
      </c>
      <c r="S77" s="98" cm="1">
        <f t="array" ref="S77">SUM(SUMIFS('caseload data'!T:T,'caseload data'!$D:$D,"PSO",'caseload data'!$A:$A,"Kent Surrey Sussex Region",'caseload data'!$B:$B,{"licence","community"}))</f>
        <v>0</v>
      </c>
      <c r="T77" s="98" cm="1">
        <f t="array" ref="T77">SUM(SUMIFS('caseload data'!V:V,'caseload data'!D:D,"PSO",'caseload data'!A:A,"Kent Surrey Sussex Region",'caseload data'!B:B,{"licence","community"}))</f>
        <v>0</v>
      </c>
      <c r="U77" s="68"/>
      <c r="V77" s="68"/>
      <c r="W77" s="427"/>
      <c r="X77" s="133" t="s">
        <v>1172</v>
      </c>
      <c r="Y77" s="175" t="e">
        <f t="shared" si="13"/>
        <v>#DIV/0!</v>
      </c>
      <c r="Z77" s="175" t="e">
        <f t="shared" si="14"/>
        <v>#DIV/0!</v>
      </c>
      <c r="AA77" s="175" t="e">
        <f t="shared" si="14"/>
        <v>#DIV/0!</v>
      </c>
      <c r="AB77" s="175" t="e">
        <f t="shared" si="14"/>
        <v>#DIV/0!</v>
      </c>
      <c r="AC77" s="175" t="e">
        <f t="shared" si="14"/>
        <v>#DIV/0!</v>
      </c>
      <c r="AD77" s="175" t="e">
        <f t="shared" si="14"/>
        <v>#DIV/0!</v>
      </c>
      <c r="AE77" s="175" t="e">
        <f t="shared" si="14"/>
        <v>#DIV/0!</v>
      </c>
      <c r="AF77" s="175" t="e">
        <f t="shared" si="14"/>
        <v>#DIV/0!</v>
      </c>
      <c r="AG77" s="175" t="e">
        <f t="shared" si="14"/>
        <v>#DIV/0!</v>
      </c>
      <c r="AH77" s="175" t="e">
        <f t="shared" si="14"/>
        <v>#DIV/0!</v>
      </c>
      <c r="AI77" s="175" t="e">
        <f t="shared" si="14"/>
        <v>#DIV/0!</v>
      </c>
      <c r="AJ77" s="175" t="e">
        <f t="shared" si="14"/>
        <v>#DIV/0!</v>
      </c>
      <c r="AK77" s="175" t="e">
        <f t="shared" si="14"/>
        <v>#DIV/0!</v>
      </c>
      <c r="AL77" s="175" t="e">
        <f t="shared" si="14"/>
        <v>#DIV/0!</v>
      </c>
      <c r="AM77" s="175" t="e">
        <f t="shared" si="14"/>
        <v>#DIV/0!</v>
      </c>
      <c r="AN77" s="175" t="e">
        <f t="shared" si="14"/>
        <v>#DIV/0!</v>
      </c>
    </row>
    <row r="78" spans="2:40" x14ac:dyDescent="0.15">
      <c r="B78" s="427"/>
      <c r="C78" s="133" t="s">
        <v>1173</v>
      </c>
      <c r="D78" s="98" cm="1">
        <f t="array" ref="D78">SUM(SUMIFS('caseload data'!E:E,'caseload data'!$D:$D,"TPO",'caseload data'!$A:$A,"Kent Surrey Sussex Region",'caseload data'!$B:$B,{"licence","community"}))</f>
        <v>0</v>
      </c>
      <c r="E78" s="98" cm="1">
        <f t="array" ref="E78">SUM(SUMIFS('caseload data'!F:F,'caseload data'!$D:$D,"TPO",'caseload data'!$A:$A,"Kent Surrey Sussex Region",'caseload data'!$B:$B,{"licence","community"}))</f>
        <v>0</v>
      </c>
      <c r="F78" s="98" cm="1">
        <f t="array" ref="F78">SUM(SUMIFS('caseload data'!G:G,'caseload data'!$D:$D,"TPO",'caseload data'!$A:$A,"Kent Surrey Sussex Region",'caseload data'!$B:$B,{"licence","community"}))</f>
        <v>0</v>
      </c>
      <c r="G78" s="98" cm="1">
        <f t="array" ref="G78">SUM(SUMIFS('caseload data'!H:H,'caseload data'!$D:$D,"TPO",'caseload data'!$A:$A,"Kent Surrey Sussex Region",'caseload data'!$B:$B,{"licence","community"}))</f>
        <v>0</v>
      </c>
      <c r="H78" s="98" cm="1">
        <f t="array" ref="H78">SUM(SUMIFS('caseload data'!I:I,'caseload data'!$D:$D,"TPO",'caseload data'!$A:$A,"Kent Surrey Sussex Region",'caseload data'!$B:$B,{"licence","community"}))</f>
        <v>0</v>
      </c>
      <c r="I78" s="98" cm="1">
        <f t="array" ref="I78">SUM(SUMIFS('caseload data'!J:J,'caseload data'!$D:$D,"TPO",'caseload data'!$A:$A,"Kent Surrey Sussex Region",'caseload data'!$B:$B,{"licence","community"}))</f>
        <v>0</v>
      </c>
      <c r="J78" s="98" cm="1">
        <f t="array" ref="J78">SUM(SUMIFS('caseload data'!K:K,'caseload data'!$D:$D,"TPO",'caseload data'!$A:$A,"Kent Surrey Sussex Region",'caseload data'!$B:$B,{"licence","community"}))</f>
        <v>0</v>
      </c>
      <c r="K78" s="98" cm="1">
        <f t="array" ref="K78">SUM(SUMIFS('caseload data'!L:L,'caseload data'!$D:$D,"TPO",'caseload data'!$A:$A,"Kent Surrey Sussex Region",'caseload data'!$B:$B,{"licence","community"}))</f>
        <v>0</v>
      </c>
      <c r="L78" s="98" cm="1">
        <f t="array" ref="L78">SUM(SUMIFS('caseload data'!M:M,'caseload data'!$D:$D,"TPO",'caseload data'!$A:$A,"Kent Surrey Sussex Region",'caseload data'!$B:$B,{"licence","community"}))</f>
        <v>0</v>
      </c>
      <c r="M78" s="98" cm="1">
        <f t="array" ref="M78">SUM(SUMIFS('caseload data'!N:N,'caseload data'!$D:$D,"TPO",'caseload data'!$A:$A,"Kent Surrey Sussex Region",'caseload data'!$B:$B,{"licence","community"}))</f>
        <v>0</v>
      </c>
      <c r="N78" s="98" cm="1">
        <f t="array" ref="N78">SUM(SUMIFS('caseload data'!O:O,'caseload data'!$D:$D,"TPO",'caseload data'!$A:$A,"Kent Surrey Sussex Region",'caseload data'!$B:$B,{"licence","community"}))</f>
        <v>0</v>
      </c>
      <c r="O78" s="98" cm="1">
        <f t="array" ref="O78">SUM(SUMIFS('caseload data'!P:P,'caseload data'!$D:$D,"TPO",'caseload data'!$A:$A,"Kent Surrey Sussex Region",'caseload data'!$B:$B,{"licence","community"}))</f>
        <v>0</v>
      </c>
      <c r="P78" s="98" cm="1">
        <f t="array" ref="P78">SUM(SUMIFS('caseload data'!Q:Q,'caseload data'!$D:$D,"TPO",'caseload data'!$A:$A,"Kent Surrey Sussex Region",'caseload data'!$B:$B,{"licence","community"}))</f>
        <v>0</v>
      </c>
      <c r="Q78" s="98" cm="1">
        <f t="array" ref="Q78">SUM(SUMIFS('caseload data'!R:R,'caseload data'!$D:$D,"TPO",'caseload data'!$A:$A,"Kent Surrey Sussex Region",'caseload data'!$B:$B,{"licence","community"}))</f>
        <v>0</v>
      </c>
      <c r="R78" s="98" cm="1">
        <f t="array" ref="R78">SUM(SUMIFS('caseload data'!S:S,'caseload data'!$D:$D,"TPO",'caseload data'!$A:$A,"Kent Surrey Sussex Region",'caseload data'!$B:$B,{"licence","community"}))</f>
        <v>0</v>
      </c>
      <c r="S78" s="98" cm="1">
        <f t="array" ref="S78">SUM(SUMIFS('caseload data'!T:T,'caseload data'!$D:$D,"TPO",'caseload data'!$A:$A,"Kent Surrey Sussex Region",'caseload data'!$B:$B,{"licence","community"}))</f>
        <v>0</v>
      </c>
      <c r="T78" s="98" cm="1">
        <f t="array" ref="T78">SUM(SUMIFS('caseload data'!V:V,'caseload data'!D:D,"TPO",'caseload data'!A:A,"Kent Surrey Sussex Region",'caseload data'!B:B,{"licence","community"}))</f>
        <v>0</v>
      </c>
      <c r="U78" s="68"/>
      <c r="V78" s="68"/>
      <c r="W78" s="427"/>
      <c r="X78" s="133" t="s">
        <v>1173</v>
      </c>
      <c r="Y78" s="175" t="e">
        <f t="shared" si="13"/>
        <v>#DIV/0!</v>
      </c>
      <c r="Z78" s="175" t="e">
        <f t="shared" si="14"/>
        <v>#DIV/0!</v>
      </c>
      <c r="AA78" s="175" t="e">
        <f t="shared" si="14"/>
        <v>#DIV/0!</v>
      </c>
      <c r="AB78" s="175" t="e">
        <f t="shared" si="14"/>
        <v>#DIV/0!</v>
      </c>
      <c r="AC78" s="175" t="e">
        <f t="shared" ref="AC78:AN83" si="15">SUM(H78)/SUM(H$64:H$67)</f>
        <v>#DIV/0!</v>
      </c>
      <c r="AD78" s="175" t="e">
        <f t="shared" si="15"/>
        <v>#DIV/0!</v>
      </c>
      <c r="AE78" s="175" t="e">
        <f t="shared" si="15"/>
        <v>#DIV/0!</v>
      </c>
      <c r="AF78" s="175" t="e">
        <f t="shared" si="15"/>
        <v>#DIV/0!</v>
      </c>
      <c r="AG78" s="175" t="e">
        <f t="shared" si="15"/>
        <v>#DIV/0!</v>
      </c>
      <c r="AH78" s="175" t="e">
        <f t="shared" si="15"/>
        <v>#DIV/0!</v>
      </c>
      <c r="AI78" s="175" t="e">
        <f t="shared" si="15"/>
        <v>#DIV/0!</v>
      </c>
      <c r="AJ78" s="175" t="e">
        <f t="shared" si="15"/>
        <v>#DIV/0!</v>
      </c>
      <c r="AK78" s="175" t="e">
        <f t="shared" si="15"/>
        <v>#DIV/0!</v>
      </c>
      <c r="AL78" s="175" t="e">
        <f t="shared" si="15"/>
        <v>#DIV/0!</v>
      </c>
      <c r="AM78" s="175" t="e">
        <f t="shared" si="15"/>
        <v>#DIV/0!</v>
      </c>
      <c r="AN78" s="175" t="e">
        <f t="shared" si="15"/>
        <v>#DIV/0!</v>
      </c>
    </row>
    <row r="79" spans="2:40" x14ac:dyDescent="0.15">
      <c r="B79" s="428"/>
      <c r="C79" s="134" t="s">
        <v>1174</v>
      </c>
      <c r="D79" s="98" cm="1">
        <f t="array" ref="D79">SUM(SUMIFS('caseload data'!E:E,'caseload data'!$D:$D,"SPO",'caseload data'!$A:$A,"Kent Surrey Sussex Region",'caseload data'!$B:$B,{"licence","community"}))</f>
        <v>0</v>
      </c>
      <c r="E79" s="98" cm="1">
        <f t="array" ref="E79">SUM(SUMIFS('caseload data'!F:F,'caseload data'!$D:$D,"SPO",'caseload data'!$A:$A,"Kent Surrey Sussex Region",'caseload data'!$B:$B,{"licence","community"}))</f>
        <v>0</v>
      </c>
      <c r="F79" s="98" cm="1">
        <f t="array" ref="F79">SUM(SUMIFS('caseload data'!G:G,'caseload data'!$D:$D,"SPO",'caseload data'!$A:$A,"Kent Surrey Sussex Region",'caseload data'!$B:$B,{"licence","community"}))</f>
        <v>0</v>
      </c>
      <c r="G79" s="98" cm="1">
        <f t="array" ref="G79">SUM(SUMIFS('caseload data'!H:H,'caseload data'!$D:$D,"SPO",'caseload data'!$A:$A,"Kent Surrey Sussex Region",'caseload data'!$B:$B,{"licence","community"}))</f>
        <v>0</v>
      </c>
      <c r="H79" s="98" cm="1">
        <f t="array" ref="H79">SUM(SUMIFS('caseload data'!I:I,'caseload data'!$D:$D,"SPO",'caseload data'!$A:$A,"Kent Surrey Sussex Region",'caseload data'!$B:$B,{"licence","community"}))</f>
        <v>0</v>
      </c>
      <c r="I79" s="98" cm="1">
        <f t="array" ref="I79">SUM(SUMIFS('caseload data'!J:J,'caseload data'!$D:$D,"SPO",'caseload data'!$A:$A,"Kent Surrey Sussex Region",'caseload data'!$B:$B,{"licence","community"}))</f>
        <v>0</v>
      </c>
      <c r="J79" s="98" cm="1">
        <f t="array" ref="J79">SUM(SUMIFS('caseload data'!K:K,'caseload data'!$D:$D,"SPO",'caseload data'!$A:$A,"Kent Surrey Sussex Region",'caseload data'!$B:$B,{"licence","community"}))</f>
        <v>0</v>
      </c>
      <c r="K79" s="98" cm="1">
        <f t="array" ref="K79">SUM(SUMIFS('caseload data'!L:L,'caseload data'!$D:$D,"SPO",'caseload data'!$A:$A,"Kent Surrey Sussex Region",'caseload data'!$B:$B,{"licence","community"}))</f>
        <v>0</v>
      </c>
      <c r="L79" s="98" cm="1">
        <f t="array" ref="L79">SUM(SUMIFS('caseload data'!M:M,'caseload data'!$D:$D,"SPO",'caseload data'!$A:$A,"Kent Surrey Sussex Region",'caseload data'!$B:$B,{"licence","community"}))</f>
        <v>0</v>
      </c>
      <c r="M79" s="98" cm="1">
        <f t="array" ref="M79">SUM(SUMIFS('caseload data'!N:N,'caseload data'!$D:$D,"SPO",'caseload data'!$A:$A,"Kent Surrey Sussex Region",'caseload data'!$B:$B,{"licence","community"}))</f>
        <v>0</v>
      </c>
      <c r="N79" s="98" cm="1">
        <f t="array" ref="N79">SUM(SUMIFS('caseload data'!O:O,'caseload data'!$D:$D,"SPO",'caseload data'!$A:$A,"Kent Surrey Sussex Region",'caseload data'!$B:$B,{"licence","community"}))</f>
        <v>0</v>
      </c>
      <c r="O79" s="98" cm="1">
        <f t="array" ref="O79">SUM(SUMIFS('caseload data'!P:P,'caseload data'!$D:$D,"SPO",'caseload data'!$A:$A,"Kent Surrey Sussex Region",'caseload data'!$B:$B,{"licence","community"}))</f>
        <v>0</v>
      </c>
      <c r="P79" s="98" cm="1">
        <f t="array" ref="P79">SUM(SUMIFS('caseload data'!Q:Q,'caseload data'!$D:$D,"SPO",'caseload data'!$A:$A,"Kent Surrey Sussex Region",'caseload data'!$B:$B,{"licence","community"}))</f>
        <v>0</v>
      </c>
      <c r="Q79" s="98" cm="1">
        <f t="array" ref="Q79">SUM(SUMIFS('caseload data'!R:R,'caseload data'!$D:$D,"SPO",'caseload data'!$A:$A,"Kent Surrey Sussex Region",'caseload data'!$B:$B,{"licence","community"}))</f>
        <v>0</v>
      </c>
      <c r="R79" s="98" cm="1">
        <f t="array" ref="R79">SUM(SUMIFS('caseload data'!S:S,'caseload data'!$D:$D,"SPO",'caseload data'!$A:$A,"Kent Surrey Sussex Region",'caseload data'!$B:$B,{"licence","community"}))</f>
        <v>0</v>
      </c>
      <c r="S79" s="98" cm="1">
        <f t="array" ref="S79">SUM(SUMIFS('caseload data'!T:T,'caseload data'!$D:$D,"SPO",'caseload data'!$A:$A,"Kent Surrey Sussex Region",'caseload data'!$B:$B,{"licence","community"}))</f>
        <v>0</v>
      </c>
      <c r="T79" s="98" cm="1">
        <f t="array" ref="T79">SUM(SUMIFS('caseload data'!V:V,'caseload data'!$D:$D,"SPO",'caseload data'!$A:$A,"Kent Surrey Sussex Region",'caseload data'!$B:$B,{"licence","community"}))</f>
        <v>0</v>
      </c>
      <c r="U79" s="68"/>
      <c r="V79" s="68"/>
      <c r="W79" s="428"/>
      <c r="X79" s="134" t="s">
        <v>1174</v>
      </c>
      <c r="Y79" s="175" t="e">
        <f t="shared" si="13"/>
        <v>#DIV/0!</v>
      </c>
      <c r="Z79" s="175" t="e">
        <f t="shared" ref="Z79:AB83" si="16">SUM(E79)/SUM(E$64:E$67)</f>
        <v>#DIV/0!</v>
      </c>
      <c r="AA79" s="175" t="e">
        <f t="shared" si="16"/>
        <v>#DIV/0!</v>
      </c>
      <c r="AB79" s="175" t="e">
        <f t="shared" si="16"/>
        <v>#DIV/0!</v>
      </c>
      <c r="AC79" s="175" t="e">
        <f t="shared" si="15"/>
        <v>#DIV/0!</v>
      </c>
      <c r="AD79" s="175" t="e">
        <f t="shared" si="15"/>
        <v>#DIV/0!</v>
      </c>
      <c r="AE79" s="175" t="e">
        <f t="shared" si="15"/>
        <v>#DIV/0!</v>
      </c>
      <c r="AF79" s="175" t="e">
        <f t="shared" si="15"/>
        <v>#DIV/0!</v>
      </c>
      <c r="AG79" s="175" t="e">
        <f t="shared" si="15"/>
        <v>#DIV/0!</v>
      </c>
      <c r="AH79" s="175" t="e">
        <f t="shared" si="15"/>
        <v>#DIV/0!</v>
      </c>
      <c r="AI79" s="175" t="e">
        <f t="shared" si="15"/>
        <v>#DIV/0!</v>
      </c>
      <c r="AJ79" s="175" t="e">
        <f t="shared" si="15"/>
        <v>#DIV/0!</v>
      </c>
      <c r="AK79" s="175" t="e">
        <f t="shared" si="15"/>
        <v>#DIV/0!</v>
      </c>
      <c r="AL79" s="175" t="e">
        <f t="shared" si="15"/>
        <v>#DIV/0!</v>
      </c>
      <c r="AM79" s="175" t="e">
        <f t="shared" si="15"/>
        <v>#DIV/0!</v>
      </c>
      <c r="AN79" s="175" t="e">
        <f t="shared" si="15"/>
        <v>#DIV/0!</v>
      </c>
    </row>
    <row r="80" spans="2:40" x14ac:dyDescent="0.15">
      <c r="B80" s="426" t="s">
        <v>27</v>
      </c>
      <c r="C80" s="132" t="s">
        <v>1166</v>
      </c>
      <c r="D80" s="98" cm="1">
        <f t="array" ref="D80">SUM(SUMIFS('caseload data'!E:E,'caseload data'!$D:$D,"PO",'caseload data'!$A:$A,_xlfn.SINGLE('national caseload'!$B$80:$B$82),'caseload data'!$B:$B,{"licence","community"}))</f>
        <v>0</v>
      </c>
      <c r="E80" s="98" cm="1">
        <f t="array" ref="E80">SUM(SUMIFS('caseload data'!F:F,'caseload data'!$D:$D,"PO",'caseload data'!$A:$A,_xlfn.SINGLE('national caseload'!$B$80:$B$82),'caseload data'!$B:$B,{"licence","community"}))</f>
        <v>0</v>
      </c>
      <c r="F80" s="98" cm="1">
        <f t="array" ref="F80">SUM(SUMIFS('caseload data'!G:G,'caseload data'!$D:$D,"PO",'caseload data'!$A:$A,_xlfn.SINGLE('national caseload'!$B$80:$B$82),'caseload data'!$B:$B,{"licence","community"}))</f>
        <v>0</v>
      </c>
      <c r="G80" s="98" cm="1">
        <f t="array" ref="G80">SUM(SUMIFS('caseload data'!H:H,'caseload data'!$D:$D,"PO",'caseload data'!$A:$A,_xlfn.SINGLE('national caseload'!$B$80:$B$82),'caseload data'!$B:$B,{"licence","community"}))</f>
        <v>0</v>
      </c>
      <c r="H80" s="98" cm="1">
        <f t="array" ref="H80">SUM(SUMIFS('caseload data'!I:I,'caseload data'!$D:$D,"PO",'caseload data'!$A:$A,_xlfn.SINGLE('national caseload'!$B$80:$B$82),'caseload data'!$B:$B,{"licence","community"}))</f>
        <v>0</v>
      </c>
      <c r="I80" s="98" cm="1">
        <f t="array" ref="I80">SUM(SUMIFS('caseload data'!J:J,'caseload data'!$D:$D,"PO",'caseload data'!$A:$A,_xlfn.SINGLE('national caseload'!$B$80:$B$82),'caseload data'!$B:$B,{"licence","community"}))</f>
        <v>0</v>
      </c>
      <c r="J80" s="98" cm="1">
        <f t="array" ref="J80">SUM(SUMIFS('caseload data'!K:K,'caseload data'!$D:$D,"PO",'caseload data'!$A:$A,_xlfn.SINGLE('national caseload'!$B$80:$B$82),'caseload data'!$B:$B,{"licence","community"}))</f>
        <v>0</v>
      </c>
      <c r="K80" s="98" cm="1">
        <f t="array" ref="K80">SUM(SUMIFS('caseload data'!L:L,'caseload data'!$D:$D,"PO",'caseload data'!$A:$A,_xlfn.SINGLE('national caseload'!$B$80:$B$82),'caseload data'!$B:$B,{"licence","community"}))</f>
        <v>0</v>
      </c>
      <c r="L80" s="98" cm="1">
        <f t="array" ref="L80">SUM(SUMIFS('caseload data'!M:M,'caseload data'!$D:$D,"PO",'caseload data'!$A:$A,_xlfn.SINGLE('national caseload'!$B$80:$B$82),'caseload data'!$B:$B,{"licence","community"}))</f>
        <v>0</v>
      </c>
      <c r="M80" s="98" cm="1">
        <f t="array" ref="M80">SUM(SUMIFS('caseload data'!N:N,'caseload data'!$D:$D,"PO",'caseload data'!$A:$A,_xlfn.SINGLE('national caseload'!$B$80:$B$82),'caseload data'!$B:$B,{"licence","community"}))</f>
        <v>0</v>
      </c>
      <c r="N80" s="98" cm="1">
        <f t="array" ref="N80">SUM(SUMIFS('caseload data'!O:O,'caseload data'!$D:$D,"PO",'caseload data'!$A:$A,_xlfn.SINGLE('national caseload'!$B$80:$B$82),'caseload data'!$B:$B,{"licence","community"}))</f>
        <v>0</v>
      </c>
      <c r="O80" s="98" cm="1">
        <f t="array" ref="O80">SUM(SUMIFS('caseload data'!P:P,'caseload data'!$D:$D,"PO",'caseload data'!$A:$A,_xlfn.SINGLE('national caseload'!$B$80:$B$82),'caseload data'!$B:$B,{"licence","community"}))</f>
        <v>0</v>
      </c>
      <c r="P80" s="98" cm="1">
        <f t="array" ref="P80">SUM(SUMIFS('caseload data'!Q:Q,'caseload data'!$D:$D,"PO",'caseload data'!$A:$A,_xlfn.SINGLE('national caseload'!$B$80:$B$82),'caseload data'!$B:$B,{"licence","community"}))</f>
        <v>0</v>
      </c>
      <c r="Q80" s="98" cm="1">
        <f t="array" ref="Q80">SUM(SUMIFS('caseload data'!R:R,'caseload data'!$D:$D,"PO",'caseload data'!$A:$A,_xlfn.SINGLE('national caseload'!$B$80:$B$82),'caseload data'!$B:$B,{"licence","community"}))</f>
        <v>0</v>
      </c>
      <c r="R80" s="98" cm="1">
        <f t="array" ref="R80">SUM(SUMIFS('caseload data'!S:S,'caseload data'!$D:$D,"PO",'caseload data'!$A:$A,_xlfn.SINGLE('national caseload'!$B$80:$B$82),'caseload data'!$B:$B,{"licence","community"}))</f>
        <v>0</v>
      </c>
      <c r="S80" s="98" cm="1">
        <f t="array" ref="S80">SUM(SUMIFS('caseload data'!T:T,'caseload data'!$D:$D,"PO",'caseload data'!$A:$A,_xlfn.SINGLE('national caseload'!$B$80:$B$82),'caseload data'!$B:$B,{"licence","community"}))</f>
        <v>0</v>
      </c>
      <c r="T80" s="98">
        <f>SUM(SUMIFS('caseload data'!V:V,'caseload data'!D:D,"PO",'caseload data'!A:A,'national caseload'!B80:B82,'caseload data'!B:B,{"licence","community"}))</f>
        <v>0</v>
      </c>
      <c r="U80" s="68"/>
      <c r="V80" s="68"/>
      <c r="W80" s="426" t="s">
        <v>27</v>
      </c>
      <c r="X80" s="132" t="s">
        <v>1166</v>
      </c>
      <c r="Y80" s="175" t="e">
        <f t="shared" si="13"/>
        <v>#DIV/0!</v>
      </c>
      <c r="Z80" s="175" t="e">
        <f t="shared" si="16"/>
        <v>#DIV/0!</v>
      </c>
      <c r="AA80" s="175" t="e">
        <f t="shared" si="16"/>
        <v>#DIV/0!</v>
      </c>
      <c r="AB80" s="175" t="e">
        <f t="shared" si="16"/>
        <v>#DIV/0!</v>
      </c>
      <c r="AC80" s="175" t="e">
        <f t="shared" si="15"/>
        <v>#DIV/0!</v>
      </c>
      <c r="AD80" s="175" t="e">
        <f t="shared" si="15"/>
        <v>#DIV/0!</v>
      </c>
      <c r="AE80" s="175" t="e">
        <f t="shared" si="15"/>
        <v>#DIV/0!</v>
      </c>
      <c r="AF80" s="175" t="e">
        <f t="shared" si="15"/>
        <v>#DIV/0!</v>
      </c>
      <c r="AG80" s="175" t="e">
        <f t="shared" si="15"/>
        <v>#DIV/0!</v>
      </c>
      <c r="AH80" s="175" t="e">
        <f t="shared" si="15"/>
        <v>#DIV/0!</v>
      </c>
      <c r="AI80" s="175" t="e">
        <f t="shared" si="15"/>
        <v>#DIV/0!</v>
      </c>
      <c r="AJ80" s="175" t="e">
        <f t="shared" si="15"/>
        <v>#DIV/0!</v>
      </c>
      <c r="AK80" s="175" t="e">
        <f t="shared" si="15"/>
        <v>#DIV/0!</v>
      </c>
      <c r="AL80" s="175" t="e">
        <f t="shared" si="15"/>
        <v>#DIV/0!</v>
      </c>
      <c r="AM80" s="175" t="e">
        <f t="shared" si="15"/>
        <v>#DIV/0!</v>
      </c>
      <c r="AN80" s="175" t="e">
        <f t="shared" si="15"/>
        <v>#DIV/0!</v>
      </c>
    </row>
    <row r="81" spans="2:40" x14ac:dyDescent="0.15">
      <c r="B81" s="427"/>
      <c r="C81" s="133" t="s">
        <v>1172</v>
      </c>
      <c r="D81" s="98" cm="1">
        <f t="array" ref="D81">SUM(SUMIFS('caseload data'!E:E,'caseload data'!$D:$D,"PSO",'caseload data'!$A:$A,"London",'caseload data'!$B:$B,{"licence","community"}))</f>
        <v>0</v>
      </c>
      <c r="E81" s="98" cm="1">
        <f t="array" ref="E81">SUM(SUMIFS('caseload data'!F:F,'caseload data'!$D:$D,"PSO",'caseload data'!$A:$A,"London",'caseload data'!$B:$B,{"licence","community"}))</f>
        <v>0</v>
      </c>
      <c r="F81" s="98" cm="1">
        <f t="array" ref="F81">SUM(SUMIFS('caseload data'!G:G,'caseload data'!$D:$D,"PSO",'caseload data'!$A:$A,"London",'caseload data'!$B:$B,{"licence","community"}))</f>
        <v>0</v>
      </c>
      <c r="G81" s="98" cm="1">
        <f t="array" ref="G81">SUM(SUMIFS('caseload data'!H:H,'caseload data'!$D:$D,"PSO",'caseload data'!$A:$A,"London",'caseload data'!$B:$B,{"licence","community"}))</f>
        <v>0</v>
      </c>
      <c r="H81" s="98" cm="1">
        <f t="array" ref="H81">SUM(SUMIFS('caseload data'!I:I,'caseload data'!$D:$D,"PSO",'caseload data'!$A:$A,"London",'caseload data'!$B:$B,{"licence","community"}))</f>
        <v>0</v>
      </c>
      <c r="I81" s="98" cm="1">
        <f t="array" ref="I81">SUM(SUMIFS('caseload data'!J:J,'caseload data'!$D:$D,"PSO",'caseload data'!$A:$A,"London",'caseload data'!$B:$B,{"licence","community"}))</f>
        <v>0</v>
      </c>
      <c r="J81" s="98" cm="1">
        <f t="array" ref="J81">SUM(SUMIFS('caseload data'!K:K,'caseload data'!$D:$D,"PSO",'caseload data'!$A:$A,"London",'caseload data'!$B:$B,{"licence","community"}))</f>
        <v>0</v>
      </c>
      <c r="K81" s="98" cm="1">
        <f t="array" ref="K81">SUM(SUMIFS('caseload data'!L:L,'caseload data'!$D:$D,"PSO",'caseload data'!$A:$A,"London",'caseload data'!$B:$B,{"licence","community"}))</f>
        <v>0</v>
      </c>
      <c r="L81" s="98" cm="1">
        <f t="array" ref="L81">SUM(SUMIFS('caseload data'!M:M,'caseload data'!$D:$D,"PSO",'caseload data'!$A:$A,"London",'caseload data'!$B:$B,{"licence","community"}))</f>
        <v>0</v>
      </c>
      <c r="M81" s="98" cm="1">
        <f t="array" ref="M81">SUM(SUMIFS('caseload data'!N:N,'caseload data'!$D:$D,"PSO",'caseload data'!$A:$A,"London",'caseload data'!$B:$B,{"licence","community"}))</f>
        <v>0</v>
      </c>
      <c r="N81" s="98" cm="1">
        <f t="array" ref="N81">SUM(SUMIFS('caseload data'!O:O,'caseload data'!$D:$D,"PSO",'caseload data'!$A:$A,"London",'caseload data'!$B:$B,{"licence","community"}))</f>
        <v>0</v>
      </c>
      <c r="O81" s="98" cm="1">
        <f t="array" ref="O81">SUM(SUMIFS('caseload data'!P:P,'caseload data'!$D:$D,"PSO",'caseload data'!$A:$A,"London",'caseload data'!$B:$B,{"licence","community"}))</f>
        <v>0</v>
      </c>
      <c r="P81" s="98" cm="1">
        <f t="array" ref="P81">SUM(SUMIFS('caseload data'!Q:Q,'caseload data'!$D:$D,"PSO",'caseload data'!$A:$A,"London",'caseload data'!$B:$B,{"licence","community"}))</f>
        <v>0</v>
      </c>
      <c r="Q81" s="98" cm="1">
        <f t="array" ref="Q81">SUM(SUMIFS('caseload data'!R:R,'caseload data'!$D:$D,"PSO",'caseload data'!$A:$A,"London",'caseload data'!$B:$B,{"licence","community"}))</f>
        <v>0</v>
      </c>
      <c r="R81" s="98" cm="1">
        <f t="array" ref="R81">SUM(SUMIFS('caseload data'!S:S,'caseload data'!$D:$D,"PSO",'caseload data'!$A:$A,"London",'caseload data'!$B:$B,{"licence","community"}))</f>
        <v>0</v>
      </c>
      <c r="S81" s="98" cm="1">
        <f t="array" ref="S81">SUM(SUMIFS('caseload data'!T:T,'caseload data'!$D:$D,"PSO",'caseload data'!$A:$A,"London",'caseload data'!$B:$B,{"licence","community"}))</f>
        <v>0</v>
      </c>
      <c r="T81" s="98" cm="1">
        <f t="array" ref="T81">SUM(SUMIFS('caseload data'!V:V,'caseload data'!D:D,"PSO",'caseload data'!A:A,"London",'caseload data'!B:B,{"licence","community"}))</f>
        <v>0</v>
      </c>
      <c r="U81" s="68"/>
      <c r="V81" s="68"/>
      <c r="W81" s="427"/>
      <c r="X81" s="133" t="s">
        <v>1172</v>
      </c>
      <c r="Y81" s="175" t="e">
        <f t="shared" si="13"/>
        <v>#DIV/0!</v>
      </c>
      <c r="Z81" s="175" t="e">
        <f t="shared" si="16"/>
        <v>#DIV/0!</v>
      </c>
      <c r="AA81" s="175" t="e">
        <f t="shared" si="16"/>
        <v>#DIV/0!</v>
      </c>
      <c r="AB81" s="175" t="e">
        <f t="shared" si="16"/>
        <v>#DIV/0!</v>
      </c>
      <c r="AC81" s="175" t="e">
        <f t="shared" si="15"/>
        <v>#DIV/0!</v>
      </c>
      <c r="AD81" s="175" t="e">
        <f t="shared" si="15"/>
        <v>#DIV/0!</v>
      </c>
      <c r="AE81" s="175" t="e">
        <f t="shared" si="15"/>
        <v>#DIV/0!</v>
      </c>
      <c r="AF81" s="175" t="e">
        <f t="shared" si="15"/>
        <v>#DIV/0!</v>
      </c>
      <c r="AG81" s="175" t="e">
        <f t="shared" si="15"/>
        <v>#DIV/0!</v>
      </c>
      <c r="AH81" s="175" t="e">
        <f t="shared" si="15"/>
        <v>#DIV/0!</v>
      </c>
      <c r="AI81" s="175" t="e">
        <f t="shared" si="15"/>
        <v>#DIV/0!</v>
      </c>
      <c r="AJ81" s="175" t="e">
        <f t="shared" si="15"/>
        <v>#DIV/0!</v>
      </c>
      <c r="AK81" s="175" t="e">
        <f t="shared" si="15"/>
        <v>#DIV/0!</v>
      </c>
      <c r="AL81" s="175" t="e">
        <f t="shared" si="15"/>
        <v>#DIV/0!</v>
      </c>
      <c r="AM81" s="175" t="e">
        <f t="shared" si="15"/>
        <v>#DIV/0!</v>
      </c>
      <c r="AN81" s="175" t="e">
        <f t="shared" si="15"/>
        <v>#DIV/0!</v>
      </c>
    </row>
    <row r="82" spans="2:40" x14ac:dyDescent="0.15">
      <c r="B82" s="427"/>
      <c r="C82" s="133" t="s">
        <v>1173</v>
      </c>
      <c r="D82" s="98" cm="1">
        <f t="array" ref="D82">SUM(SUMIFS('caseload data'!E:E,'caseload data'!$D:$D,"TPO",'caseload data'!$A:$A,"London",'caseload data'!$B:$B,{"licence","community"}))</f>
        <v>0</v>
      </c>
      <c r="E82" s="98" cm="1">
        <f t="array" ref="E82">SUM(SUMIFS('caseload data'!F:F,'caseload data'!$D:$D,"TPO",'caseload data'!$A:$A,"London",'caseload data'!$B:$B,{"licence","community"}))</f>
        <v>0</v>
      </c>
      <c r="F82" s="98" cm="1">
        <f t="array" ref="F82">SUM(SUMIFS('caseload data'!G:G,'caseload data'!$D:$D,"TPO",'caseload data'!$A:$A,"London",'caseload data'!$B:$B,{"licence","community"}))</f>
        <v>0</v>
      </c>
      <c r="G82" s="98" cm="1">
        <f t="array" ref="G82">SUM(SUMIFS('caseload data'!H:H,'caseload data'!$D:$D,"TPO",'caseload data'!$A:$A,"London",'caseload data'!$B:$B,{"licence","community"}))</f>
        <v>0</v>
      </c>
      <c r="H82" s="98" cm="1">
        <f t="array" ref="H82">SUM(SUMIFS('caseload data'!I:I,'caseload data'!$D:$D,"TPO",'caseload data'!$A:$A,"London",'caseload data'!$B:$B,{"licence","community"}))</f>
        <v>0</v>
      </c>
      <c r="I82" s="98" cm="1">
        <f t="array" ref="I82">SUM(SUMIFS('caseload data'!J:J,'caseload data'!$D:$D,"TPO",'caseload data'!$A:$A,"London",'caseload data'!$B:$B,{"licence","community"}))</f>
        <v>0</v>
      </c>
      <c r="J82" s="98" cm="1">
        <f t="array" ref="J82">SUM(SUMIFS('caseload data'!K:K,'caseload data'!$D:$D,"TPO",'caseload data'!$A:$A,"London",'caseload data'!$B:$B,{"licence","community"}))</f>
        <v>0</v>
      </c>
      <c r="K82" s="98" cm="1">
        <f t="array" ref="K82">SUM(SUMIFS('caseload data'!L:L,'caseload data'!$D:$D,"TPO",'caseload data'!$A:$A,"London",'caseload data'!$B:$B,{"licence","community"}))</f>
        <v>0</v>
      </c>
      <c r="L82" s="98" cm="1">
        <f t="array" ref="L82">SUM(SUMIFS('caseload data'!M:M,'caseload data'!$D:$D,"TPO",'caseload data'!$A:$A,"London",'caseload data'!$B:$B,{"licence","community"}))</f>
        <v>0</v>
      </c>
      <c r="M82" s="98" cm="1">
        <f t="array" ref="M82">SUM(SUMIFS('caseload data'!N:N,'caseload data'!$D:$D,"TPO",'caseload data'!$A:$A,"London",'caseload data'!$B:$B,{"licence","community"}))</f>
        <v>0</v>
      </c>
      <c r="N82" s="98" cm="1">
        <f t="array" ref="N82">SUM(SUMIFS('caseload data'!O:O,'caseload data'!$D:$D,"TPO",'caseload data'!$A:$A,"London",'caseload data'!$B:$B,{"licence","community"}))</f>
        <v>0</v>
      </c>
      <c r="O82" s="98" cm="1">
        <f t="array" ref="O82">SUM(SUMIFS('caseload data'!P:P,'caseload data'!$D:$D,"TPO",'caseload data'!$A:$A,"London",'caseload data'!$B:$B,{"licence","community"}))</f>
        <v>0</v>
      </c>
      <c r="P82" s="98" cm="1">
        <f t="array" ref="P82">SUM(SUMIFS('caseload data'!Q:Q,'caseload data'!$D:$D,"TPO",'caseload data'!$A:$A,"London",'caseload data'!$B:$B,{"licence","community"}))</f>
        <v>0</v>
      </c>
      <c r="Q82" s="98" cm="1">
        <f t="array" ref="Q82">SUM(SUMIFS('caseload data'!R:R,'caseload data'!$D:$D,"TPO",'caseload data'!$A:$A,"London",'caseload data'!$B:$B,{"licence","community"}))</f>
        <v>0</v>
      </c>
      <c r="R82" s="98" cm="1">
        <f t="array" ref="R82">SUM(SUMIFS('caseload data'!S:S,'caseload data'!$D:$D,"TPO",'caseload data'!$A:$A,"London",'caseload data'!$B:$B,{"licence","community"}))</f>
        <v>0</v>
      </c>
      <c r="S82" s="98" cm="1">
        <f t="array" ref="S82">SUM(SUMIFS('caseload data'!T:T,'caseload data'!$D:$D,"TPO",'caseload data'!$A:$A,"London",'caseload data'!$B:$B,{"licence","community"}))</f>
        <v>0</v>
      </c>
      <c r="T82" s="98" cm="1">
        <f t="array" ref="T82">SUM(SUMIFS('caseload data'!V:V,'caseload data'!D:D,"TPO",'caseload data'!A:A,"London",'caseload data'!B:B,{"licence","community"}))</f>
        <v>0</v>
      </c>
      <c r="U82" s="68"/>
      <c r="V82" s="68"/>
      <c r="W82" s="427"/>
      <c r="X82" s="133" t="s">
        <v>1173</v>
      </c>
      <c r="Y82" s="175" t="e">
        <f t="shared" si="13"/>
        <v>#DIV/0!</v>
      </c>
      <c r="Z82" s="175" t="e">
        <f t="shared" si="16"/>
        <v>#DIV/0!</v>
      </c>
      <c r="AA82" s="175" t="e">
        <f t="shared" si="16"/>
        <v>#DIV/0!</v>
      </c>
      <c r="AB82" s="175" t="e">
        <f t="shared" si="16"/>
        <v>#DIV/0!</v>
      </c>
      <c r="AC82" s="175" t="e">
        <f t="shared" si="15"/>
        <v>#DIV/0!</v>
      </c>
      <c r="AD82" s="175" t="e">
        <f t="shared" si="15"/>
        <v>#DIV/0!</v>
      </c>
      <c r="AE82" s="175" t="e">
        <f t="shared" si="15"/>
        <v>#DIV/0!</v>
      </c>
      <c r="AF82" s="175" t="e">
        <f t="shared" si="15"/>
        <v>#DIV/0!</v>
      </c>
      <c r="AG82" s="175" t="e">
        <f t="shared" si="15"/>
        <v>#DIV/0!</v>
      </c>
      <c r="AH82" s="175" t="e">
        <f t="shared" si="15"/>
        <v>#DIV/0!</v>
      </c>
      <c r="AI82" s="175" t="e">
        <f t="shared" si="15"/>
        <v>#DIV/0!</v>
      </c>
      <c r="AJ82" s="175" t="e">
        <f t="shared" si="15"/>
        <v>#DIV/0!</v>
      </c>
      <c r="AK82" s="175" t="e">
        <f t="shared" si="15"/>
        <v>#DIV/0!</v>
      </c>
      <c r="AL82" s="175" t="e">
        <f t="shared" si="15"/>
        <v>#DIV/0!</v>
      </c>
      <c r="AM82" s="175" t="e">
        <f t="shared" si="15"/>
        <v>#DIV/0!</v>
      </c>
      <c r="AN82" s="175" t="e">
        <f t="shared" si="15"/>
        <v>#DIV/0!</v>
      </c>
    </row>
    <row r="83" spans="2:40" x14ac:dyDescent="0.15">
      <c r="B83" s="428"/>
      <c r="C83" s="134" t="s">
        <v>1174</v>
      </c>
      <c r="D83" s="98" cm="1">
        <f t="array" ref="D83">SUM(SUMIFS('caseload data'!E:E,'caseload data'!$D:$D,"SPO",'caseload data'!$A:$A,"London",'caseload data'!$B:$B,{"licence","community"}))</f>
        <v>0</v>
      </c>
      <c r="E83" s="98" cm="1">
        <f t="array" ref="E83">SUM(SUMIFS('caseload data'!F:F,'caseload data'!$D:$D,"SPO",'caseload data'!$A:$A,"London",'caseload data'!$B:$B,{"licence","community"}))</f>
        <v>0</v>
      </c>
      <c r="F83" s="98" cm="1">
        <f t="array" ref="F83">SUM(SUMIFS('caseload data'!G:G,'caseload data'!$D:$D,"SPO",'caseload data'!$A:$A,"London",'caseload data'!$B:$B,{"licence","community"}))</f>
        <v>0</v>
      </c>
      <c r="G83" s="98" cm="1">
        <f t="array" ref="G83">SUM(SUMIFS('caseload data'!H:H,'caseload data'!$D:$D,"SPO",'caseload data'!$A:$A,"London",'caseload data'!$B:$B,{"licence","community"}))</f>
        <v>0</v>
      </c>
      <c r="H83" s="98" cm="1">
        <f t="array" ref="H83">SUM(SUMIFS('caseload data'!I:I,'caseload data'!$D:$D,"SPO",'caseload data'!$A:$A,"London",'caseload data'!$B:$B,{"licence","community"}))</f>
        <v>0</v>
      </c>
      <c r="I83" s="98" cm="1">
        <f t="array" ref="I83">SUM(SUMIFS('caseload data'!J:J,'caseload data'!$D:$D,"SPO",'caseload data'!$A:$A,"London",'caseload data'!$B:$B,{"licence","community"}))</f>
        <v>0</v>
      </c>
      <c r="J83" s="98" cm="1">
        <f t="array" ref="J83">SUM(SUMIFS('caseload data'!K:K,'caseload data'!$D:$D,"SPO",'caseload data'!$A:$A,"London",'caseload data'!$B:$B,{"licence","community"}))</f>
        <v>0</v>
      </c>
      <c r="K83" s="98" cm="1">
        <f t="array" ref="K83">SUM(SUMIFS('caseload data'!L:L,'caseload data'!$D:$D,"SPO",'caseload data'!$A:$A,"London",'caseload data'!$B:$B,{"licence","community"}))</f>
        <v>0</v>
      </c>
      <c r="L83" s="98" cm="1">
        <f t="array" ref="L83">SUM(SUMIFS('caseload data'!M:M,'caseload data'!$D:$D,"SPO",'caseload data'!$A:$A,"London",'caseload data'!$B:$B,{"licence","community"}))</f>
        <v>0</v>
      </c>
      <c r="M83" s="98" cm="1">
        <f t="array" ref="M83">SUM(SUMIFS('caseload data'!N:N,'caseload data'!$D:$D,"SPO",'caseload data'!$A:$A,"London",'caseload data'!$B:$B,{"licence","community"}))</f>
        <v>0</v>
      </c>
      <c r="N83" s="98" cm="1">
        <f t="array" ref="N83">SUM(SUMIFS('caseload data'!O:O,'caseload data'!$D:$D,"SPO",'caseload data'!$A:$A,"London",'caseload data'!$B:$B,{"licence","community"}))</f>
        <v>0</v>
      </c>
      <c r="O83" s="98" cm="1">
        <f t="array" ref="O83">SUM(SUMIFS('caseload data'!P:P,'caseload data'!$D:$D,"SPO",'caseload data'!$A:$A,"London",'caseload data'!$B:$B,{"licence","community"}))</f>
        <v>0</v>
      </c>
      <c r="P83" s="98" cm="1">
        <f t="array" ref="P83">SUM(SUMIFS('caseload data'!Q:Q,'caseload data'!$D:$D,"SPO",'caseload data'!$A:$A,"London",'caseload data'!$B:$B,{"licence","community"}))</f>
        <v>0</v>
      </c>
      <c r="Q83" s="98" cm="1">
        <f t="array" ref="Q83">SUM(SUMIFS('caseload data'!R:R,'caseload data'!$D:$D,"SPO",'caseload data'!$A:$A,"London",'caseload data'!$B:$B,{"licence","community"}))</f>
        <v>0</v>
      </c>
      <c r="R83" s="98" cm="1">
        <f t="array" ref="R83">SUM(SUMIFS('caseload data'!S:S,'caseload data'!$D:$D,"SPO",'caseload data'!$A:$A,"London",'caseload data'!$B:$B,{"licence","community"}))</f>
        <v>0</v>
      </c>
      <c r="S83" s="98" cm="1">
        <f t="array" ref="S83">SUM(SUMIFS('caseload data'!T:T,'caseload data'!$D:$D,"SPO",'caseload data'!$A:$A,"London",'caseload data'!$B:$B,{"licence","community"}))</f>
        <v>0</v>
      </c>
      <c r="T83" s="98" cm="1">
        <f t="array" ref="T83">SUM(SUMIFS('caseload data'!V:V,'caseload data'!$D:$D,"SPO",'caseload data'!$A:$A,"London",'caseload data'!$B:$B,{"licence","community"}))</f>
        <v>0</v>
      </c>
      <c r="U83" s="68"/>
      <c r="V83" s="68"/>
      <c r="W83" s="428"/>
      <c r="X83" s="134" t="s">
        <v>1174</v>
      </c>
      <c r="Y83" s="175" t="e">
        <f t="shared" si="13"/>
        <v>#DIV/0!</v>
      </c>
      <c r="Z83" s="175" t="e">
        <f t="shared" si="16"/>
        <v>#DIV/0!</v>
      </c>
      <c r="AA83" s="175" t="e">
        <f t="shared" si="16"/>
        <v>#DIV/0!</v>
      </c>
      <c r="AB83" s="175" t="e">
        <f t="shared" si="16"/>
        <v>#DIV/0!</v>
      </c>
      <c r="AC83" s="175" t="e">
        <f t="shared" si="15"/>
        <v>#DIV/0!</v>
      </c>
      <c r="AD83" s="175" t="e">
        <f t="shared" si="15"/>
        <v>#DIV/0!</v>
      </c>
      <c r="AE83" s="175" t="e">
        <f t="shared" si="15"/>
        <v>#DIV/0!</v>
      </c>
      <c r="AF83" s="175" t="e">
        <f t="shared" si="15"/>
        <v>#DIV/0!</v>
      </c>
      <c r="AG83" s="175" t="e">
        <f t="shared" si="15"/>
        <v>#DIV/0!</v>
      </c>
      <c r="AH83" s="175" t="e">
        <f t="shared" si="15"/>
        <v>#DIV/0!</v>
      </c>
      <c r="AI83" s="175" t="e">
        <f t="shared" si="15"/>
        <v>#DIV/0!</v>
      </c>
      <c r="AJ83" s="175" t="e">
        <f t="shared" si="15"/>
        <v>#DIV/0!</v>
      </c>
      <c r="AK83" s="175" t="e">
        <f t="shared" si="15"/>
        <v>#DIV/0!</v>
      </c>
      <c r="AL83" s="175" t="e">
        <f t="shared" si="15"/>
        <v>#DIV/0!</v>
      </c>
      <c r="AM83" s="175" t="e">
        <f t="shared" si="15"/>
        <v>#DIV/0!</v>
      </c>
      <c r="AN83" s="175" t="e">
        <f t="shared" si="15"/>
        <v>#DIV/0!</v>
      </c>
    </row>
    <row r="84" spans="2:40" x14ac:dyDescent="0.15">
      <c r="B84" s="423" t="s">
        <v>28</v>
      </c>
      <c r="C84" s="132" t="s">
        <v>1166</v>
      </c>
      <c r="D84" s="98" cm="1">
        <f t="array" ref="D84">SUM(SUMIFS('caseload data'!E:E,'caseload data'!$D:$D,"PO",'caseload data'!$A:$A,$B$84,'caseload data'!$B:$B,{"licence","community"}))</f>
        <v>0</v>
      </c>
      <c r="E84" s="98" cm="1">
        <f t="array" ref="E84">SUM(SUMIFS('caseload data'!F:F,'caseload data'!$D:$D,"PO",'caseload data'!$A:$A,$B$84,'caseload data'!$B:$B,{"licence","community"}))</f>
        <v>0</v>
      </c>
      <c r="F84" s="98" cm="1">
        <f t="array" ref="F84">SUM(SUMIFS('caseload data'!G:G,'caseload data'!$D:$D,"PO",'caseload data'!$A:$A,$B$84,'caseload data'!$B:$B,{"licence","community"}))</f>
        <v>0</v>
      </c>
      <c r="G84" s="98" cm="1">
        <f t="array" ref="G84">SUM(SUMIFS('caseload data'!H:H,'caseload data'!$D:$D,"PO",'caseload data'!$A:$A,$B$84,'caseload data'!$B:$B,{"licence","community"}))</f>
        <v>0</v>
      </c>
      <c r="H84" s="98" cm="1">
        <f t="array" ref="H84">SUM(SUMIFS('caseload data'!I:I,'caseload data'!$D:$D,"PO",'caseload data'!$A:$A,$B$84,'caseload data'!$B:$B,{"licence","community"}))</f>
        <v>0</v>
      </c>
      <c r="I84" s="98" cm="1">
        <f t="array" ref="I84">SUM(SUMIFS('caseload data'!J:J,'caseload data'!$D:$D,"PO",'caseload data'!$A:$A,$B$84,'caseload data'!$B:$B,{"licence","community"}))</f>
        <v>0</v>
      </c>
      <c r="J84" s="98" cm="1">
        <f t="array" ref="J84">SUM(SUMIFS('caseload data'!K:K,'caseload data'!$D:$D,"PO",'caseload data'!$A:$A,$B$84,'caseload data'!$B:$B,{"licence","community"}))</f>
        <v>0</v>
      </c>
      <c r="K84" s="98" cm="1">
        <f t="array" ref="K84">SUM(SUMIFS('caseload data'!L:L,'caseload data'!$D:$D,"PO",'caseload data'!$A:$A,$B$84,'caseload data'!$B:$B,{"licence","community"}))</f>
        <v>0</v>
      </c>
      <c r="L84" s="98" cm="1">
        <f t="array" ref="L84">SUM(SUMIFS('caseload data'!M:M,'caseload data'!$D:$D,"PO",'caseload data'!$A:$A,$B$84,'caseload data'!$B:$B,{"licence","community"}))</f>
        <v>0</v>
      </c>
      <c r="M84" s="98" cm="1">
        <f t="array" ref="M84">SUM(SUMIFS('caseload data'!N:N,'caseload data'!$D:$D,"PO",'caseload data'!$A:$A,$B$84,'caseload data'!$B:$B,{"licence","community"}))</f>
        <v>0</v>
      </c>
      <c r="N84" s="98" cm="1">
        <f t="array" ref="N84">SUM(SUMIFS('caseload data'!O:O,'caseload data'!$D:$D,"PO",'caseload data'!$A:$A,$B$84,'caseload data'!$B:$B,{"licence","community"}))</f>
        <v>0</v>
      </c>
      <c r="O84" s="98" cm="1">
        <f t="array" ref="O84">SUM(SUMIFS('caseload data'!P:P,'caseload data'!$D:$D,"PO",'caseload data'!$A:$A,$B$84,'caseload data'!$B:$B,{"licence","community"}))</f>
        <v>0</v>
      </c>
      <c r="P84" s="98" cm="1">
        <f t="array" ref="P84">SUM(SUMIFS('caseload data'!Q:Q,'caseload data'!$D:$D,"PO",'caseload data'!$A:$A,$B$84,'caseload data'!$B:$B,{"licence","community"}))</f>
        <v>0</v>
      </c>
      <c r="Q84" s="98" cm="1">
        <f t="array" ref="Q84">SUM(SUMIFS('caseload data'!R:R,'caseload data'!$D:$D,"PO",'caseload data'!$A:$A,$B$84,'caseload data'!$B:$B,{"licence","community"}))</f>
        <v>0</v>
      </c>
      <c r="R84" s="98" cm="1">
        <f t="array" ref="R84">SUM(SUMIFS('caseload data'!S:S,'caseload data'!$D:$D,"PO",'caseload data'!$A:$A,$B$84,'caseload data'!$B:$B,{"licence","community"}))</f>
        <v>0</v>
      </c>
      <c r="S84" s="98" cm="1">
        <f t="array" ref="S84">SUM(SUMIFS('caseload data'!T:T,'caseload data'!$D:$D,"PO",'caseload data'!$A:$A,$B$84,'caseload data'!$B:$B,{"licence","community"}))</f>
        <v>0</v>
      </c>
      <c r="T84" s="98">
        <f>SUM(SUMIFS('caseload data'!V:V,'caseload data'!D:D,"PO",'caseload data'!A:A,B84,'caseload data'!B:B,{"licence","community"}))</f>
        <v>0</v>
      </c>
      <c r="U84" s="68"/>
      <c r="V84" s="68"/>
      <c r="W84" s="423" t="s">
        <v>28</v>
      </c>
      <c r="X84" s="132" t="s">
        <v>1166</v>
      </c>
      <c r="Y84" s="175" t="e">
        <f>SUM(D84)/SUM(D$84:D$87)</f>
        <v>#DIV/0!</v>
      </c>
      <c r="Z84" s="175" t="e">
        <f t="shared" ref="Z84:AN87" si="17">SUM(E84)/SUM(E$84:E$87)</f>
        <v>#DIV/0!</v>
      </c>
      <c r="AA84" s="175" t="e">
        <f t="shared" si="17"/>
        <v>#DIV/0!</v>
      </c>
      <c r="AB84" s="175" t="e">
        <f t="shared" si="17"/>
        <v>#DIV/0!</v>
      </c>
      <c r="AC84" s="175" t="e">
        <f t="shared" si="17"/>
        <v>#DIV/0!</v>
      </c>
      <c r="AD84" s="175" t="e">
        <f t="shared" si="17"/>
        <v>#DIV/0!</v>
      </c>
      <c r="AE84" s="175" t="e">
        <f t="shared" si="17"/>
        <v>#DIV/0!</v>
      </c>
      <c r="AF84" s="175" t="e">
        <f t="shared" si="17"/>
        <v>#DIV/0!</v>
      </c>
      <c r="AG84" s="175" t="e">
        <f t="shared" si="17"/>
        <v>#DIV/0!</v>
      </c>
      <c r="AH84" s="175" t="e">
        <f t="shared" si="17"/>
        <v>#DIV/0!</v>
      </c>
      <c r="AI84" s="175" t="e">
        <f t="shared" si="17"/>
        <v>#DIV/0!</v>
      </c>
      <c r="AJ84" s="175" t="e">
        <f t="shared" si="17"/>
        <v>#DIV/0!</v>
      </c>
      <c r="AK84" s="175" t="e">
        <f t="shared" si="17"/>
        <v>#DIV/0!</v>
      </c>
      <c r="AL84" s="175" t="e">
        <f t="shared" si="17"/>
        <v>#DIV/0!</v>
      </c>
      <c r="AM84" s="175" t="e">
        <f t="shared" si="17"/>
        <v>#DIV/0!</v>
      </c>
      <c r="AN84" s="175" t="e">
        <f t="shared" si="17"/>
        <v>#DIV/0!</v>
      </c>
    </row>
    <row r="85" spans="2:40" x14ac:dyDescent="0.15">
      <c r="B85" s="424"/>
      <c r="C85" s="133" t="s">
        <v>1172</v>
      </c>
      <c r="D85" s="98" cm="1">
        <f t="array" ref="D85">SUM(SUMIFS('caseload data'!E:E,'caseload data'!$D:$D,"PSO",'caseload data'!$A:$A,"North East Region",'caseload data'!$B:$B,{"licence","community"}))</f>
        <v>0</v>
      </c>
      <c r="E85" s="98" cm="1">
        <f t="array" ref="E85">SUM(SUMIFS('caseload data'!F:F,'caseload data'!$D:$D,"PSO",'caseload data'!$A:$A,"North East Region",'caseload data'!$B:$B,{"licence","community"}))</f>
        <v>0</v>
      </c>
      <c r="F85" s="98" cm="1">
        <f t="array" ref="F85">SUM(SUMIFS('caseload data'!G:G,'caseload data'!$D:$D,"PSO",'caseload data'!$A:$A,"North East Region",'caseload data'!$B:$B,{"licence","community"}))</f>
        <v>0</v>
      </c>
      <c r="G85" s="98" cm="1">
        <f t="array" ref="G85">SUM(SUMIFS('caseload data'!H:H,'caseload data'!$D:$D,"PSO",'caseload data'!$A:$A,"North East Region",'caseload data'!$B:$B,{"licence","community"}))</f>
        <v>0</v>
      </c>
      <c r="H85" s="98" cm="1">
        <f t="array" ref="H85">SUM(SUMIFS('caseload data'!I:I,'caseload data'!$D:$D,"PSO",'caseload data'!$A:$A,"North East Region",'caseload data'!$B:$B,{"licence","community"}))</f>
        <v>0</v>
      </c>
      <c r="I85" s="98" cm="1">
        <f t="array" ref="I85">SUM(SUMIFS('caseload data'!J:J,'caseload data'!$D:$D,"PSO",'caseload data'!$A:$A,"North East Region",'caseload data'!$B:$B,{"licence","community"}))</f>
        <v>0</v>
      </c>
      <c r="J85" s="98" cm="1">
        <f t="array" ref="J85">SUM(SUMIFS('caseload data'!K:K,'caseload data'!$D:$D,"PSO",'caseload data'!$A:$A,"North East Region",'caseload data'!$B:$B,{"licence","community"}))</f>
        <v>0</v>
      </c>
      <c r="K85" s="98" cm="1">
        <f t="array" ref="K85">SUM(SUMIFS('caseload data'!L:L,'caseload data'!$D:$D,"PSO",'caseload data'!$A:$A,"North East Region",'caseload data'!$B:$B,{"licence","community"}))</f>
        <v>0</v>
      </c>
      <c r="L85" s="98" cm="1">
        <f t="array" ref="L85">SUM(SUMIFS('caseload data'!M:M,'caseload data'!$D:$D,"PSO",'caseload data'!$A:$A,"North East Region",'caseload data'!$B:$B,{"licence","community"}))</f>
        <v>0</v>
      </c>
      <c r="M85" s="98" cm="1">
        <f t="array" ref="M85">SUM(SUMIFS('caseload data'!N:N,'caseload data'!$D:$D,"PSO",'caseload data'!$A:$A,"North East Region",'caseload data'!$B:$B,{"licence","community"}))</f>
        <v>0</v>
      </c>
      <c r="N85" s="98" cm="1">
        <f t="array" ref="N85">SUM(SUMIFS('caseload data'!O:O,'caseload data'!$D:$D,"PSO",'caseload data'!$A:$A,"North East Region",'caseload data'!$B:$B,{"licence","community"}))</f>
        <v>0</v>
      </c>
      <c r="O85" s="98" cm="1">
        <f t="array" ref="O85">SUM(SUMIFS('caseload data'!P:P,'caseload data'!$D:$D,"PSO",'caseload data'!$A:$A,"North East Region",'caseload data'!$B:$B,{"licence","community"}))</f>
        <v>0</v>
      </c>
      <c r="P85" s="98" cm="1">
        <f t="array" ref="P85">SUM(SUMIFS('caseload data'!Q:Q,'caseload data'!$D:$D,"PSO",'caseload data'!$A:$A,"North East Region",'caseload data'!$B:$B,{"licence","community"}))</f>
        <v>0</v>
      </c>
      <c r="Q85" s="98" cm="1">
        <f t="array" ref="Q85">SUM(SUMIFS('caseload data'!R:R,'caseload data'!$D:$D,"PSO",'caseload data'!$A:$A,"North East Region",'caseload data'!$B:$B,{"licence","community"}))</f>
        <v>0</v>
      </c>
      <c r="R85" s="98" cm="1">
        <f t="array" ref="R85">SUM(SUMIFS('caseload data'!S:S,'caseload data'!$D:$D,"PSO",'caseload data'!$A:$A,"North East Region",'caseload data'!$B:$B,{"licence","community"}))</f>
        <v>0</v>
      </c>
      <c r="S85" s="98" cm="1">
        <f t="array" ref="S85">SUM(SUMIFS('caseload data'!T:T,'caseload data'!$D:$D,"PSO",'caseload data'!$A:$A,"North East Region",'caseload data'!$B:$B,{"licence","community"}))</f>
        <v>0</v>
      </c>
      <c r="T85" s="98" cm="1">
        <f t="array" ref="T85">SUM(SUMIFS('caseload data'!V:V,'caseload data'!D:D,"PSO",'caseload data'!A:A,"North East Region",'caseload data'!B:B,{"licence","community"}))</f>
        <v>0</v>
      </c>
      <c r="U85" s="68"/>
      <c r="V85" s="68"/>
      <c r="W85" s="424"/>
      <c r="X85" s="133" t="s">
        <v>1172</v>
      </c>
      <c r="Y85" s="175" t="e">
        <f>SUM(D85)/SUM(D$84:D$87)</f>
        <v>#DIV/0!</v>
      </c>
      <c r="Z85" s="175" t="e">
        <f t="shared" si="17"/>
        <v>#DIV/0!</v>
      </c>
      <c r="AA85" s="175" t="e">
        <f t="shared" si="17"/>
        <v>#DIV/0!</v>
      </c>
      <c r="AB85" s="175" t="e">
        <f t="shared" si="17"/>
        <v>#DIV/0!</v>
      </c>
      <c r="AC85" s="175" t="e">
        <f t="shared" si="17"/>
        <v>#DIV/0!</v>
      </c>
      <c r="AD85" s="175" t="e">
        <f t="shared" si="17"/>
        <v>#DIV/0!</v>
      </c>
      <c r="AE85" s="175" t="e">
        <f t="shared" si="17"/>
        <v>#DIV/0!</v>
      </c>
      <c r="AF85" s="175" t="e">
        <f t="shared" si="17"/>
        <v>#DIV/0!</v>
      </c>
      <c r="AG85" s="175" t="e">
        <f t="shared" si="17"/>
        <v>#DIV/0!</v>
      </c>
      <c r="AH85" s="175" t="e">
        <f t="shared" si="17"/>
        <v>#DIV/0!</v>
      </c>
      <c r="AI85" s="175" t="e">
        <f t="shared" si="17"/>
        <v>#DIV/0!</v>
      </c>
      <c r="AJ85" s="175" t="e">
        <f t="shared" si="17"/>
        <v>#DIV/0!</v>
      </c>
      <c r="AK85" s="175" t="e">
        <f t="shared" si="17"/>
        <v>#DIV/0!</v>
      </c>
      <c r="AL85" s="175" t="e">
        <f t="shared" si="17"/>
        <v>#DIV/0!</v>
      </c>
      <c r="AM85" s="175" t="e">
        <f t="shared" si="17"/>
        <v>#DIV/0!</v>
      </c>
      <c r="AN85" s="175" t="e">
        <f t="shared" si="17"/>
        <v>#DIV/0!</v>
      </c>
    </row>
    <row r="86" spans="2:40" x14ac:dyDescent="0.15">
      <c r="B86" s="424"/>
      <c r="C86" s="133" t="s">
        <v>1173</v>
      </c>
      <c r="D86" s="98" cm="1">
        <f t="array" ref="D86">SUM(SUMIFS('caseload data'!E:E,'caseload data'!$D:$D,"TPO",'caseload data'!$A:$A,"North East Region",'caseload data'!$B:$B,{"licence","community"}))</f>
        <v>0</v>
      </c>
      <c r="E86" s="98" cm="1">
        <f t="array" ref="E86">SUM(SUMIFS('caseload data'!F:F,'caseload data'!$D:$D,"TPO",'caseload data'!$A:$A,"North East Region",'caseload data'!$B:$B,{"licence","community"}))</f>
        <v>0</v>
      </c>
      <c r="F86" s="98" cm="1">
        <f t="array" ref="F86">SUM(SUMIFS('caseload data'!G:G,'caseload data'!$D:$D,"TPO",'caseload data'!$A:$A,"North East Region",'caseload data'!$B:$B,{"licence","community"}))</f>
        <v>0</v>
      </c>
      <c r="G86" s="98" cm="1">
        <f t="array" ref="G86">SUM(SUMIFS('caseload data'!H:H,'caseload data'!$D:$D,"TPO",'caseload data'!$A:$A,"North East Region",'caseload data'!$B:$B,{"licence","community"}))</f>
        <v>0</v>
      </c>
      <c r="H86" s="98" cm="1">
        <f t="array" ref="H86">SUM(SUMIFS('caseload data'!I:I,'caseload data'!$D:$D,"TPO",'caseload data'!$A:$A,"North East Region",'caseload data'!$B:$B,{"licence","community"}))</f>
        <v>0</v>
      </c>
      <c r="I86" s="98" cm="1">
        <f t="array" ref="I86">SUM(SUMIFS('caseload data'!J:J,'caseload data'!$D:$D,"TPO",'caseload data'!$A:$A,"North East Region",'caseload data'!$B:$B,{"licence","community"}))</f>
        <v>0</v>
      </c>
      <c r="J86" s="98" cm="1">
        <f t="array" ref="J86">SUM(SUMIFS('caseload data'!K:K,'caseload data'!$D:$D,"TPO",'caseload data'!$A:$A,"North East Region",'caseload data'!$B:$B,{"licence","community"}))</f>
        <v>0</v>
      </c>
      <c r="K86" s="98" cm="1">
        <f t="array" ref="K86">SUM(SUMIFS('caseload data'!L:L,'caseload data'!$D:$D,"TPO",'caseload data'!$A:$A,"North East Region",'caseload data'!$B:$B,{"licence","community"}))</f>
        <v>0</v>
      </c>
      <c r="L86" s="98" cm="1">
        <f t="array" ref="L86">SUM(SUMIFS('caseload data'!M:M,'caseload data'!$D:$D,"TPO",'caseload data'!$A:$A,"North East Region",'caseload data'!$B:$B,{"licence","community"}))</f>
        <v>0</v>
      </c>
      <c r="M86" s="98" cm="1">
        <f t="array" ref="M86">SUM(SUMIFS('caseload data'!N:N,'caseload data'!$D:$D,"TPO",'caseload data'!$A:$A,"North East Region",'caseload data'!$B:$B,{"licence","community"}))</f>
        <v>0</v>
      </c>
      <c r="N86" s="98" cm="1">
        <f t="array" ref="N86">SUM(SUMIFS('caseload data'!O:O,'caseload data'!$D:$D,"TPO",'caseload data'!$A:$A,"North East Region",'caseload data'!$B:$B,{"licence","community"}))</f>
        <v>0</v>
      </c>
      <c r="O86" s="98" cm="1">
        <f t="array" ref="O86">SUM(SUMIFS('caseload data'!P:P,'caseload data'!$D:$D,"TPO",'caseload data'!$A:$A,"North East Region",'caseload data'!$B:$B,{"licence","community"}))</f>
        <v>0</v>
      </c>
      <c r="P86" s="98" cm="1">
        <f t="array" ref="P86">SUM(SUMIFS('caseload data'!Q:Q,'caseload data'!$D:$D,"TPO",'caseload data'!$A:$A,"North East Region",'caseload data'!$B:$B,{"licence","community"}))</f>
        <v>0</v>
      </c>
      <c r="Q86" s="98" cm="1">
        <f t="array" ref="Q86">SUM(SUMIFS('caseload data'!R:R,'caseload data'!$D:$D,"TPO",'caseload data'!$A:$A,"North East Region",'caseload data'!$B:$B,{"licence","community"}))</f>
        <v>0</v>
      </c>
      <c r="R86" s="98" cm="1">
        <f t="array" ref="R86">SUM(SUMIFS('caseload data'!S:S,'caseload data'!$D:$D,"TPO",'caseload data'!$A:$A,"North East Region",'caseload data'!$B:$B,{"licence","community"}))</f>
        <v>0</v>
      </c>
      <c r="S86" s="98" cm="1">
        <f t="array" ref="S86">SUM(SUMIFS('caseload data'!T:T,'caseload data'!$D:$D,"TPO",'caseload data'!$A:$A,"North East Region",'caseload data'!$B:$B,{"licence","community"}))</f>
        <v>0</v>
      </c>
      <c r="T86" s="98" cm="1">
        <f t="array" ref="T86">SUM(SUMIFS('caseload data'!V:V,'caseload data'!D:D,"TPO",'caseload data'!A:A,"North East Region",'caseload data'!B:B,{"licence","community"}))</f>
        <v>0</v>
      </c>
      <c r="U86" s="68"/>
      <c r="V86" s="68"/>
      <c r="W86" s="424"/>
      <c r="X86" s="133" t="s">
        <v>1173</v>
      </c>
      <c r="Y86" s="175" t="e">
        <f>SUM(D86)/SUM(D$84:D$87)</f>
        <v>#DIV/0!</v>
      </c>
      <c r="Z86" s="175" t="e">
        <f t="shared" si="17"/>
        <v>#DIV/0!</v>
      </c>
      <c r="AA86" s="175" t="e">
        <f t="shared" si="17"/>
        <v>#DIV/0!</v>
      </c>
      <c r="AB86" s="175" t="e">
        <f t="shared" si="17"/>
        <v>#DIV/0!</v>
      </c>
      <c r="AC86" s="175" t="e">
        <f t="shared" si="17"/>
        <v>#DIV/0!</v>
      </c>
      <c r="AD86" s="175" t="e">
        <f t="shared" si="17"/>
        <v>#DIV/0!</v>
      </c>
      <c r="AE86" s="175" t="e">
        <f t="shared" si="17"/>
        <v>#DIV/0!</v>
      </c>
      <c r="AF86" s="175" t="e">
        <f t="shared" si="17"/>
        <v>#DIV/0!</v>
      </c>
      <c r="AG86" s="175" t="e">
        <f t="shared" si="17"/>
        <v>#DIV/0!</v>
      </c>
      <c r="AH86" s="175" t="e">
        <f t="shared" si="17"/>
        <v>#DIV/0!</v>
      </c>
      <c r="AI86" s="175" t="e">
        <f t="shared" si="17"/>
        <v>#DIV/0!</v>
      </c>
      <c r="AJ86" s="175" t="e">
        <f t="shared" si="17"/>
        <v>#DIV/0!</v>
      </c>
      <c r="AK86" s="175" t="e">
        <f t="shared" si="17"/>
        <v>#DIV/0!</v>
      </c>
      <c r="AL86" s="175" t="e">
        <f t="shared" si="17"/>
        <v>#DIV/0!</v>
      </c>
      <c r="AM86" s="175" t="e">
        <f t="shared" si="17"/>
        <v>#DIV/0!</v>
      </c>
      <c r="AN86" s="175" t="e">
        <f t="shared" si="17"/>
        <v>#DIV/0!</v>
      </c>
    </row>
    <row r="87" spans="2:40" x14ac:dyDescent="0.15">
      <c r="B87" s="425"/>
      <c r="C87" s="134" t="s">
        <v>1174</v>
      </c>
      <c r="D87" s="98" cm="1">
        <f t="array" ref="D87">SUM(SUMIFS('caseload data'!E:E,'caseload data'!$D:$D,"SPO",'caseload data'!$A:$A,"North East Region",'caseload data'!$B:$B,{"licence","community"}))</f>
        <v>0</v>
      </c>
      <c r="E87" s="98" cm="1">
        <f t="array" ref="E87">SUM(SUMIFS('caseload data'!F:F,'caseload data'!$D:$D,"SPO",'caseload data'!$A:$A,"North East Region",'caseload data'!$B:$B,{"licence","community"}))</f>
        <v>0</v>
      </c>
      <c r="F87" s="98" cm="1">
        <f t="array" ref="F87">SUM(SUMIFS('caseload data'!G:G,'caseload data'!$D:$D,"SPO",'caseload data'!$A:$A,"North East Region",'caseload data'!$B:$B,{"licence","community"}))</f>
        <v>0</v>
      </c>
      <c r="G87" s="98" cm="1">
        <f t="array" ref="G87">SUM(SUMIFS('caseload data'!H:H,'caseload data'!$D:$D,"SPO",'caseload data'!$A:$A,"North East Region",'caseload data'!$B:$B,{"licence","community"}))</f>
        <v>0</v>
      </c>
      <c r="H87" s="98" cm="1">
        <f t="array" ref="H87">SUM(SUMIFS('caseload data'!I:I,'caseload data'!$D:$D,"SPO",'caseload data'!$A:$A,"North East Region",'caseload data'!$B:$B,{"licence","community"}))</f>
        <v>0</v>
      </c>
      <c r="I87" s="98" cm="1">
        <f t="array" ref="I87">SUM(SUMIFS('caseload data'!J:J,'caseload data'!$D:$D,"SPO",'caseload data'!$A:$A,"North East Region",'caseload data'!$B:$B,{"licence","community"}))</f>
        <v>0</v>
      </c>
      <c r="J87" s="98" cm="1">
        <f t="array" ref="J87">SUM(SUMIFS('caseload data'!K:K,'caseload data'!$D:$D,"SPO",'caseload data'!$A:$A,"North East Region",'caseload data'!$B:$B,{"licence","community"}))</f>
        <v>0</v>
      </c>
      <c r="K87" s="98" cm="1">
        <f t="array" ref="K87">SUM(SUMIFS('caseload data'!L:L,'caseload data'!$D:$D,"SPO",'caseload data'!$A:$A,"North East Region",'caseload data'!$B:$B,{"licence","community"}))</f>
        <v>0</v>
      </c>
      <c r="L87" s="98" cm="1">
        <f t="array" ref="L87">SUM(SUMIFS('caseload data'!M:M,'caseload data'!$D:$D,"SPO",'caseload data'!$A:$A,"North East Region",'caseload data'!$B:$B,{"licence","community"}))</f>
        <v>0</v>
      </c>
      <c r="M87" s="98" cm="1">
        <f t="array" ref="M87">SUM(SUMIFS('caseload data'!N:N,'caseload data'!$D:$D,"SPO",'caseload data'!$A:$A,"North East Region",'caseload data'!$B:$B,{"licence","community"}))</f>
        <v>0</v>
      </c>
      <c r="N87" s="98" cm="1">
        <f t="array" ref="N87">SUM(SUMIFS('caseload data'!O:O,'caseload data'!$D:$D,"SPO",'caseload data'!$A:$A,"North East Region",'caseload data'!$B:$B,{"licence","community"}))</f>
        <v>0</v>
      </c>
      <c r="O87" s="98" cm="1">
        <f t="array" ref="O87">SUM(SUMIFS('caseload data'!P:P,'caseload data'!$D:$D,"SPO",'caseload data'!$A:$A,"North East Region",'caseload data'!$B:$B,{"licence","community"}))</f>
        <v>0</v>
      </c>
      <c r="P87" s="98" cm="1">
        <f t="array" ref="P87">SUM(SUMIFS('caseload data'!Q:Q,'caseload data'!$D:$D,"SPO",'caseload data'!$A:$A,"North East Region",'caseload data'!$B:$B,{"licence","community"}))</f>
        <v>0</v>
      </c>
      <c r="Q87" s="98" cm="1">
        <f t="array" ref="Q87">SUM(SUMIFS('caseload data'!R:R,'caseload data'!$D:$D,"SPO",'caseload data'!$A:$A,"North East Region",'caseload data'!$B:$B,{"licence","community"}))</f>
        <v>0</v>
      </c>
      <c r="R87" s="98" cm="1">
        <f t="array" ref="R87">SUM(SUMIFS('caseload data'!S:S,'caseload data'!$D:$D,"SPO",'caseload data'!$A:$A,"North East Region",'caseload data'!$B:$B,{"licence","community"}))</f>
        <v>0</v>
      </c>
      <c r="S87" s="98" cm="1">
        <f t="array" ref="S87">SUM(SUMIFS('caseload data'!T:T,'caseload data'!$D:$D,"SPO",'caseload data'!$A:$A,"North East Region",'caseload data'!$B:$B,{"licence","community"}))</f>
        <v>0</v>
      </c>
      <c r="T87" s="98" cm="1">
        <f t="array" ref="T87">SUM(SUMIFS('caseload data'!V:V,'caseload data'!$D:$D,"SPO",'caseload data'!$A:$A,"North East Region",'caseload data'!$B:$B,{"licence","community"}))</f>
        <v>0</v>
      </c>
      <c r="U87" s="68"/>
      <c r="V87" s="68"/>
      <c r="W87" s="425"/>
      <c r="X87" s="134" t="s">
        <v>1174</v>
      </c>
      <c r="Y87" s="175" t="e">
        <f>SUM(D87)/SUM(D$84:D$87)</f>
        <v>#DIV/0!</v>
      </c>
      <c r="Z87" s="175" t="e">
        <f t="shared" si="17"/>
        <v>#DIV/0!</v>
      </c>
      <c r="AA87" s="175" t="e">
        <f t="shared" si="17"/>
        <v>#DIV/0!</v>
      </c>
      <c r="AB87" s="175" t="e">
        <f t="shared" si="17"/>
        <v>#DIV/0!</v>
      </c>
      <c r="AC87" s="175" t="e">
        <f t="shared" si="17"/>
        <v>#DIV/0!</v>
      </c>
      <c r="AD87" s="175" t="e">
        <f t="shared" si="17"/>
        <v>#DIV/0!</v>
      </c>
      <c r="AE87" s="175" t="e">
        <f t="shared" si="17"/>
        <v>#DIV/0!</v>
      </c>
      <c r="AF87" s="175" t="e">
        <f t="shared" si="17"/>
        <v>#DIV/0!</v>
      </c>
      <c r="AG87" s="175" t="e">
        <f t="shared" si="17"/>
        <v>#DIV/0!</v>
      </c>
      <c r="AH87" s="175" t="e">
        <f t="shared" si="17"/>
        <v>#DIV/0!</v>
      </c>
      <c r="AI87" s="175" t="e">
        <f t="shared" si="17"/>
        <v>#DIV/0!</v>
      </c>
      <c r="AJ87" s="175" t="e">
        <f t="shared" si="17"/>
        <v>#DIV/0!</v>
      </c>
      <c r="AK87" s="175" t="e">
        <f t="shared" si="17"/>
        <v>#DIV/0!</v>
      </c>
      <c r="AL87" s="175" t="e">
        <f t="shared" si="17"/>
        <v>#DIV/0!</v>
      </c>
      <c r="AM87" s="175" t="e">
        <f t="shared" si="17"/>
        <v>#DIV/0!</v>
      </c>
      <c r="AN87" s="175" t="e">
        <f t="shared" si="17"/>
        <v>#DIV/0!</v>
      </c>
    </row>
    <row r="88" spans="2:40" x14ac:dyDescent="0.15">
      <c r="B88" s="423" t="s">
        <v>29</v>
      </c>
      <c r="C88" s="132" t="s">
        <v>1166</v>
      </c>
      <c r="D88" s="98" cm="1">
        <f t="array" ref="D88">SUM(SUMIFS('caseload data'!E:E,'caseload data'!$D:$D,"PO",'caseload data'!$A:$A,$B$88,'caseload data'!$B:$B,{"licence","community"}))</f>
        <v>0</v>
      </c>
      <c r="E88" s="98" cm="1">
        <f t="array" ref="E88">SUM(SUMIFS('caseload data'!F:F,'caseload data'!$D:$D,"PO",'caseload data'!$A:$A,$B$88,'caseload data'!$B:$B,{"licence","community"}))</f>
        <v>0</v>
      </c>
      <c r="F88" s="98" cm="1">
        <f t="array" ref="F88">SUM(SUMIFS('caseload data'!G:G,'caseload data'!$D:$D,"PO",'caseload data'!$A:$A,$B$88,'caseload data'!$B:$B,{"licence","community"}))</f>
        <v>0</v>
      </c>
      <c r="G88" s="98" cm="1">
        <f t="array" ref="G88">SUM(SUMIFS('caseload data'!H:H,'caseload data'!$D:$D,"PO",'caseload data'!$A:$A,$B$88,'caseload data'!$B:$B,{"licence","community"}))</f>
        <v>0</v>
      </c>
      <c r="H88" s="98" cm="1">
        <f t="array" ref="H88">SUM(SUMIFS('caseload data'!I:I,'caseload data'!$D:$D,"PO",'caseload data'!$A:$A,$B$88,'caseload data'!$B:$B,{"licence","community"}))</f>
        <v>0</v>
      </c>
      <c r="I88" s="98" cm="1">
        <f t="array" ref="I88">SUM(SUMIFS('caseload data'!J:J,'caseload data'!$D:$D,"PO",'caseload data'!$A:$A,$B$88,'caseload data'!$B:$B,{"licence","community"}))</f>
        <v>0</v>
      </c>
      <c r="J88" s="98" cm="1">
        <f t="array" ref="J88">SUM(SUMIFS('caseload data'!K:K,'caseload data'!$D:$D,"PO",'caseload data'!$A:$A,$B$88,'caseload data'!$B:$B,{"licence","community"}))</f>
        <v>0</v>
      </c>
      <c r="K88" s="98" cm="1">
        <f t="array" ref="K88">SUM(SUMIFS('caseload data'!L:L,'caseload data'!$D:$D,"PO",'caseload data'!$A:$A,$B$88,'caseload data'!$B:$B,{"licence","community"}))</f>
        <v>0</v>
      </c>
      <c r="L88" s="98" cm="1">
        <f t="array" ref="L88">SUM(SUMIFS('caseload data'!M:M,'caseload data'!$D:$D,"PO",'caseload data'!$A:$A,$B$88,'caseload data'!$B:$B,{"licence","community"}))</f>
        <v>0</v>
      </c>
      <c r="M88" s="98" cm="1">
        <f t="array" ref="M88">SUM(SUMIFS('caseload data'!N:N,'caseload data'!$D:$D,"PO",'caseload data'!$A:$A,$B$88,'caseload data'!$B:$B,{"licence","community"}))</f>
        <v>0</v>
      </c>
      <c r="N88" s="98" cm="1">
        <f t="array" ref="N88">SUM(SUMIFS('caseload data'!O:O,'caseload data'!$D:$D,"PO",'caseload data'!$A:$A,$B$88,'caseload data'!$B:$B,{"licence","community"}))</f>
        <v>0</v>
      </c>
      <c r="O88" s="98" cm="1">
        <f t="array" ref="O88">SUM(SUMIFS('caseload data'!P:P,'caseload data'!$D:$D,"PO",'caseload data'!$A:$A,$B$88,'caseload data'!$B:$B,{"licence","community"}))</f>
        <v>0</v>
      </c>
      <c r="P88" s="98" cm="1">
        <f t="array" ref="P88">SUM(SUMIFS('caseload data'!Q:Q,'caseload data'!$D:$D,"PO",'caseload data'!$A:$A,$B$88,'caseload data'!$B:$B,{"licence","community"}))</f>
        <v>0</v>
      </c>
      <c r="Q88" s="98" cm="1">
        <f t="array" ref="Q88">SUM(SUMIFS('caseload data'!R:R,'caseload data'!$D:$D,"PO",'caseload data'!$A:$A,$B$88,'caseload data'!$B:$B,{"licence","community"}))</f>
        <v>0</v>
      </c>
      <c r="R88" s="98" cm="1">
        <f t="array" ref="R88">SUM(SUMIFS('caseload data'!S:S,'caseload data'!$D:$D,"PO",'caseload data'!$A:$A,$B$88,'caseload data'!$B:$B,{"licence","community"}))</f>
        <v>0</v>
      </c>
      <c r="S88" s="98" cm="1">
        <f t="array" ref="S88">SUM(SUMIFS('caseload data'!T:T,'caseload data'!$D:$D,"PO",'caseload data'!$A:$A,$B$88,'caseload data'!$B:$B,{"licence","community"}))</f>
        <v>0</v>
      </c>
      <c r="T88" s="98">
        <f>SUM(SUMIFS('caseload data'!V:V,'caseload data'!D:D,"PO",'caseload data'!A:A,B88,'caseload data'!B:B,{"licence","community"}))</f>
        <v>0</v>
      </c>
      <c r="U88" s="68"/>
      <c r="V88" s="68"/>
      <c r="W88" s="423" t="s">
        <v>29</v>
      </c>
      <c r="X88" s="132" t="s">
        <v>1166</v>
      </c>
      <c r="Y88" s="175" t="e">
        <f>SUM(D88)/SUM(D$88:D$91)</f>
        <v>#DIV/0!</v>
      </c>
      <c r="Z88" s="175" t="e">
        <f t="shared" ref="Z88:AN91" si="18">SUM(E88)/SUM(E$88:E$91)</f>
        <v>#DIV/0!</v>
      </c>
      <c r="AA88" s="175" t="e">
        <f t="shared" si="18"/>
        <v>#DIV/0!</v>
      </c>
      <c r="AB88" s="175" t="e">
        <f t="shared" si="18"/>
        <v>#DIV/0!</v>
      </c>
      <c r="AC88" s="175" t="e">
        <f t="shared" si="18"/>
        <v>#DIV/0!</v>
      </c>
      <c r="AD88" s="175" t="e">
        <f t="shared" si="18"/>
        <v>#DIV/0!</v>
      </c>
      <c r="AE88" s="175" t="e">
        <f t="shared" si="18"/>
        <v>#DIV/0!</v>
      </c>
      <c r="AF88" s="175" t="e">
        <f t="shared" si="18"/>
        <v>#DIV/0!</v>
      </c>
      <c r="AG88" s="175" t="e">
        <f t="shared" si="18"/>
        <v>#DIV/0!</v>
      </c>
      <c r="AH88" s="175" t="e">
        <f t="shared" si="18"/>
        <v>#DIV/0!</v>
      </c>
      <c r="AI88" s="175" t="e">
        <f t="shared" si="18"/>
        <v>#DIV/0!</v>
      </c>
      <c r="AJ88" s="175" t="e">
        <f t="shared" si="18"/>
        <v>#DIV/0!</v>
      </c>
      <c r="AK88" s="175" t="e">
        <f t="shared" si="18"/>
        <v>#DIV/0!</v>
      </c>
      <c r="AL88" s="175" t="e">
        <f t="shared" si="18"/>
        <v>#DIV/0!</v>
      </c>
      <c r="AM88" s="175" t="e">
        <f t="shared" si="18"/>
        <v>#DIV/0!</v>
      </c>
      <c r="AN88" s="175" t="e">
        <f t="shared" si="18"/>
        <v>#DIV/0!</v>
      </c>
    </row>
    <row r="89" spans="2:40" x14ac:dyDescent="0.15">
      <c r="B89" s="424"/>
      <c r="C89" s="133" t="s">
        <v>1172</v>
      </c>
      <c r="D89" s="98" cm="1">
        <f t="array" ref="D89">SUM(SUMIFS('caseload data'!E:E,'caseload data'!$D:$D,"PSO",'caseload data'!$A:$A,"North West Region",'caseload data'!$B:$B,{"licence","community"}))</f>
        <v>0</v>
      </c>
      <c r="E89" s="98" cm="1">
        <f t="array" ref="E89">SUM(SUMIFS('caseload data'!F:F,'caseload data'!$D:$D,"PSO",'caseload data'!$A:$A,"North West Region",'caseload data'!$B:$B,{"licence","community"}))</f>
        <v>0</v>
      </c>
      <c r="F89" s="98" cm="1">
        <f t="array" ref="F89">SUM(SUMIFS('caseload data'!G:G,'caseload data'!$D:$D,"PSO",'caseload data'!$A:$A,"North West Region",'caseload data'!$B:$B,{"licence","community"}))</f>
        <v>0</v>
      </c>
      <c r="G89" s="98" cm="1">
        <f t="array" ref="G89">SUM(SUMIFS('caseload data'!H:H,'caseload data'!$D:$D,"PSO",'caseload data'!$A:$A,"North West Region",'caseload data'!$B:$B,{"licence","community"}))</f>
        <v>0</v>
      </c>
      <c r="H89" s="98" cm="1">
        <f t="array" ref="H89">SUM(SUMIFS('caseload data'!I:I,'caseload data'!$D:$D,"PSO",'caseload data'!$A:$A,"North West Region",'caseload data'!$B:$B,{"licence","community"}))</f>
        <v>0</v>
      </c>
      <c r="I89" s="98" cm="1">
        <f t="array" ref="I89">SUM(SUMIFS('caseload data'!J:J,'caseload data'!$D:$D,"PSO",'caseload data'!$A:$A,"North West Region",'caseload data'!$B:$B,{"licence","community"}))</f>
        <v>0</v>
      </c>
      <c r="J89" s="98" cm="1">
        <f t="array" ref="J89">SUM(SUMIFS('caseload data'!K:K,'caseload data'!$D:$D,"PSO",'caseload data'!$A:$A,"North West Region",'caseload data'!$B:$B,{"licence","community"}))</f>
        <v>0</v>
      </c>
      <c r="K89" s="98" cm="1">
        <f t="array" ref="K89">SUM(SUMIFS('caseload data'!L:L,'caseload data'!$D:$D,"PSO",'caseload data'!$A:$A,"North West Region",'caseload data'!$B:$B,{"licence","community"}))</f>
        <v>0</v>
      </c>
      <c r="L89" s="98" cm="1">
        <f t="array" ref="L89">SUM(SUMIFS('caseload data'!M:M,'caseload data'!$D:$D,"PSO",'caseload data'!$A:$A,"North West Region",'caseload data'!$B:$B,{"licence","community"}))</f>
        <v>0</v>
      </c>
      <c r="M89" s="98" cm="1">
        <f t="array" ref="M89">SUM(SUMIFS('caseload data'!N:N,'caseload data'!$D:$D,"PSO",'caseload data'!$A:$A,"North West Region",'caseload data'!$B:$B,{"licence","community"}))</f>
        <v>0</v>
      </c>
      <c r="N89" s="98" cm="1">
        <f t="array" ref="N89">SUM(SUMIFS('caseload data'!O:O,'caseload data'!$D:$D,"PSO",'caseload data'!$A:$A,"North West Region",'caseload data'!$B:$B,{"licence","community"}))</f>
        <v>0</v>
      </c>
      <c r="O89" s="98" cm="1">
        <f t="array" ref="O89">SUM(SUMIFS('caseload data'!P:P,'caseload data'!$D:$D,"PSO",'caseload data'!$A:$A,"North West Region",'caseload data'!$B:$B,{"licence","community"}))</f>
        <v>0</v>
      </c>
      <c r="P89" s="98" cm="1">
        <f t="array" ref="P89">SUM(SUMIFS('caseload data'!Q:Q,'caseload data'!$D:$D,"PSO",'caseload data'!$A:$A,"North West Region",'caseload data'!$B:$B,{"licence","community"}))</f>
        <v>0</v>
      </c>
      <c r="Q89" s="98" cm="1">
        <f t="array" ref="Q89">SUM(SUMIFS('caseload data'!R:R,'caseload data'!$D:$D,"PSO",'caseload data'!$A:$A,"North West Region",'caseload data'!$B:$B,{"licence","community"}))</f>
        <v>0</v>
      </c>
      <c r="R89" s="98" cm="1">
        <f t="array" ref="R89">SUM(SUMIFS('caseload data'!S:S,'caseload data'!$D:$D,"PSO",'caseload data'!$A:$A,"North West Region",'caseload data'!$B:$B,{"licence","community"}))</f>
        <v>0</v>
      </c>
      <c r="S89" s="98" cm="1">
        <f t="array" ref="S89">SUM(SUMIFS('caseload data'!T:T,'caseload data'!$D:$D,"PSO",'caseload data'!$A:$A,"North West Region",'caseload data'!$B:$B,{"licence","community"}))</f>
        <v>0</v>
      </c>
      <c r="T89" s="98" cm="1">
        <f t="array" ref="T89">SUM(SUMIFS('caseload data'!V:V,'caseload data'!D:D,"PSO",'caseload data'!A:A,"North West Region",'caseload data'!B:B,{"licence","community"}))</f>
        <v>0</v>
      </c>
      <c r="U89" s="68"/>
      <c r="V89" s="68"/>
      <c r="W89" s="424"/>
      <c r="X89" s="133" t="s">
        <v>1172</v>
      </c>
      <c r="Y89" s="175" t="e">
        <f>SUM(D89)/SUM(D$88:D$91)</f>
        <v>#DIV/0!</v>
      </c>
      <c r="Z89" s="175" t="e">
        <f t="shared" si="18"/>
        <v>#DIV/0!</v>
      </c>
      <c r="AA89" s="175" t="e">
        <f t="shared" si="18"/>
        <v>#DIV/0!</v>
      </c>
      <c r="AB89" s="175" t="e">
        <f t="shared" si="18"/>
        <v>#DIV/0!</v>
      </c>
      <c r="AC89" s="175" t="e">
        <f t="shared" si="18"/>
        <v>#DIV/0!</v>
      </c>
      <c r="AD89" s="175" t="e">
        <f t="shared" si="18"/>
        <v>#DIV/0!</v>
      </c>
      <c r="AE89" s="175" t="e">
        <f t="shared" si="18"/>
        <v>#DIV/0!</v>
      </c>
      <c r="AF89" s="175" t="e">
        <f t="shared" si="18"/>
        <v>#DIV/0!</v>
      </c>
      <c r="AG89" s="175" t="e">
        <f t="shared" si="18"/>
        <v>#DIV/0!</v>
      </c>
      <c r="AH89" s="175" t="e">
        <f t="shared" si="18"/>
        <v>#DIV/0!</v>
      </c>
      <c r="AI89" s="175" t="e">
        <f t="shared" si="18"/>
        <v>#DIV/0!</v>
      </c>
      <c r="AJ89" s="175" t="e">
        <f t="shared" si="18"/>
        <v>#DIV/0!</v>
      </c>
      <c r="AK89" s="175" t="e">
        <f t="shared" si="18"/>
        <v>#DIV/0!</v>
      </c>
      <c r="AL89" s="175" t="e">
        <f t="shared" si="18"/>
        <v>#DIV/0!</v>
      </c>
      <c r="AM89" s="175" t="e">
        <f t="shared" si="18"/>
        <v>#DIV/0!</v>
      </c>
      <c r="AN89" s="175" t="e">
        <f t="shared" si="18"/>
        <v>#DIV/0!</v>
      </c>
    </row>
    <row r="90" spans="2:40" x14ac:dyDescent="0.15">
      <c r="B90" s="424"/>
      <c r="C90" s="133" t="s">
        <v>1173</v>
      </c>
      <c r="D90" s="98" cm="1">
        <f t="array" ref="D90">SUM(SUMIFS('caseload data'!E:E,'caseload data'!$D:$D,"TPO",'caseload data'!$A:$A,"North West Region",'caseload data'!$B:$B,{"licence","community"}))</f>
        <v>0</v>
      </c>
      <c r="E90" s="98" cm="1">
        <f t="array" ref="E90">SUM(SUMIFS('caseload data'!F:F,'caseload data'!$D:$D,"TPO",'caseload data'!$A:$A,"North West Region",'caseload data'!$B:$B,{"licence","community"}))</f>
        <v>0</v>
      </c>
      <c r="F90" s="98" cm="1">
        <f t="array" ref="F90">SUM(SUMIFS('caseload data'!G:G,'caseload data'!$D:$D,"TPO",'caseload data'!$A:$A,"North West Region",'caseload data'!$B:$B,{"licence","community"}))</f>
        <v>0</v>
      </c>
      <c r="G90" s="98" cm="1">
        <f t="array" ref="G90">SUM(SUMIFS('caseload data'!H:H,'caseload data'!$D:$D,"TPO",'caseload data'!$A:$A,"North West Region",'caseload data'!$B:$B,{"licence","community"}))</f>
        <v>0</v>
      </c>
      <c r="H90" s="98" cm="1">
        <f t="array" ref="H90">SUM(SUMIFS('caseload data'!I:I,'caseload data'!$D:$D,"TPO",'caseload data'!$A:$A,"North West Region",'caseload data'!$B:$B,{"licence","community"}))</f>
        <v>0</v>
      </c>
      <c r="I90" s="98" cm="1">
        <f t="array" ref="I90">SUM(SUMIFS('caseload data'!J:J,'caseload data'!$D:$D,"TPO",'caseload data'!$A:$A,"North West Region",'caseload data'!$B:$B,{"licence","community"}))</f>
        <v>0</v>
      </c>
      <c r="J90" s="98" cm="1">
        <f t="array" ref="J90">SUM(SUMIFS('caseload data'!K:K,'caseload data'!$D:$D,"TPO",'caseload data'!$A:$A,"North West Region",'caseload data'!$B:$B,{"licence","community"}))</f>
        <v>0</v>
      </c>
      <c r="K90" s="98" cm="1">
        <f t="array" ref="K90">SUM(SUMIFS('caseload data'!L:L,'caseload data'!$D:$D,"TPO",'caseload data'!$A:$A,"North West Region",'caseload data'!$B:$B,{"licence","community"}))</f>
        <v>0</v>
      </c>
      <c r="L90" s="98" cm="1">
        <f t="array" ref="L90">SUM(SUMIFS('caseload data'!M:M,'caseload data'!$D:$D,"TPO",'caseload data'!$A:$A,"North West Region",'caseload data'!$B:$B,{"licence","community"}))</f>
        <v>0</v>
      </c>
      <c r="M90" s="98" cm="1">
        <f t="array" ref="M90">SUM(SUMIFS('caseload data'!N:N,'caseload data'!$D:$D,"TPO",'caseload data'!$A:$A,"North West Region",'caseload data'!$B:$B,{"licence","community"}))</f>
        <v>0</v>
      </c>
      <c r="N90" s="98" cm="1">
        <f t="array" ref="N90">SUM(SUMIFS('caseload data'!O:O,'caseload data'!$D:$D,"TPO",'caseload data'!$A:$A,"North West Region",'caseload data'!$B:$B,{"licence","community"}))</f>
        <v>0</v>
      </c>
      <c r="O90" s="98" cm="1">
        <f t="array" ref="O90">SUM(SUMIFS('caseload data'!P:P,'caseload data'!$D:$D,"TPO",'caseload data'!$A:$A,"North West Region",'caseload data'!$B:$B,{"licence","community"}))</f>
        <v>0</v>
      </c>
      <c r="P90" s="98" cm="1">
        <f t="array" ref="P90">SUM(SUMIFS('caseload data'!Q:Q,'caseload data'!$D:$D,"TPO",'caseload data'!$A:$A,"North West Region",'caseload data'!$B:$B,{"licence","community"}))</f>
        <v>0</v>
      </c>
      <c r="Q90" s="98" cm="1">
        <f t="array" ref="Q90">SUM(SUMIFS('caseload data'!R:R,'caseload data'!$D:$D,"TPO",'caseload data'!$A:$A,"North West Region",'caseload data'!$B:$B,{"licence","community"}))</f>
        <v>0</v>
      </c>
      <c r="R90" s="98" cm="1">
        <f t="array" ref="R90">SUM(SUMIFS('caseload data'!S:S,'caseload data'!$D:$D,"TPO",'caseload data'!$A:$A,"North West Region",'caseload data'!$B:$B,{"licence","community"}))</f>
        <v>0</v>
      </c>
      <c r="S90" s="98" cm="1">
        <f t="array" ref="S90">SUM(SUMIFS('caseload data'!T:T,'caseload data'!$D:$D,"TPO",'caseload data'!$A:$A,"North West Region",'caseload data'!$B:$B,{"licence","community"}))</f>
        <v>0</v>
      </c>
      <c r="T90" s="98">
        <f>SUMIFS('caseload data'!V:V,'caseload data'!D:D,"TPO",'caseload data'!A:A,"North West Region",'caseload data'!B:B,{"licence","community"})</f>
        <v>0</v>
      </c>
      <c r="U90" s="68"/>
      <c r="V90" s="68"/>
      <c r="W90" s="424"/>
      <c r="X90" s="133" t="s">
        <v>1173</v>
      </c>
      <c r="Y90" s="175" t="e">
        <f>SUM(D90)/SUM(D$88:D$91)</f>
        <v>#DIV/0!</v>
      </c>
      <c r="Z90" s="175" t="e">
        <f t="shared" si="18"/>
        <v>#DIV/0!</v>
      </c>
      <c r="AA90" s="175" t="e">
        <f t="shared" si="18"/>
        <v>#DIV/0!</v>
      </c>
      <c r="AB90" s="175" t="e">
        <f t="shared" si="18"/>
        <v>#DIV/0!</v>
      </c>
      <c r="AC90" s="175" t="e">
        <f t="shared" si="18"/>
        <v>#DIV/0!</v>
      </c>
      <c r="AD90" s="175" t="e">
        <f t="shared" si="18"/>
        <v>#DIV/0!</v>
      </c>
      <c r="AE90" s="175" t="e">
        <f t="shared" si="18"/>
        <v>#DIV/0!</v>
      </c>
      <c r="AF90" s="175" t="e">
        <f t="shared" si="18"/>
        <v>#DIV/0!</v>
      </c>
      <c r="AG90" s="175" t="e">
        <f t="shared" si="18"/>
        <v>#DIV/0!</v>
      </c>
      <c r="AH90" s="175" t="e">
        <f t="shared" si="18"/>
        <v>#DIV/0!</v>
      </c>
      <c r="AI90" s="175" t="e">
        <f t="shared" si="18"/>
        <v>#DIV/0!</v>
      </c>
      <c r="AJ90" s="175" t="e">
        <f t="shared" si="18"/>
        <v>#DIV/0!</v>
      </c>
      <c r="AK90" s="175" t="e">
        <f t="shared" si="18"/>
        <v>#DIV/0!</v>
      </c>
      <c r="AL90" s="175" t="e">
        <f t="shared" si="18"/>
        <v>#DIV/0!</v>
      </c>
      <c r="AM90" s="175" t="e">
        <f t="shared" si="18"/>
        <v>#DIV/0!</v>
      </c>
      <c r="AN90" s="175" t="e">
        <f t="shared" si="18"/>
        <v>#DIV/0!</v>
      </c>
    </row>
    <row r="91" spans="2:40" x14ac:dyDescent="0.15">
      <c r="B91" s="425"/>
      <c r="C91" s="134" t="s">
        <v>1174</v>
      </c>
      <c r="D91" s="98">
        <f>SUMIFS('caseload data'!E:E,'caseload data'!$D:$D,"SPO",'caseload data'!$A:$A,"North West Region",'caseload data'!$B:$B,{"licence","community"})</f>
        <v>0</v>
      </c>
      <c r="E91" s="98">
        <f>SUMIFS('caseload data'!F:F,'caseload data'!$D:$D,"SPO",'caseload data'!$A:$A,"North West Region",'caseload data'!$B:$B,{"licence","community"})</f>
        <v>0</v>
      </c>
      <c r="F91" s="98">
        <f>SUMIFS('caseload data'!G:G,'caseload data'!$D:$D,"SPO",'caseload data'!$A:$A,"North West Region",'caseload data'!$B:$B,{"licence","community"})</f>
        <v>0</v>
      </c>
      <c r="G91" s="98">
        <f>SUMIFS('caseload data'!H:H,'caseload data'!$D:$D,"SPO",'caseload data'!$A:$A,"North West Region",'caseload data'!$B:$B,{"licence","community"})</f>
        <v>0</v>
      </c>
      <c r="H91" s="98">
        <f>SUMIFS('caseload data'!I:I,'caseload data'!$D:$D,"SPO",'caseload data'!$A:$A,"North West Region",'caseload data'!$B:$B,{"licence","community"})</f>
        <v>0</v>
      </c>
      <c r="I91" s="98">
        <f>SUMIFS('caseload data'!J:J,'caseload data'!$D:$D,"SPO",'caseload data'!$A:$A,"North West Region",'caseload data'!$B:$B,{"licence","community"})</f>
        <v>0</v>
      </c>
      <c r="J91" s="98">
        <f>SUMIFS('caseload data'!K:K,'caseload data'!$D:$D,"SPO",'caseload data'!$A:$A,"North West Region",'caseload data'!$B:$B,{"licence","community"})</f>
        <v>0</v>
      </c>
      <c r="K91" s="98">
        <f>SUMIFS('caseload data'!L:L,'caseload data'!$D:$D,"SPO",'caseload data'!$A:$A,"North West Region",'caseload data'!$B:$B,{"licence","community"})</f>
        <v>0</v>
      </c>
      <c r="L91" s="98">
        <f>SUMIFS('caseload data'!M:M,'caseload data'!$D:$D,"SPO",'caseload data'!$A:$A,"North West Region",'caseload data'!$B:$B,{"licence","community"})</f>
        <v>0</v>
      </c>
      <c r="M91" s="98">
        <f>SUMIFS('caseload data'!N:N,'caseload data'!$D:$D,"SPO",'caseload data'!$A:$A,"North West Region",'caseload data'!$B:$B,{"licence","community"})</f>
        <v>0</v>
      </c>
      <c r="N91" s="98">
        <f>SUMIFS('caseload data'!O:O,'caseload data'!$D:$D,"SPO",'caseload data'!$A:$A,"North West Region",'caseload data'!$B:$B,{"licence","community"})</f>
        <v>0</v>
      </c>
      <c r="O91" s="98">
        <f>SUMIFS('caseload data'!P:P,'caseload data'!$D:$D,"SPO",'caseload data'!$A:$A,"North West Region",'caseload data'!$B:$B,{"licence","community"})</f>
        <v>0</v>
      </c>
      <c r="P91" s="98">
        <f>SUMIFS('caseload data'!Q:Q,'caseload data'!$D:$D,"SPO",'caseload data'!$A:$A,"North West Region",'caseload data'!$B:$B,{"licence","community"})</f>
        <v>0</v>
      </c>
      <c r="Q91" s="98">
        <f>SUMIFS('caseload data'!R:R,'caseload data'!$D:$D,"SPO",'caseload data'!$A:$A,"North West Region",'caseload data'!$B:$B,{"licence","community"})</f>
        <v>0</v>
      </c>
      <c r="R91" s="98">
        <f>SUMIFS('caseload data'!S:S,'caseload data'!$D:$D,"SPO",'caseload data'!$A:$A,"North West Region",'caseload data'!$B:$B,{"licence","community"})</f>
        <v>0</v>
      </c>
      <c r="S91" s="98">
        <f>SUMIFS('caseload data'!T:T,'caseload data'!$D:$D,"SPO",'caseload data'!$A:$A,"North West Region",'caseload data'!$B:$B,{"licence","community"})</f>
        <v>0</v>
      </c>
      <c r="T91" s="98" cm="1">
        <f t="array" ref="T91">SUM(SUMIFS('caseload data'!V:V,'caseload data'!$D:$D,"SPO",'caseload data'!$A:$A,"North West Region",'caseload data'!$B:$B,{"licence","community"}))</f>
        <v>0</v>
      </c>
      <c r="U91" s="68"/>
      <c r="V91" s="68"/>
      <c r="W91" s="425"/>
      <c r="X91" s="134" t="s">
        <v>1174</v>
      </c>
      <c r="Y91" s="175" t="e">
        <f>SUM(D91)/SUM(D$88:D$91)</f>
        <v>#DIV/0!</v>
      </c>
      <c r="Z91" s="175" t="e">
        <f t="shared" si="18"/>
        <v>#DIV/0!</v>
      </c>
      <c r="AA91" s="175" t="e">
        <f t="shared" si="18"/>
        <v>#DIV/0!</v>
      </c>
      <c r="AB91" s="175" t="e">
        <f t="shared" si="18"/>
        <v>#DIV/0!</v>
      </c>
      <c r="AC91" s="175" t="e">
        <f t="shared" si="18"/>
        <v>#DIV/0!</v>
      </c>
      <c r="AD91" s="175" t="e">
        <f t="shared" si="18"/>
        <v>#DIV/0!</v>
      </c>
      <c r="AE91" s="175" t="e">
        <f t="shared" si="18"/>
        <v>#DIV/0!</v>
      </c>
      <c r="AF91" s="175" t="e">
        <f t="shared" si="18"/>
        <v>#DIV/0!</v>
      </c>
      <c r="AG91" s="175" t="e">
        <f t="shared" si="18"/>
        <v>#DIV/0!</v>
      </c>
      <c r="AH91" s="175" t="e">
        <f t="shared" si="18"/>
        <v>#DIV/0!</v>
      </c>
      <c r="AI91" s="175" t="e">
        <f t="shared" si="18"/>
        <v>#DIV/0!</v>
      </c>
      <c r="AJ91" s="175" t="e">
        <f t="shared" si="18"/>
        <v>#DIV/0!</v>
      </c>
      <c r="AK91" s="175" t="e">
        <f t="shared" si="18"/>
        <v>#DIV/0!</v>
      </c>
      <c r="AL91" s="175" t="e">
        <f t="shared" si="18"/>
        <v>#DIV/0!</v>
      </c>
      <c r="AM91" s="175" t="e">
        <f t="shared" si="18"/>
        <v>#DIV/0!</v>
      </c>
      <c r="AN91" s="175" t="e">
        <f t="shared" si="18"/>
        <v>#DIV/0!</v>
      </c>
    </row>
    <row r="92" spans="2:40" x14ac:dyDescent="0.15">
      <c r="B92" s="423" t="s">
        <v>30</v>
      </c>
      <c r="C92" s="132" t="s">
        <v>1166</v>
      </c>
      <c r="D92" s="98" cm="1">
        <f t="array" ref="D92">SUM(SUMIFS('caseload data'!E:E,'caseload data'!$D:$D,"PO",'caseload data'!$A:$A,$B$92,'caseload data'!$B:$B,{"licence","community"}))</f>
        <v>0</v>
      </c>
      <c r="E92" s="98" cm="1">
        <f t="array" ref="E92">SUM(SUMIFS('caseload data'!F:F,'caseload data'!$D:$D,"PO",'caseload data'!$A:$A,$B$92,'caseload data'!$B:$B,{"licence","community"}))</f>
        <v>0</v>
      </c>
      <c r="F92" s="98" cm="1">
        <f t="array" ref="F92">SUM(SUMIFS('caseload data'!G:G,'caseload data'!$D:$D,"PO",'caseload data'!$A:$A,$B$92,'caseload data'!$B:$B,{"licence","community"}))</f>
        <v>0</v>
      </c>
      <c r="G92" s="98" cm="1">
        <f t="array" ref="G92">SUM(SUMIFS('caseload data'!H:H,'caseload data'!$D:$D,"PO",'caseload data'!$A:$A,$B$92,'caseload data'!$B:$B,{"licence","community"}))</f>
        <v>0</v>
      </c>
      <c r="H92" s="98" cm="1">
        <f t="array" ref="H92">SUM(SUMIFS('caseload data'!I:I,'caseload data'!$D:$D,"PO",'caseload data'!$A:$A,$B$92,'caseload data'!$B:$B,{"licence","community"}))</f>
        <v>0</v>
      </c>
      <c r="I92" s="98" cm="1">
        <f t="array" ref="I92">SUM(SUMIFS('caseload data'!J:J,'caseload data'!$D:$D,"PO",'caseload data'!$A:$A,$B$92,'caseload data'!$B:$B,{"licence","community"}))</f>
        <v>0</v>
      </c>
      <c r="J92" s="98" cm="1">
        <f t="array" ref="J92">SUM(SUMIFS('caseload data'!K:K,'caseload data'!$D:$D,"PO",'caseload data'!$A:$A,$B$92,'caseload data'!$B:$B,{"licence","community"}))</f>
        <v>0</v>
      </c>
      <c r="K92" s="98" cm="1">
        <f t="array" ref="K92">SUM(SUMIFS('caseload data'!L:L,'caseload data'!$D:$D,"PO",'caseload data'!$A:$A,$B$92,'caseload data'!$B:$B,{"licence","community"}))</f>
        <v>0</v>
      </c>
      <c r="L92" s="98" cm="1">
        <f t="array" ref="L92">SUM(SUMIFS('caseload data'!M:M,'caseload data'!$D:$D,"PO",'caseload data'!$A:$A,$B$92,'caseload data'!$B:$B,{"licence","community"}))</f>
        <v>0</v>
      </c>
      <c r="M92" s="98" cm="1">
        <f t="array" ref="M92">SUM(SUMIFS('caseload data'!N:N,'caseload data'!$D:$D,"PO",'caseload data'!$A:$A,$B$92,'caseload data'!$B:$B,{"licence","community"}))</f>
        <v>0</v>
      </c>
      <c r="N92" s="98" cm="1">
        <f t="array" ref="N92">SUM(SUMIFS('caseload data'!O:O,'caseload data'!$D:$D,"PO",'caseload data'!$A:$A,$B$92,'caseload data'!$B:$B,{"licence","community"}))</f>
        <v>0</v>
      </c>
      <c r="O92" s="98" cm="1">
        <f t="array" ref="O92">SUM(SUMIFS('caseload data'!P:P,'caseload data'!$D:$D,"PO",'caseload data'!$A:$A,$B$92,'caseload data'!$B:$B,{"licence","community"}))</f>
        <v>0</v>
      </c>
      <c r="P92" s="98" cm="1">
        <f t="array" ref="P92">SUM(SUMIFS('caseload data'!Q:Q,'caseload data'!$D:$D,"PO",'caseload data'!$A:$A,$B$92,'caseload data'!$B:$B,{"licence","community"}))</f>
        <v>0</v>
      </c>
      <c r="Q92" s="98" cm="1">
        <f t="array" ref="Q92">SUM(SUMIFS('caseload data'!R:R,'caseload data'!$D:$D,"PO",'caseload data'!$A:$A,$B$92,'caseload data'!$B:$B,{"licence","community"}))</f>
        <v>0</v>
      </c>
      <c r="R92" s="98" cm="1">
        <f t="array" ref="R92">SUM(SUMIFS('caseload data'!S:S,'caseload data'!$D:$D,"PO",'caseload data'!$A:$A,$B$92,'caseload data'!$B:$B,{"licence","community"}))</f>
        <v>0</v>
      </c>
      <c r="S92" s="98" cm="1">
        <f t="array" ref="S92">SUM(SUMIFS('caseload data'!T:T,'caseload data'!$D:$D,"PO",'caseload data'!$A:$A,$B$92,'caseload data'!$B:$B,{"licence","community"}))</f>
        <v>0</v>
      </c>
      <c r="T92" s="98">
        <f>SUM(SUMIFS('caseload data'!V:V,'caseload data'!D:D,"PO",'caseload data'!A:A,B92,'caseload data'!B:B,{"licence","community"}))</f>
        <v>0</v>
      </c>
      <c r="U92" s="68"/>
      <c r="V92" s="68"/>
      <c r="W92" s="423" t="s">
        <v>30</v>
      </c>
      <c r="X92" s="132" t="s">
        <v>1166</v>
      </c>
      <c r="Y92" s="175" t="e">
        <f>SUM(D92)/SUM(D$92:D$95)</f>
        <v>#DIV/0!</v>
      </c>
      <c r="Z92" s="175" t="e">
        <f t="shared" ref="Z92:AN95" si="19">SUM(E92)/SUM(E$92:E$95)</f>
        <v>#DIV/0!</v>
      </c>
      <c r="AA92" s="175" t="e">
        <f t="shared" si="19"/>
        <v>#DIV/0!</v>
      </c>
      <c r="AB92" s="175" t="e">
        <f t="shared" si="19"/>
        <v>#DIV/0!</v>
      </c>
      <c r="AC92" s="175" t="e">
        <f t="shared" si="19"/>
        <v>#DIV/0!</v>
      </c>
      <c r="AD92" s="175" t="e">
        <f t="shared" si="19"/>
        <v>#DIV/0!</v>
      </c>
      <c r="AE92" s="175" t="e">
        <f t="shared" si="19"/>
        <v>#DIV/0!</v>
      </c>
      <c r="AF92" s="175" t="e">
        <f t="shared" si="19"/>
        <v>#DIV/0!</v>
      </c>
      <c r="AG92" s="175" t="e">
        <f t="shared" si="19"/>
        <v>#DIV/0!</v>
      </c>
      <c r="AH92" s="175" t="e">
        <f t="shared" si="19"/>
        <v>#DIV/0!</v>
      </c>
      <c r="AI92" s="175" t="e">
        <f t="shared" si="19"/>
        <v>#DIV/0!</v>
      </c>
      <c r="AJ92" s="175" t="e">
        <f t="shared" si="19"/>
        <v>#DIV/0!</v>
      </c>
      <c r="AK92" s="175" t="e">
        <f t="shared" si="19"/>
        <v>#DIV/0!</v>
      </c>
      <c r="AL92" s="175" t="e">
        <f t="shared" si="19"/>
        <v>#DIV/0!</v>
      </c>
      <c r="AM92" s="175" t="e">
        <f t="shared" si="19"/>
        <v>#DIV/0!</v>
      </c>
      <c r="AN92" s="175" t="e">
        <f t="shared" si="19"/>
        <v>#DIV/0!</v>
      </c>
    </row>
    <row r="93" spans="2:40" x14ac:dyDescent="0.15">
      <c r="B93" s="424"/>
      <c r="C93" s="133" t="s">
        <v>1172</v>
      </c>
      <c r="D93" s="98" cm="1">
        <f t="array" ref="D93">SUM(SUMIFS('caseload data'!E:E,'caseload data'!$D:$D,"PSO",'caseload data'!$A:$A,"South Central",'caseload data'!$B:$B,{"licence","community"}))</f>
        <v>0</v>
      </c>
      <c r="E93" s="98" cm="1">
        <f t="array" ref="E93">SUM(SUMIFS('caseload data'!F:F,'caseload data'!$D:$D,"PSO",'caseload data'!$A:$A,"South Central",'caseload data'!$B:$B,{"licence","community"}))</f>
        <v>0</v>
      </c>
      <c r="F93" s="98" cm="1">
        <f t="array" ref="F93">SUM(SUMIFS('caseload data'!G:G,'caseload data'!$D:$D,"PSO",'caseload data'!$A:$A,"South Central",'caseload data'!$B:$B,{"licence","community"}))</f>
        <v>0</v>
      </c>
      <c r="G93" s="98" cm="1">
        <f t="array" ref="G93">SUM(SUMIFS('caseload data'!H:H,'caseload data'!$D:$D,"PSO",'caseload data'!$A:$A,"South Central",'caseload data'!$B:$B,{"licence","community"}))</f>
        <v>0</v>
      </c>
      <c r="H93" s="98" cm="1">
        <f t="array" ref="H93">SUM(SUMIFS('caseload data'!I:I,'caseload data'!$D:$D,"PSO",'caseload data'!$A:$A,"South Central",'caseload data'!$B:$B,{"licence","community"}))</f>
        <v>0</v>
      </c>
      <c r="I93" s="98" cm="1">
        <f t="array" ref="I93">SUM(SUMIFS('caseload data'!J:J,'caseload data'!$D:$D,"PSO",'caseload data'!$A:$A,"South Central",'caseload data'!$B:$B,{"licence","community"}))</f>
        <v>0</v>
      </c>
      <c r="J93" s="98" cm="1">
        <f t="array" ref="J93">SUM(SUMIFS('caseload data'!K:K,'caseload data'!$D:$D,"PSO",'caseload data'!$A:$A,"South Central",'caseload data'!$B:$B,{"licence","community"}))</f>
        <v>0</v>
      </c>
      <c r="K93" s="98" cm="1">
        <f t="array" ref="K93">SUM(SUMIFS('caseload data'!L:L,'caseload data'!$D:$D,"PSO",'caseload data'!$A:$A,"South Central",'caseload data'!$B:$B,{"licence","community"}))</f>
        <v>0</v>
      </c>
      <c r="L93" s="98" cm="1">
        <f t="array" ref="L93">SUM(SUMIFS('caseload data'!M:M,'caseload data'!$D:$D,"PSO",'caseload data'!$A:$A,"South Central",'caseload data'!$B:$B,{"licence","community"}))</f>
        <v>0</v>
      </c>
      <c r="M93" s="98" cm="1">
        <f t="array" ref="M93">SUM(SUMIFS('caseload data'!N:N,'caseload data'!$D:$D,"PSO",'caseload data'!$A:$A,"South Central",'caseload data'!$B:$B,{"licence","community"}))</f>
        <v>0</v>
      </c>
      <c r="N93" s="98" cm="1">
        <f t="array" ref="N93">SUM(SUMIFS('caseload data'!O:O,'caseload data'!$D:$D,"PSO",'caseload data'!$A:$A,"South Central",'caseload data'!$B:$B,{"licence","community"}))</f>
        <v>0</v>
      </c>
      <c r="O93" s="98" cm="1">
        <f t="array" ref="O93">SUM(SUMIFS('caseload data'!P:P,'caseload data'!$D:$D,"PSO",'caseload data'!$A:$A,"South Central",'caseload data'!$B:$B,{"licence","community"}))</f>
        <v>0</v>
      </c>
      <c r="P93" s="98" cm="1">
        <f t="array" ref="P93">SUM(SUMIFS('caseload data'!Q:Q,'caseload data'!$D:$D,"PSO",'caseload data'!$A:$A,"South Central",'caseload data'!$B:$B,{"licence","community"}))</f>
        <v>0</v>
      </c>
      <c r="Q93" s="98" cm="1">
        <f t="array" ref="Q93">SUM(SUMIFS('caseload data'!R:R,'caseload data'!$D:$D,"PSO",'caseload data'!$A:$A,"South Central",'caseload data'!$B:$B,{"licence","community"}))</f>
        <v>0</v>
      </c>
      <c r="R93" s="98" cm="1">
        <f t="array" ref="R93">SUM(SUMIFS('caseload data'!S:S,'caseload data'!$D:$D,"PSO",'caseload data'!$A:$A,"South Central",'caseload data'!$B:$B,{"licence","community"}))</f>
        <v>0</v>
      </c>
      <c r="S93" s="98" cm="1">
        <f t="array" ref="S93">SUM(SUMIFS('caseload data'!T:T,'caseload data'!$D:$D,"PSO",'caseload data'!$A:$A,"South Central",'caseload data'!$B:$B,{"licence","community"}))</f>
        <v>0</v>
      </c>
      <c r="T93" s="98" cm="1">
        <f t="array" ref="T93">SUM(SUMIFS('caseload data'!V:V,'caseload data'!D:D,"PSO",'caseload data'!A:A,"South Central",'caseload data'!B:B,{"licence","community"}))</f>
        <v>0</v>
      </c>
      <c r="U93" s="68"/>
      <c r="V93" s="68"/>
      <c r="W93" s="424"/>
      <c r="X93" s="133" t="s">
        <v>1172</v>
      </c>
      <c r="Y93" s="175" t="e">
        <f>SUM(D93)/SUM(D$92:D$95)</f>
        <v>#DIV/0!</v>
      </c>
      <c r="Z93" s="175" t="e">
        <f t="shared" si="19"/>
        <v>#DIV/0!</v>
      </c>
      <c r="AA93" s="175" t="e">
        <f t="shared" si="19"/>
        <v>#DIV/0!</v>
      </c>
      <c r="AB93" s="175" t="e">
        <f t="shared" si="19"/>
        <v>#DIV/0!</v>
      </c>
      <c r="AC93" s="175" t="e">
        <f t="shared" si="19"/>
        <v>#DIV/0!</v>
      </c>
      <c r="AD93" s="175" t="e">
        <f t="shared" si="19"/>
        <v>#DIV/0!</v>
      </c>
      <c r="AE93" s="175" t="e">
        <f t="shared" si="19"/>
        <v>#DIV/0!</v>
      </c>
      <c r="AF93" s="175" t="e">
        <f t="shared" si="19"/>
        <v>#DIV/0!</v>
      </c>
      <c r="AG93" s="175" t="e">
        <f t="shared" si="19"/>
        <v>#DIV/0!</v>
      </c>
      <c r="AH93" s="175" t="e">
        <f t="shared" si="19"/>
        <v>#DIV/0!</v>
      </c>
      <c r="AI93" s="175" t="e">
        <f t="shared" si="19"/>
        <v>#DIV/0!</v>
      </c>
      <c r="AJ93" s="175" t="e">
        <f t="shared" si="19"/>
        <v>#DIV/0!</v>
      </c>
      <c r="AK93" s="175" t="e">
        <f t="shared" si="19"/>
        <v>#DIV/0!</v>
      </c>
      <c r="AL93" s="175" t="e">
        <f t="shared" si="19"/>
        <v>#DIV/0!</v>
      </c>
      <c r="AM93" s="175" t="e">
        <f t="shared" si="19"/>
        <v>#DIV/0!</v>
      </c>
      <c r="AN93" s="175" t="e">
        <f t="shared" si="19"/>
        <v>#DIV/0!</v>
      </c>
    </row>
    <row r="94" spans="2:40" x14ac:dyDescent="0.15">
      <c r="B94" s="424"/>
      <c r="C94" s="133" t="s">
        <v>1173</v>
      </c>
      <c r="D94" s="98" cm="1">
        <f t="array" ref="D94">SUM(SUMIFS('caseload data'!E:E,'caseload data'!$D:$D,"TPO",'caseload data'!$A:$A,"South Central",'caseload data'!$B:$B,{"licence","community"}))</f>
        <v>0</v>
      </c>
      <c r="E94" s="98" cm="1">
        <f t="array" ref="E94">SUM(SUMIFS('caseload data'!F:F,'caseload data'!$D:$D,"TPO",'caseload data'!$A:$A,"South Central",'caseload data'!$B:$B,{"licence","community"}))</f>
        <v>0</v>
      </c>
      <c r="F94" s="98" cm="1">
        <f t="array" ref="F94">SUM(SUMIFS('caseload data'!G:G,'caseload data'!$D:$D,"TPO",'caseload data'!$A:$A,"South Central",'caseload data'!$B:$B,{"licence","community"}))</f>
        <v>0</v>
      </c>
      <c r="G94" s="98" cm="1">
        <f t="array" ref="G94">SUM(SUMIFS('caseload data'!H:H,'caseload data'!$D:$D,"TPO",'caseload data'!$A:$A,"South Central",'caseload data'!$B:$B,{"licence","community"}))</f>
        <v>0</v>
      </c>
      <c r="H94" s="98" cm="1">
        <f t="array" ref="H94">SUM(SUMIFS('caseload data'!I:I,'caseload data'!$D:$D,"TPO",'caseload data'!$A:$A,"South Central",'caseload data'!$B:$B,{"licence","community"}))</f>
        <v>0</v>
      </c>
      <c r="I94" s="98" cm="1">
        <f t="array" ref="I94">SUM(SUMIFS('caseload data'!J:J,'caseload data'!$D:$D,"TPO",'caseload data'!$A:$A,"South Central",'caseload data'!$B:$B,{"licence","community"}))</f>
        <v>0</v>
      </c>
      <c r="J94" s="98" cm="1">
        <f t="array" ref="J94">SUM(SUMIFS('caseload data'!K:K,'caseload data'!$D:$D,"TPO",'caseload data'!$A:$A,"South Central",'caseload data'!$B:$B,{"licence","community"}))</f>
        <v>0</v>
      </c>
      <c r="K94" s="98" cm="1">
        <f t="array" ref="K94">SUM(SUMIFS('caseload data'!L:L,'caseload data'!$D:$D,"TPO",'caseload data'!$A:$A,"South Central",'caseload data'!$B:$B,{"licence","community"}))</f>
        <v>0</v>
      </c>
      <c r="L94" s="98" cm="1">
        <f t="array" ref="L94">SUM(SUMIFS('caseload data'!M:M,'caseload data'!$D:$D,"TPO",'caseload data'!$A:$A,"South Central",'caseload data'!$B:$B,{"licence","community"}))</f>
        <v>0</v>
      </c>
      <c r="M94" s="98" cm="1">
        <f t="array" ref="M94">SUM(SUMIFS('caseload data'!N:N,'caseload data'!$D:$D,"TPO",'caseload data'!$A:$A,"South Central",'caseload data'!$B:$B,{"licence","community"}))</f>
        <v>0</v>
      </c>
      <c r="N94" s="98" cm="1">
        <f t="array" ref="N94">SUM(SUMIFS('caseload data'!O:O,'caseload data'!$D:$D,"TPO",'caseload data'!$A:$A,"South Central",'caseload data'!$B:$B,{"licence","community"}))</f>
        <v>0</v>
      </c>
      <c r="O94" s="98" cm="1">
        <f t="array" ref="O94">SUM(SUMIFS('caseload data'!P:P,'caseload data'!$D:$D,"TPO",'caseload data'!$A:$A,"South Central",'caseload data'!$B:$B,{"licence","community"}))</f>
        <v>0</v>
      </c>
      <c r="P94" s="98" cm="1">
        <f t="array" ref="P94">SUM(SUMIFS('caseload data'!Q:Q,'caseload data'!$D:$D,"TPO",'caseload data'!$A:$A,"South Central",'caseload data'!$B:$B,{"licence","community"}))</f>
        <v>0</v>
      </c>
      <c r="Q94" s="98" cm="1">
        <f t="array" ref="Q94">SUM(SUMIFS('caseload data'!R:R,'caseload data'!$D:$D,"TPO",'caseload data'!$A:$A,"South Central",'caseload data'!$B:$B,{"licence","community"}))</f>
        <v>0</v>
      </c>
      <c r="R94" s="98" cm="1">
        <f t="array" ref="R94">SUM(SUMIFS('caseload data'!S:S,'caseload data'!$D:$D,"TPO",'caseload data'!$A:$A,"South Central",'caseload data'!$B:$B,{"licence","community"}))</f>
        <v>0</v>
      </c>
      <c r="S94" s="98" cm="1">
        <f t="array" ref="S94">SUM(SUMIFS('caseload data'!T:T,'caseload data'!$D:$D,"TPO",'caseload data'!$A:$A,"South Central",'caseload data'!$B:$B,{"licence","community"}))</f>
        <v>0</v>
      </c>
      <c r="T94" s="98" cm="1">
        <f t="array" ref="T94">SUM(SUMIFS('caseload data'!V:V,'caseload data'!D:D,"TPO",'caseload data'!A:A,"South Central",'caseload data'!B:B,{"licence","community"}))</f>
        <v>0</v>
      </c>
      <c r="U94" s="68"/>
      <c r="V94" s="68"/>
      <c r="W94" s="424"/>
      <c r="X94" s="133" t="s">
        <v>1173</v>
      </c>
      <c r="Y94" s="175" t="e">
        <f>SUM(D94)/SUM(D$92:D$95)</f>
        <v>#DIV/0!</v>
      </c>
      <c r="Z94" s="175" t="e">
        <f t="shared" si="19"/>
        <v>#DIV/0!</v>
      </c>
      <c r="AA94" s="175" t="e">
        <f t="shared" si="19"/>
        <v>#DIV/0!</v>
      </c>
      <c r="AB94" s="175" t="e">
        <f t="shared" si="19"/>
        <v>#DIV/0!</v>
      </c>
      <c r="AC94" s="175" t="e">
        <f t="shared" si="19"/>
        <v>#DIV/0!</v>
      </c>
      <c r="AD94" s="175" t="e">
        <f t="shared" si="19"/>
        <v>#DIV/0!</v>
      </c>
      <c r="AE94" s="175" t="e">
        <f t="shared" si="19"/>
        <v>#DIV/0!</v>
      </c>
      <c r="AF94" s="175" t="e">
        <f t="shared" si="19"/>
        <v>#DIV/0!</v>
      </c>
      <c r="AG94" s="175" t="e">
        <f t="shared" si="19"/>
        <v>#DIV/0!</v>
      </c>
      <c r="AH94" s="175" t="e">
        <f t="shared" si="19"/>
        <v>#DIV/0!</v>
      </c>
      <c r="AI94" s="175" t="e">
        <f t="shared" si="19"/>
        <v>#DIV/0!</v>
      </c>
      <c r="AJ94" s="175" t="e">
        <f t="shared" si="19"/>
        <v>#DIV/0!</v>
      </c>
      <c r="AK94" s="175" t="e">
        <f t="shared" si="19"/>
        <v>#DIV/0!</v>
      </c>
      <c r="AL94" s="175" t="e">
        <f t="shared" si="19"/>
        <v>#DIV/0!</v>
      </c>
      <c r="AM94" s="175" t="e">
        <f t="shared" si="19"/>
        <v>#DIV/0!</v>
      </c>
      <c r="AN94" s="175" t="e">
        <f t="shared" si="19"/>
        <v>#DIV/0!</v>
      </c>
    </row>
    <row r="95" spans="2:40" x14ac:dyDescent="0.15">
      <c r="B95" s="425"/>
      <c r="C95" s="134" t="s">
        <v>1174</v>
      </c>
      <c r="D95" s="98" cm="1">
        <f t="array" ref="D95">SUM(SUMIFS('caseload data'!E:E,'caseload data'!$D:$D,"SPO",'caseload data'!$A:$A,"South Central",'caseload data'!$B:$B,{"licence","community"}))</f>
        <v>0</v>
      </c>
      <c r="E95" s="98" cm="1">
        <f t="array" ref="E95">SUM(SUMIFS('caseload data'!F:F,'caseload data'!$D:$D,"SPO",'caseload data'!$A:$A,"South Central",'caseload data'!$B:$B,{"licence","community"}))</f>
        <v>0</v>
      </c>
      <c r="F95" s="98" cm="1">
        <f t="array" ref="F95">SUM(SUMIFS('caseload data'!G:G,'caseload data'!$D:$D,"SPO",'caseload data'!$A:$A,"South Central",'caseload data'!$B:$B,{"licence","community"}))</f>
        <v>0</v>
      </c>
      <c r="G95" s="98" cm="1">
        <f t="array" ref="G95">SUM(SUMIFS('caseload data'!H:H,'caseload data'!$D:$D,"SPO",'caseload data'!$A:$A,"South Central",'caseload data'!$B:$B,{"licence","community"}))</f>
        <v>0</v>
      </c>
      <c r="H95" s="98" cm="1">
        <f t="array" ref="H95">SUM(SUMIFS('caseload data'!I:I,'caseload data'!$D:$D,"SPO",'caseload data'!$A:$A,"South Central",'caseload data'!$B:$B,{"licence","community"}))</f>
        <v>0</v>
      </c>
      <c r="I95" s="98" cm="1">
        <f t="array" ref="I95">SUM(SUMIFS('caseload data'!J:J,'caseload data'!$D:$D,"SPO",'caseload data'!$A:$A,"South Central",'caseload data'!$B:$B,{"licence","community"}))</f>
        <v>0</v>
      </c>
      <c r="J95" s="98" cm="1">
        <f t="array" ref="J95">SUM(SUMIFS('caseload data'!K:K,'caseload data'!$D:$D,"SPO",'caseload data'!$A:$A,"South Central",'caseload data'!$B:$B,{"licence","community"}))</f>
        <v>0</v>
      </c>
      <c r="K95" s="98" cm="1">
        <f t="array" ref="K95">SUM(SUMIFS('caseload data'!L:L,'caseload data'!$D:$D,"SPO",'caseload data'!$A:$A,"South Central",'caseload data'!$B:$B,{"licence","community"}))</f>
        <v>0</v>
      </c>
      <c r="L95" s="98" cm="1">
        <f t="array" ref="L95">SUM(SUMIFS('caseload data'!M:M,'caseload data'!$D:$D,"SPO",'caseload data'!$A:$A,"South Central",'caseload data'!$B:$B,{"licence","community"}))</f>
        <v>0</v>
      </c>
      <c r="M95" s="98" cm="1">
        <f t="array" ref="M95">SUM(SUMIFS('caseload data'!N:N,'caseload data'!$D:$D,"SPO",'caseload data'!$A:$A,"South Central",'caseload data'!$B:$B,{"licence","community"}))</f>
        <v>0</v>
      </c>
      <c r="N95" s="98" cm="1">
        <f t="array" ref="N95">SUM(SUMIFS('caseload data'!O:O,'caseload data'!$D:$D,"SPO",'caseload data'!$A:$A,"South Central",'caseload data'!$B:$B,{"licence","community"}))</f>
        <v>0</v>
      </c>
      <c r="O95" s="98" cm="1">
        <f t="array" ref="O95">SUM(SUMIFS('caseload data'!P:P,'caseload data'!$D:$D,"SPO",'caseload data'!$A:$A,"South Central",'caseload data'!$B:$B,{"licence","community"}))</f>
        <v>0</v>
      </c>
      <c r="P95" s="98" cm="1">
        <f t="array" ref="P95">SUM(SUMIFS('caseload data'!Q:Q,'caseload data'!$D:$D,"SPO",'caseload data'!$A:$A,"South Central",'caseload data'!$B:$B,{"licence","community"}))</f>
        <v>0</v>
      </c>
      <c r="Q95" s="98" cm="1">
        <f t="array" ref="Q95">SUM(SUMIFS('caseload data'!R:R,'caseload data'!$D:$D,"SPO",'caseload data'!$A:$A,"South Central",'caseload data'!$B:$B,{"licence","community"}))</f>
        <v>0</v>
      </c>
      <c r="R95" s="98" cm="1">
        <f t="array" ref="R95">SUM(SUMIFS('caseload data'!S:S,'caseload data'!$D:$D,"SPO",'caseload data'!$A:$A,"South Central",'caseload data'!$B:$B,{"licence","community"}))</f>
        <v>0</v>
      </c>
      <c r="S95" s="98" cm="1">
        <f t="array" ref="S95">SUM(SUMIFS('caseload data'!T:T,'caseload data'!$D:$D,"SPO",'caseload data'!$A:$A,"South Central",'caseload data'!$B:$B,{"licence","community"}))</f>
        <v>0</v>
      </c>
      <c r="T95" s="98" cm="1">
        <f t="array" ref="T95">SUM(SUMIFS('caseload data'!V:V,'caseload data'!$D:$D,"SPO",'caseload data'!$A:$A,"South Central",'caseload data'!$B:$B,{"licence","community"}))</f>
        <v>0</v>
      </c>
      <c r="U95" s="68"/>
      <c r="V95" s="68"/>
      <c r="W95" s="425"/>
      <c r="X95" s="134" t="s">
        <v>1174</v>
      </c>
      <c r="Y95" s="175" t="e">
        <f>SUM(D95)/SUM(D$92:D$95)</f>
        <v>#DIV/0!</v>
      </c>
      <c r="Z95" s="175" t="e">
        <f t="shared" si="19"/>
        <v>#DIV/0!</v>
      </c>
      <c r="AA95" s="175" t="e">
        <f t="shared" si="19"/>
        <v>#DIV/0!</v>
      </c>
      <c r="AB95" s="175" t="e">
        <f t="shared" si="19"/>
        <v>#DIV/0!</v>
      </c>
      <c r="AC95" s="175" t="e">
        <f t="shared" si="19"/>
        <v>#DIV/0!</v>
      </c>
      <c r="AD95" s="175" t="e">
        <f t="shared" si="19"/>
        <v>#DIV/0!</v>
      </c>
      <c r="AE95" s="175" t="e">
        <f t="shared" si="19"/>
        <v>#DIV/0!</v>
      </c>
      <c r="AF95" s="175" t="e">
        <f t="shared" si="19"/>
        <v>#DIV/0!</v>
      </c>
      <c r="AG95" s="175" t="e">
        <f t="shared" si="19"/>
        <v>#DIV/0!</v>
      </c>
      <c r="AH95" s="175" t="e">
        <f t="shared" si="19"/>
        <v>#DIV/0!</v>
      </c>
      <c r="AI95" s="175" t="e">
        <f t="shared" si="19"/>
        <v>#DIV/0!</v>
      </c>
      <c r="AJ95" s="175" t="e">
        <f t="shared" si="19"/>
        <v>#DIV/0!</v>
      </c>
      <c r="AK95" s="175" t="e">
        <f t="shared" si="19"/>
        <v>#DIV/0!</v>
      </c>
      <c r="AL95" s="175" t="e">
        <f t="shared" si="19"/>
        <v>#DIV/0!</v>
      </c>
      <c r="AM95" s="175" t="e">
        <f t="shared" si="19"/>
        <v>#DIV/0!</v>
      </c>
      <c r="AN95" s="175" t="e">
        <f t="shared" si="19"/>
        <v>#DIV/0!</v>
      </c>
    </row>
    <row r="96" spans="2:40" x14ac:dyDescent="0.15">
      <c r="B96" s="423" t="s">
        <v>31</v>
      </c>
      <c r="C96" s="132" t="s">
        <v>1166</v>
      </c>
      <c r="D96" s="98" cm="1">
        <f t="array" ref="D96">SUM(SUMIFS('caseload data'!E:E,'caseload data'!$D:$D,"PO",'caseload data'!$A:$A,$B$96,'caseload data'!$B:$B,{"licence","community"}))</f>
        <v>0</v>
      </c>
      <c r="E96" s="98" cm="1">
        <f t="array" ref="E96">SUM(SUMIFS('caseload data'!F:F,'caseload data'!$D:$D,"PO",'caseload data'!$A:$A,$B$96,'caseload data'!$B:$B,{"licence","community"}))</f>
        <v>0</v>
      </c>
      <c r="F96" s="98" cm="1">
        <f t="array" ref="F96">SUM(SUMIFS('caseload data'!G:G,'caseload data'!$D:$D,"PO",'caseload data'!$A:$A,$B$96,'caseload data'!$B:$B,{"licence","community"}))</f>
        <v>0</v>
      </c>
      <c r="G96" s="98" cm="1">
        <f t="array" ref="G96">SUM(SUMIFS('caseload data'!H:H,'caseload data'!$D:$D,"PO",'caseload data'!$A:$A,$B$96,'caseload data'!$B:$B,{"licence","community"}))</f>
        <v>0</v>
      </c>
      <c r="H96" s="98" cm="1">
        <f t="array" ref="H96">SUM(SUMIFS('caseload data'!I:I,'caseload data'!$D:$D,"PO",'caseload data'!$A:$A,$B$96,'caseload data'!$B:$B,{"licence","community"}))</f>
        <v>0</v>
      </c>
      <c r="I96" s="98" cm="1">
        <f t="array" ref="I96">SUM(SUMIFS('caseload data'!J:J,'caseload data'!$D:$D,"PO",'caseload data'!$A:$A,$B$96,'caseload data'!$B:$B,{"licence","community"}))</f>
        <v>0</v>
      </c>
      <c r="J96" s="98" cm="1">
        <f t="array" ref="J96">SUM(SUMIFS('caseload data'!K:K,'caseload data'!$D:$D,"PO",'caseload data'!$A:$A,$B$96,'caseload data'!$B:$B,{"licence","community"}))</f>
        <v>0</v>
      </c>
      <c r="K96" s="98" cm="1">
        <f t="array" ref="K96">SUM(SUMIFS('caseload data'!L:L,'caseload data'!$D:$D,"PO",'caseload data'!$A:$A,$B$96,'caseload data'!$B:$B,{"licence","community"}))</f>
        <v>0</v>
      </c>
      <c r="L96" s="98" cm="1">
        <f t="array" ref="L96">SUM(SUMIFS('caseload data'!M:M,'caseload data'!$D:$D,"PO",'caseload data'!$A:$A,$B$96,'caseload data'!$B:$B,{"licence","community"}))</f>
        <v>0</v>
      </c>
      <c r="M96" s="98" cm="1">
        <f t="array" ref="M96">SUM(SUMIFS('caseload data'!N:N,'caseload data'!$D:$D,"PO",'caseload data'!$A:$A,$B$96,'caseload data'!$B:$B,{"licence","community"}))</f>
        <v>0</v>
      </c>
      <c r="N96" s="98" cm="1">
        <f t="array" ref="N96">SUM(SUMIFS('caseload data'!O:O,'caseload data'!$D:$D,"PO",'caseload data'!$A:$A,$B$96,'caseload data'!$B:$B,{"licence","community"}))</f>
        <v>0</v>
      </c>
      <c r="O96" s="98" cm="1">
        <f t="array" ref="O96">SUM(SUMIFS('caseload data'!P:P,'caseload data'!$D:$D,"PO",'caseload data'!$A:$A,$B$96,'caseload data'!$B:$B,{"licence","community"}))</f>
        <v>0</v>
      </c>
      <c r="P96" s="98" cm="1">
        <f t="array" ref="P96">SUM(SUMIFS('caseload data'!Q:Q,'caseload data'!$D:$D,"PO",'caseload data'!$A:$A,$B$96,'caseload data'!$B:$B,{"licence","community"}))</f>
        <v>0</v>
      </c>
      <c r="Q96" s="98" cm="1">
        <f t="array" ref="Q96">SUM(SUMIFS('caseload data'!R:R,'caseload data'!$D:$D,"PO",'caseload data'!$A:$A,$B$96,'caseload data'!$B:$B,{"licence","community"}))</f>
        <v>0</v>
      </c>
      <c r="R96" s="98" cm="1">
        <f t="array" ref="R96">SUM(SUMIFS('caseload data'!S:S,'caseload data'!$D:$D,"PO",'caseload data'!$A:$A,$B$96,'caseload data'!$B:$B,{"licence","community"}))</f>
        <v>0</v>
      </c>
      <c r="S96" s="98" cm="1">
        <f t="array" ref="S96">SUM(SUMIFS('caseload data'!T:T,'caseload data'!$D:$D,"PO",'caseload data'!$A:$A,$B$96,'caseload data'!$B:$B,{"licence","community"}))</f>
        <v>0</v>
      </c>
      <c r="T96" s="98">
        <f>SUM(SUMIFS('caseload data'!V:V,'caseload data'!D:D,"PO",'caseload data'!A:A,B96,'caseload data'!B:B,{"licence","community"}))</f>
        <v>0</v>
      </c>
      <c r="U96" s="68"/>
      <c r="V96" s="68"/>
      <c r="W96" s="423" t="s">
        <v>31</v>
      </c>
      <c r="X96" s="132" t="s">
        <v>1166</v>
      </c>
      <c r="Y96" s="175" t="e">
        <f>SUM(D96)/SUM(D$96:D$99)</f>
        <v>#DIV/0!</v>
      </c>
      <c r="Z96" s="175" t="e">
        <f t="shared" ref="Z96:AN99" si="20">SUM(E96)/SUM(E$96:E$99)</f>
        <v>#DIV/0!</v>
      </c>
      <c r="AA96" s="175" t="e">
        <f t="shared" si="20"/>
        <v>#DIV/0!</v>
      </c>
      <c r="AB96" s="175" t="e">
        <f t="shared" si="20"/>
        <v>#DIV/0!</v>
      </c>
      <c r="AC96" s="175" t="e">
        <f t="shared" si="20"/>
        <v>#DIV/0!</v>
      </c>
      <c r="AD96" s="175" t="e">
        <f t="shared" si="20"/>
        <v>#DIV/0!</v>
      </c>
      <c r="AE96" s="175" t="e">
        <f t="shared" si="20"/>
        <v>#DIV/0!</v>
      </c>
      <c r="AF96" s="175" t="e">
        <f t="shared" si="20"/>
        <v>#DIV/0!</v>
      </c>
      <c r="AG96" s="175" t="e">
        <f t="shared" si="20"/>
        <v>#DIV/0!</v>
      </c>
      <c r="AH96" s="175" t="e">
        <f t="shared" si="20"/>
        <v>#DIV/0!</v>
      </c>
      <c r="AI96" s="175" t="e">
        <f t="shared" si="20"/>
        <v>#DIV/0!</v>
      </c>
      <c r="AJ96" s="175" t="e">
        <f t="shared" si="20"/>
        <v>#DIV/0!</v>
      </c>
      <c r="AK96" s="175" t="e">
        <f t="shared" si="20"/>
        <v>#DIV/0!</v>
      </c>
      <c r="AL96" s="175" t="e">
        <f t="shared" si="20"/>
        <v>#DIV/0!</v>
      </c>
      <c r="AM96" s="175" t="e">
        <f t="shared" si="20"/>
        <v>#DIV/0!</v>
      </c>
      <c r="AN96" s="175" t="e">
        <f t="shared" si="20"/>
        <v>#DIV/0!</v>
      </c>
    </row>
    <row r="97" spans="2:40" x14ac:dyDescent="0.15">
      <c r="B97" s="424"/>
      <c r="C97" s="133" t="s">
        <v>1172</v>
      </c>
      <c r="D97" s="98" cm="1">
        <f t="array" ref="D97">SUM(SUMIFS('caseload data'!E:E,'caseload data'!$D:$D,"PSO",'caseload data'!$A:$A,"South West",'caseload data'!$B:$B,{"licence","community"}))</f>
        <v>0</v>
      </c>
      <c r="E97" s="98" cm="1">
        <f t="array" ref="E97">SUM(SUMIFS('caseload data'!F:F,'caseload data'!$D:$D,"PSO",'caseload data'!$A:$A,"South West",'caseload data'!$B:$B,{"licence","community"}))</f>
        <v>0</v>
      </c>
      <c r="F97" s="98" cm="1">
        <f t="array" ref="F97">SUM(SUMIFS('caseload data'!G:G,'caseload data'!$D:$D,"PSO",'caseload data'!$A:$A,"South West",'caseload data'!$B:$B,{"licence","community"}))</f>
        <v>0</v>
      </c>
      <c r="G97" s="98" cm="1">
        <f t="array" ref="G97">SUM(SUMIFS('caseload data'!H:H,'caseload data'!$D:$D,"PSO",'caseload data'!$A:$A,"South West",'caseload data'!$B:$B,{"licence","community"}))</f>
        <v>0</v>
      </c>
      <c r="H97" s="98" cm="1">
        <f t="array" ref="H97">SUM(SUMIFS('caseload data'!I:I,'caseload data'!$D:$D,"PSO",'caseload data'!$A:$A,"South West",'caseload data'!$B:$B,{"licence","community"}))</f>
        <v>0</v>
      </c>
      <c r="I97" s="98" cm="1">
        <f t="array" ref="I97">SUM(SUMIFS('caseload data'!J:J,'caseload data'!$D:$D,"PSO",'caseload data'!$A:$A,"South West",'caseload data'!$B:$B,{"licence","community"}))</f>
        <v>0</v>
      </c>
      <c r="J97" s="98" cm="1">
        <f t="array" ref="J97">SUM(SUMIFS('caseload data'!K:K,'caseload data'!$D:$D,"PSO",'caseload data'!$A:$A,"South West",'caseload data'!$B:$B,{"licence","community"}))</f>
        <v>0</v>
      </c>
      <c r="K97" s="98" cm="1">
        <f t="array" ref="K97">SUM(SUMIFS('caseload data'!L:L,'caseload data'!$D:$D,"PSO",'caseload data'!$A:$A,"South West",'caseload data'!$B:$B,{"licence","community"}))</f>
        <v>0</v>
      </c>
      <c r="L97" s="98" cm="1">
        <f t="array" ref="L97">SUM(SUMIFS('caseload data'!M:M,'caseload data'!$D:$D,"PSO",'caseload data'!$A:$A,"South West",'caseload data'!$B:$B,{"licence","community"}))</f>
        <v>0</v>
      </c>
      <c r="M97" s="98" cm="1">
        <f t="array" ref="M97">SUM(SUMIFS('caseload data'!N:N,'caseload data'!$D:$D,"PSO",'caseload data'!$A:$A,"South West",'caseload data'!$B:$B,{"licence","community"}))</f>
        <v>0</v>
      </c>
      <c r="N97" s="98" cm="1">
        <f t="array" ref="N97">SUM(SUMIFS('caseload data'!O:O,'caseload data'!$D:$D,"PSO",'caseload data'!$A:$A,"South West",'caseload data'!$B:$B,{"licence","community"}))</f>
        <v>0</v>
      </c>
      <c r="O97" s="98" cm="1">
        <f t="array" ref="O97">SUM(SUMIFS('caseload data'!P:P,'caseload data'!$D:$D,"PSO",'caseload data'!$A:$A,"South West",'caseload data'!$B:$B,{"licence","community"}))</f>
        <v>0</v>
      </c>
      <c r="P97" s="98" cm="1">
        <f t="array" ref="P97">SUM(SUMIFS('caseload data'!Q:Q,'caseload data'!$D:$D,"PSO",'caseload data'!$A:$A,"South West",'caseload data'!$B:$B,{"licence","community"}))</f>
        <v>0</v>
      </c>
      <c r="Q97" s="98" cm="1">
        <f t="array" ref="Q97">SUM(SUMIFS('caseload data'!R:R,'caseload data'!$D:$D,"PSO",'caseload data'!$A:$A,"South West",'caseload data'!$B:$B,{"licence","community"}))</f>
        <v>0</v>
      </c>
      <c r="R97" s="98" cm="1">
        <f t="array" ref="R97">SUM(SUMIFS('caseload data'!S:S,'caseload data'!$D:$D,"PSO",'caseload data'!$A:$A,"South West",'caseload data'!$B:$B,{"licence","community"}))</f>
        <v>0</v>
      </c>
      <c r="S97" s="98" cm="1">
        <f t="array" ref="S97">SUM(SUMIFS('caseload data'!T:T,'caseload data'!$D:$D,"PSO",'caseload data'!$A:$A,"South West",'caseload data'!$B:$B,{"licence","community"}))</f>
        <v>0</v>
      </c>
      <c r="T97" s="98" cm="1">
        <f t="array" ref="T97">SUM(SUMIFS('caseload data'!V:V,'caseload data'!D:D,"PSO",'caseload data'!A:A,"South West",'caseload data'!B:B,{"licence","community"}))</f>
        <v>0</v>
      </c>
      <c r="U97" s="68"/>
      <c r="V97" s="68"/>
      <c r="W97" s="424"/>
      <c r="X97" s="133" t="s">
        <v>1172</v>
      </c>
      <c r="Y97" s="175" t="e">
        <f>SUM(D97)/SUM(D$96:D$99)</f>
        <v>#DIV/0!</v>
      </c>
      <c r="Z97" s="175" t="e">
        <f t="shared" si="20"/>
        <v>#DIV/0!</v>
      </c>
      <c r="AA97" s="175" t="e">
        <f t="shared" si="20"/>
        <v>#DIV/0!</v>
      </c>
      <c r="AB97" s="175" t="e">
        <f t="shared" si="20"/>
        <v>#DIV/0!</v>
      </c>
      <c r="AC97" s="175" t="e">
        <f t="shared" si="20"/>
        <v>#DIV/0!</v>
      </c>
      <c r="AD97" s="175" t="e">
        <f t="shared" si="20"/>
        <v>#DIV/0!</v>
      </c>
      <c r="AE97" s="175" t="e">
        <f t="shared" si="20"/>
        <v>#DIV/0!</v>
      </c>
      <c r="AF97" s="175" t="e">
        <f t="shared" si="20"/>
        <v>#DIV/0!</v>
      </c>
      <c r="AG97" s="175" t="e">
        <f t="shared" si="20"/>
        <v>#DIV/0!</v>
      </c>
      <c r="AH97" s="175" t="e">
        <f t="shared" si="20"/>
        <v>#DIV/0!</v>
      </c>
      <c r="AI97" s="175" t="e">
        <f t="shared" si="20"/>
        <v>#DIV/0!</v>
      </c>
      <c r="AJ97" s="175" t="e">
        <f t="shared" si="20"/>
        <v>#DIV/0!</v>
      </c>
      <c r="AK97" s="175" t="e">
        <f t="shared" si="20"/>
        <v>#DIV/0!</v>
      </c>
      <c r="AL97" s="175" t="e">
        <f t="shared" si="20"/>
        <v>#DIV/0!</v>
      </c>
      <c r="AM97" s="175" t="e">
        <f t="shared" si="20"/>
        <v>#DIV/0!</v>
      </c>
      <c r="AN97" s="175" t="e">
        <f t="shared" si="20"/>
        <v>#DIV/0!</v>
      </c>
    </row>
    <row r="98" spans="2:40" x14ac:dyDescent="0.15">
      <c r="B98" s="424"/>
      <c r="C98" s="133" t="s">
        <v>1173</v>
      </c>
      <c r="D98" s="98" cm="1">
        <f t="array" ref="D98">SUM(SUMIFS('caseload data'!E:E,'caseload data'!$D:$D,"TPO",'caseload data'!$A:$A,"South West",'caseload data'!$B:$B,{"licence","community"}))</f>
        <v>0</v>
      </c>
      <c r="E98" s="98" cm="1">
        <f t="array" ref="E98">SUM(SUMIFS('caseload data'!F:F,'caseload data'!$D:$D,"TPO",'caseload data'!$A:$A,"South West",'caseload data'!$B:$B,{"licence","community"}))</f>
        <v>0</v>
      </c>
      <c r="F98" s="98" cm="1">
        <f t="array" ref="F98">SUM(SUMIFS('caseload data'!G:G,'caseload data'!$D:$D,"TPO",'caseload data'!$A:$A,"South West",'caseload data'!$B:$B,{"licence","community"}))</f>
        <v>0</v>
      </c>
      <c r="G98" s="98" cm="1">
        <f t="array" ref="G98">SUM(SUMIFS('caseload data'!H:H,'caseload data'!$D:$D,"TPO",'caseload data'!$A:$A,"South West",'caseload data'!$B:$B,{"licence","community"}))</f>
        <v>0</v>
      </c>
      <c r="H98" s="98" cm="1">
        <f t="array" ref="H98">SUM(SUMIFS('caseload data'!I:I,'caseload data'!$D:$D,"TPO",'caseload data'!$A:$A,"South West",'caseload data'!$B:$B,{"licence","community"}))</f>
        <v>0</v>
      </c>
      <c r="I98" s="98" cm="1">
        <f t="array" ref="I98">SUM(SUMIFS('caseload data'!J:J,'caseload data'!$D:$D,"TPO",'caseload data'!$A:$A,"South West",'caseload data'!$B:$B,{"licence","community"}))</f>
        <v>0</v>
      </c>
      <c r="J98" s="98" cm="1">
        <f t="array" ref="J98">SUM(SUMIFS('caseload data'!K:K,'caseload data'!$D:$D,"TPO",'caseload data'!$A:$A,"South West",'caseload data'!$B:$B,{"licence","community"}))</f>
        <v>0</v>
      </c>
      <c r="K98" s="98" cm="1">
        <f t="array" ref="K98">SUM(SUMIFS('caseload data'!L:L,'caseload data'!$D:$D,"TPO",'caseload data'!$A:$A,"South West",'caseload data'!$B:$B,{"licence","community"}))</f>
        <v>0</v>
      </c>
      <c r="L98" s="98" cm="1">
        <f t="array" ref="L98">SUM(SUMIFS('caseload data'!M:M,'caseload data'!$D:$D,"TPO",'caseload data'!$A:$A,"South West",'caseload data'!$B:$B,{"licence","community"}))</f>
        <v>0</v>
      </c>
      <c r="M98" s="98" cm="1">
        <f t="array" ref="M98">SUM(SUMIFS('caseload data'!N:N,'caseload data'!$D:$D,"TPO",'caseload data'!$A:$A,"South West",'caseload data'!$B:$B,{"licence","community"}))</f>
        <v>0</v>
      </c>
      <c r="N98" s="98" cm="1">
        <f t="array" ref="N98">SUM(SUMIFS('caseload data'!O:O,'caseload data'!$D:$D,"TPO",'caseload data'!$A:$A,"South West",'caseload data'!$B:$B,{"licence","community"}))</f>
        <v>0</v>
      </c>
      <c r="O98" s="98" cm="1">
        <f t="array" ref="O98">SUM(SUMIFS('caseload data'!P:P,'caseload data'!$D:$D,"TPO",'caseload data'!$A:$A,"South West",'caseload data'!$B:$B,{"licence","community"}))</f>
        <v>0</v>
      </c>
      <c r="P98" s="98" cm="1">
        <f t="array" ref="P98">SUM(SUMIFS('caseload data'!Q:Q,'caseload data'!$D:$D,"TPO",'caseload data'!$A:$A,"South West",'caseload data'!$B:$B,{"licence","community"}))</f>
        <v>0</v>
      </c>
      <c r="Q98" s="98" cm="1">
        <f t="array" ref="Q98">SUM(SUMIFS('caseload data'!R:R,'caseload data'!$D:$D,"TPO",'caseload data'!$A:$A,"South West",'caseload data'!$B:$B,{"licence","community"}))</f>
        <v>0</v>
      </c>
      <c r="R98" s="98" cm="1">
        <f t="array" ref="R98">SUM(SUMIFS('caseload data'!S:S,'caseload data'!$D:$D,"TPO",'caseload data'!$A:$A,"South West",'caseload data'!$B:$B,{"licence","community"}))</f>
        <v>0</v>
      </c>
      <c r="S98" s="98" cm="1">
        <f t="array" ref="S98">SUM(SUMIFS('caseload data'!T:T,'caseload data'!$D:$D,"TPO",'caseload data'!$A:$A,"South West",'caseload data'!$B:$B,{"licence","community"}))</f>
        <v>0</v>
      </c>
      <c r="T98" s="98" cm="1">
        <f t="array" ref="T98">SUM(SUMIFS('caseload data'!V:V,'caseload data'!D:D,"TPO",'caseload data'!A:A,"South West",'caseload data'!B:B,{"licence","community"}))</f>
        <v>0</v>
      </c>
      <c r="U98" s="68"/>
      <c r="V98" s="68"/>
      <c r="W98" s="424"/>
      <c r="X98" s="133" t="s">
        <v>1173</v>
      </c>
      <c r="Y98" s="175" t="e">
        <f>SUM(D98)/SUM(D$96:D$99)</f>
        <v>#DIV/0!</v>
      </c>
      <c r="Z98" s="175" t="e">
        <f t="shared" si="20"/>
        <v>#DIV/0!</v>
      </c>
      <c r="AA98" s="175" t="e">
        <f t="shared" si="20"/>
        <v>#DIV/0!</v>
      </c>
      <c r="AB98" s="175" t="e">
        <f t="shared" si="20"/>
        <v>#DIV/0!</v>
      </c>
      <c r="AC98" s="175" t="e">
        <f t="shared" si="20"/>
        <v>#DIV/0!</v>
      </c>
      <c r="AD98" s="175" t="e">
        <f t="shared" si="20"/>
        <v>#DIV/0!</v>
      </c>
      <c r="AE98" s="175" t="e">
        <f t="shared" si="20"/>
        <v>#DIV/0!</v>
      </c>
      <c r="AF98" s="175" t="e">
        <f t="shared" si="20"/>
        <v>#DIV/0!</v>
      </c>
      <c r="AG98" s="175" t="e">
        <f t="shared" si="20"/>
        <v>#DIV/0!</v>
      </c>
      <c r="AH98" s="175" t="e">
        <f t="shared" si="20"/>
        <v>#DIV/0!</v>
      </c>
      <c r="AI98" s="175" t="e">
        <f t="shared" si="20"/>
        <v>#DIV/0!</v>
      </c>
      <c r="AJ98" s="175" t="e">
        <f t="shared" si="20"/>
        <v>#DIV/0!</v>
      </c>
      <c r="AK98" s="175" t="e">
        <f t="shared" si="20"/>
        <v>#DIV/0!</v>
      </c>
      <c r="AL98" s="175" t="e">
        <f t="shared" si="20"/>
        <v>#DIV/0!</v>
      </c>
      <c r="AM98" s="175" t="e">
        <f t="shared" si="20"/>
        <v>#DIV/0!</v>
      </c>
      <c r="AN98" s="175" t="e">
        <f t="shared" si="20"/>
        <v>#DIV/0!</v>
      </c>
    </row>
    <row r="99" spans="2:40" x14ac:dyDescent="0.15">
      <c r="B99" s="425"/>
      <c r="C99" s="134" t="s">
        <v>1174</v>
      </c>
      <c r="D99" s="98" cm="1">
        <f t="array" ref="D99">SUM(SUMIFS('caseload data'!E:E,'caseload data'!$D:$D,"SPO",'caseload data'!$A:$A,"South West",'caseload data'!$B:$B,{"licence","community"}))</f>
        <v>0</v>
      </c>
      <c r="E99" s="98" cm="1">
        <f t="array" ref="E99">SUM(SUMIFS('caseload data'!F:F,'caseload data'!$D:$D,"SPO",'caseload data'!$A:$A,"South West",'caseload data'!$B:$B,{"licence","community"}))</f>
        <v>0</v>
      </c>
      <c r="F99" s="98" cm="1">
        <f t="array" ref="F99">SUM(SUMIFS('caseload data'!G:G,'caseload data'!$D:$D,"SPO",'caseload data'!$A:$A,"South West",'caseload data'!$B:$B,{"licence","community"}))</f>
        <v>0</v>
      </c>
      <c r="G99" s="98" cm="1">
        <f t="array" ref="G99">SUM(SUMIFS('caseload data'!H:H,'caseload data'!$D:$D,"SPO",'caseload data'!$A:$A,"South West",'caseload data'!$B:$B,{"licence","community"}))</f>
        <v>0</v>
      </c>
      <c r="H99" s="98" cm="1">
        <f t="array" ref="H99">SUM(SUMIFS('caseload data'!I:I,'caseload data'!$D:$D,"SPO",'caseload data'!$A:$A,"South West",'caseload data'!$B:$B,{"licence","community"}))</f>
        <v>0</v>
      </c>
      <c r="I99" s="98" cm="1">
        <f t="array" ref="I99">SUM(SUMIFS('caseload data'!J:J,'caseload data'!$D:$D,"SPO",'caseload data'!$A:$A,"South West",'caseload data'!$B:$B,{"licence","community"}))</f>
        <v>0</v>
      </c>
      <c r="J99" s="98" cm="1">
        <f t="array" ref="J99">SUM(SUMIFS('caseload data'!K:K,'caseload data'!$D:$D,"SPO",'caseload data'!$A:$A,"South West",'caseload data'!$B:$B,{"licence","community"}))</f>
        <v>0</v>
      </c>
      <c r="K99" s="98" cm="1">
        <f t="array" ref="K99">SUM(SUMIFS('caseload data'!L:L,'caseload data'!$D:$D,"SPO",'caseload data'!$A:$A,"South West",'caseload data'!$B:$B,{"licence","community"}))</f>
        <v>0</v>
      </c>
      <c r="L99" s="98" cm="1">
        <f t="array" ref="L99">SUM(SUMIFS('caseload data'!M:M,'caseload data'!$D:$D,"SPO",'caseload data'!$A:$A,"South West",'caseload data'!$B:$B,{"licence","community"}))</f>
        <v>0</v>
      </c>
      <c r="M99" s="98" cm="1">
        <f t="array" ref="M99">SUM(SUMIFS('caseload data'!N:N,'caseload data'!$D:$D,"SPO",'caseload data'!$A:$A,"South West",'caseload data'!$B:$B,{"licence","community"}))</f>
        <v>0</v>
      </c>
      <c r="N99" s="98" cm="1">
        <f t="array" ref="N99">SUM(SUMIFS('caseload data'!O:O,'caseload data'!$D:$D,"SPO",'caseload data'!$A:$A,"South West",'caseload data'!$B:$B,{"licence","community"}))</f>
        <v>0</v>
      </c>
      <c r="O99" s="98" cm="1">
        <f t="array" ref="O99">SUM(SUMIFS('caseload data'!P:P,'caseload data'!$D:$D,"SPO",'caseload data'!$A:$A,"South West",'caseload data'!$B:$B,{"licence","community"}))</f>
        <v>0</v>
      </c>
      <c r="P99" s="98" cm="1">
        <f t="array" ref="P99">SUM(SUMIFS('caseload data'!Q:Q,'caseload data'!$D:$D,"SPO",'caseload data'!$A:$A,"South West",'caseload data'!$B:$B,{"licence","community"}))</f>
        <v>0</v>
      </c>
      <c r="Q99" s="98" cm="1">
        <f t="array" ref="Q99">SUM(SUMIFS('caseload data'!R:R,'caseload data'!$D:$D,"SPO",'caseload data'!$A:$A,"South West",'caseload data'!$B:$B,{"licence","community"}))</f>
        <v>0</v>
      </c>
      <c r="R99" s="98" cm="1">
        <f t="array" ref="R99">SUM(SUMIFS('caseload data'!S:S,'caseload data'!$D:$D,"SPO",'caseload data'!$A:$A,"South West",'caseload data'!$B:$B,{"licence","community"}))</f>
        <v>0</v>
      </c>
      <c r="S99" s="98" cm="1">
        <f t="array" ref="S99">SUM(SUMIFS('caseload data'!T:T,'caseload data'!$D:$D,"SPO",'caseload data'!$A:$A,"South West",'caseload data'!$B:$B,{"licence","community"}))</f>
        <v>0</v>
      </c>
      <c r="T99" s="98" cm="1">
        <f t="array" ref="T99">SUM(SUMIFS('caseload data'!V:V,'caseload data'!$D:$D,"SPO",'caseload data'!$A:$A,"South West",'caseload data'!$B:$B,{"licence","community"}))</f>
        <v>0</v>
      </c>
      <c r="U99" s="68"/>
      <c r="V99" s="68"/>
      <c r="W99" s="425"/>
      <c r="X99" s="134" t="s">
        <v>1174</v>
      </c>
      <c r="Y99" s="175" t="e">
        <f>SUM(D99)/SUM(D$96:D$99)</f>
        <v>#DIV/0!</v>
      </c>
      <c r="Z99" s="175" t="e">
        <f t="shared" si="20"/>
        <v>#DIV/0!</v>
      </c>
      <c r="AA99" s="175" t="e">
        <f t="shared" si="20"/>
        <v>#DIV/0!</v>
      </c>
      <c r="AB99" s="175" t="e">
        <f t="shared" si="20"/>
        <v>#DIV/0!</v>
      </c>
      <c r="AC99" s="175" t="e">
        <f t="shared" si="20"/>
        <v>#DIV/0!</v>
      </c>
      <c r="AD99" s="175" t="e">
        <f t="shared" si="20"/>
        <v>#DIV/0!</v>
      </c>
      <c r="AE99" s="175" t="e">
        <f t="shared" si="20"/>
        <v>#DIV/0!</v>
      </c>
      <c r="AF99" s="175" t="e">
        <f t="shared" si="20"/>
        <v>#DIV/0!</v>
      </c>
      <c r="AG99" s="175" t="e">
        <f t="shared" si="20"/>
        <v>#DIV/0!</v>
      </c>
      <c r="AH99" s="175" t="e">
        <f t="shared" si="20"/>
        <v>#DIV/0!</v>
      </c>
      <c r="AI99" s="175" t="e">
        <f t="shared" si="20"/>
        <v>#DIV/0!</v>
      </c>
      <c r="AJ99" s="175" t="e">
        <f t="shared" si="20"/>
        <v>#DIV/0!</v>
      </c>
      <c r="AK99" s="175" t="e">
        <f t="shared" si="20"/>
        <v>#DIV/0!</v>
      </c>
      <c r="AL99" s="175" t="e">
        <f t="shared" si="20"/>
        <v>#DIV/0!</v>
      </c>
      <c r="AM99" s="175" t="e">
        <f t="shared" si="20"/>
        <v>#DIV/0!</v>
      </c>
      <c r="AN99" s="175" t="e">
        <f t="shared" si="20"/>
        <v>#DIV/0!</v>
      </c>
    </row>
    <row r="100" spans="2:40" x14ac:dyDescent="0.15">
      <c r="B100" s="423" t="s">
        <v>32</v>
      </c>
      <c r="C100" s="132" t="s">
        <v>1166</v>
      </c>
      <c r="D100" s="98" cm="1">
        <f t="array" ref="D100">SUM(SUMIFS('caseload data'!E:E,'caseload data'!$D:$D,"PO",'caseload data'!$A:$A,$B$100,'caseload data'!$B:$B,{"licence","community"}))</f>
        <v>0</v>
      </c>
      <c r="E100" s="98" cm="1">
        <f t="array" ref="E100">SUM(SUMIFS('caseload data'!F:F,'caseload data'!$D:$D,"PO",'caseload data'!$A:$A,$B$100,'caseload data'!$B:$B,{"licence","community"}))</f>
        <v>0</v>
      </c>
      <c r="F100" s="98" cm="1">
        <f t="array" ref="F100">SUM(SUMIFS('caseload data'!G:G,'caseload data'!$D:$D,"PO",'caseload data'!$A:$A,$B$100,'caseload data'!$B:$B,{"licence","community"}))</f>
        <v>0</v>
      </c>
      <c r="G100" s="98" cm="1">
        <f t="array" ref="G100">SUM(SUMIFS('caseload data'!H:H,'caseload data'!$D:$D,"PO",'caseload data'!$A:$A,$B$100,'caseload data'!$B:$B,{"licence","community"}))</f>
        <v>0</v>
      </c>
      <c r="H100" s="98" cm="1">
        <f t="array" ref="H100">SUM(SUMIFS('caseload data'!I:I,'caseload data'!$D:$D,"PO",'caseload data'!$A:$A,$B$100,'caseload data'!$B:$B,{"licence","community"}))</f>
        <v>0</v>
      </c>
      <c r="I100" s="98" cm="1">
        <f t="array" ref="I100">SUM(SUMIFS('caseload data'!J:J,'caseload data'!$D:$D,"PO",'caseload data'!$A:$A,$B$100,'caseload data'!$B:$B,{"licence","community"}))</f>
        <v>0</v>
      </c>
      <c r="J100" s="98" cm="1">
        <f t="array" ref="J100">SUM(SUMIFS('caseload data'!K:K,'caseload data'!$D:$D,"PO",'caseload data'!$A:$A,$B$100,'caseload data'!$B:$B,{"licence","community"}))</f>
        <v>0</v>
      </c>
      <c r="K100" s="98" cm="1">
        <f t="array" ref="K100">SUM(SUMIFS('caseload data'!L:L,'caseload data'!$D:$D,"PO",'caseload data'!$A:$A,$B$100,'caseload data'!$B:$B,{"licence","community"}))</f>
        <v>0</v>
      </c>
      <c r="L100" s="98" cm="1">
        <f t="array" ref="L100">SUM(SUMIFS('caseload data'!M:M,'caseload data'!$D:$D,"PO",'caseload data'!$A:$A,$B$100,'caseload data'!$B:$B,{"licence","community"}))</f>
        <v>0</v>
      </c>
      <c r="M100" s="98" cm="1">
        <f t="array" ref="M100">SUM(SUMIFS('caseload data'!N:N,'caseload data'!$D:$D,"PO",'caseload data'!$A:$A,$B$100,'caseload data'!$B:$B,{"licence","community"}))</f>
        <v>0</v>
      </c>
      <c r="N100" s="98" cm="1">
        <f t="array" ref="N100">SUM(SUMIFS('caseload data'!O:O,'caseload data'!$D:$D,"PO",'caseload data'!$A:$A,$B$100,'caseload data'!$B:$B,{"licence","community"}))</f>
        <v>0</v>
      </c>
      <c r="O100" s="98" cm="1">
        <f t="array" ref="O100">SUM(SUMIFS('caseload data'!P:P,'caseload data'!$D:$D,"PO",'caseload data'!$A:$A,$B$100,'caseload data'!$B:$B,{"licence","community"}))</f>
        <v>0</v>
      </c>
      <c r="P100" s="98" cm="1">
        <f t="array" ref="P100">SUM(SUMIFS('caseload data'!Q:Q,'caseload data'!$D:$D,"PO",'caseload data'!$A:$A,$B$100,'caseload data'!$B:$B,{"licence","community"}))</f>
        <v>0</v>
      </c>
      <c r="Q100" s="98" cm="1">
        <f t="array" ref="Q100">SUM(SUMIFS('caseload data'!R:R,'caseload data'!$D:$D,"PO",'caseload data'!$A:$A,$B$100,'caseload data'!$B:$B,{"licence","community"}))</f>
        <v>0</v>
      </c>
      <c r="R100" s="98" cm="1">
        <f t="array" ref="R100">SUM(SUMIFS('caseload data'!S:S,'caseload data'!$D:$D,"PO",'caseload data'!$A:$A,$B$100,'caseload data'!$B:$B,{"licence","community"}))</f>
        <v>0</v>
      </c>
      <c r="S100" s="98" cm="1">
        <f t="array" ref="S100">SUM(SUMIFS('caseload data'!T:T,'caseload data'!$D:$D,"PO",'caseload data'!$A:$A,$B$100,'caseload data'!$B:$B,{"licence","community"}))</f>
        <v>0</v>
      </c>
      <c r="T100" s="98" cm="1">
        <f t="array" ref="T100">SUM(SUMIFS('caseload data'!V:V,'caseload data'!D:D,"PO",'caseload data'!A:A,B100,'caseload data'!B:B,{"licence","community"}))</f>
        <v>0</v>
      </c>
      <c r="U100" s="68"/>
      <c r="V100" s="68"/>
      <c r="W100" s="423" t="s">
        <v>32</v>
      </c>
      <c r="X100" s="132" t="s">
        <v>1166</v>
      </c>
      <c r="Y100" s="175" t="e">
        <f>SUM(D100)/SUM(D$100:D$103)</f>
        <v>#DIV/0!</v>
      </c>
      <c r="Z100" s="175" t="e">
        <f t="shared" ref="Z100:AN103" si="21">SUM(E100)/SUM(E$100:E$103)</f>
        <v>#DIV/0!</v>
      </c>
      <c r="AA100" s="175" t="e">
        <f t="shared" si="21"/>
        <v>#DIV/0!</v>
      </c>
      <c r="AB100" s="175" t="e">
        <f t="shared" si="21"/>
        <v>#DIV/0!</v>
      </c>
      <c r="AC100" s="175" t="e">
        <f t="shared" si="21"/>
        <v>#DIV/0!</v>
      </c>
      <c r="AD100" s="175" t="e">
        <f t="shared" si="21"/>
        <v>#DIV/0!</v>
      </c>
      <c r="AE100" s="175" t="e">
        <f t="shared" si="21"/>
        <v>#DIV/0!</v>
      </c>
      <c r="AF100" s="175" t="e">
        <f t="shared" si="21"/>
        <v>#DIV/0!</v>
      </c>
      <c r="AG100" s="175" t="e">
        <f t="shared" si="21"/>
        <v>#DIV/0!</v>
      </c>
      <c r="AH100" s="175" t="e">
        <f t="shared" si="21"/>
        <v>#DIV/0!</v>
      </c>
      <c r="AI100" s="175" t="e">
        <f t="shared" si="21"/>
        <v>#DIV/0!</v>
      </c>
      <c r="AJ100" s="175" t="e">
        <f t="shared" si="21"/>
        <v>#DIV/0!</v>
      </c>
      <c r="AK100" s="175" t="e">
        <f t="shared" si="21"/>
        <v>#DIV/0!</v>
      </c>
      <c r="AL100" s="175" t="e">
        <f t="shared" si="21"/>
        <v>#DIV/0!</v>
      </c>
      <c r="AM100" s="175" t="e">
        <f t="shared" si="21"/>
        <v>#DIV/0!</v>
      </c>
      <c r="AN100" s="175" t="e">
        <f t="shared" si="21"/>
        <v>#DIV/0!</v>
      </c>
    </row>
    <row r="101" spans="2:40" x14ac:dyDescent="0.15">
      <c r="B101" s="424"/>
      <c r="C101" s="133" t="s">
        <v>1172</v>
      </c>
      <c r="D101" s="98" cm="1">
        <f t="array" ref="D101">SUM(SUMIFS('caseload data'!E:E,'caseload data'!$D:$D,"PSO",'caseload data'!$A:$A,"Wales",'caseload data'!$B:$B,{"licence","community"}))</f>
        <v>0</v>
      </c>
      <c r="E101" s="98" cm="1">
        <f t="array" ref="E101">SUM(SUMIFS('caseload data'!F:F,'caseload data'!$D:$D,"PSO",'caseload data'!$A:$A,"Wales",'caseload data'!$B:$B,{"licence","community"}))</f>
        <v>0</v>
      </c>
      <c r="F101" s="98" cm="1">
        <f t="array" ref="F101">SUM(SUMIFS('caseload data'!G:G,'caseload data'!$D:$D,"PSO",'caseload data'!$A:$A,"Wales",'caseload data'!$B:$B,{"licence","community"}))</f>
        <v>0</v>
      </c>
      <c r="G101" s="98" cm="1">
        <f t="array" ref="G101">SUM(SUMIFS('caseload data'!H:H,'caseload data'!$D:$D,"PSO",'caseload data'!$A:$A,"Wales",'caseload data'!$B:$B,{"licence","community"}))</f>
        <v>0</v>
      </c>
      <c r="H101" s="98" cm="1">
        <f t="array" ref="H101">SUM(SUMIFS('caseload data'!I:I,'caseload data'!$D:$D,"PSO",'caseload data'!$A:$A,"Wales",'caseload data'!$B:$B,{"licence","community"}))</f>
        <v>0</v>
      </c>
      <c r="I101" s="98" cm="1">
        <f t="array" ref="I101">SUM(SUMIFS('caseload data'!J:J,'caseload data'!$D:$D,"PSO",'caseload data'!$A:$A,"Wales",'caseload data'!$B:$B,{"licence","community"}))</f>
        <v>0</v>
      </c>
      <c r="J101" s="98" cm="1">
        <f t="array" ref="J101">SUM(SUMIFS('caseload data'!K:K,'caseload data'!$D:$D,"PSO",'caseload data'!$A:$A,"Wales",'caseload data'!$B:$B,{"licence","community"}))</f>
        <v>0</v>
      </c>
      <c r="K101" s="98" cm="1">
        <f t="array" ref="K101">SUM(SUMIFS('caseload data'!L:L,'caseload data'!$D:$D,"PSO",'caseload data'!$A:$A,"Wales",'caseload data'!$B:$B,{"licence","community"}))</f>
        <v>0</v>
      </c>
      <c r="L101" s="98" cm="1">
        <f t="array" ref="L101">SUM(SUMIFS('caseload data'!M:M,'caseload data'!$D:$D,"PSO",'caseload data'!$A:$A,"Wales",'caseload data'!$B:$B,{"licence","community"}))</f>
        <v>0</v>
      </c>
      <c r="M101" s="98" cm="1">
        <f t="array" ref="M101">SUM(SUMIFS('caseload data'!N:N,'caseload data'!$D:$D,"PSO",'caseload data'!$A:$A,"Wales",'caseload data'!$B:$B,{"licence","community"}))</f>
        <v>0</v>
      </c>
      <c r="N101" s="98" cm="1">
        <f t="array" ref="N101">SUM(SUMIFS('caseload data'!O:O,'caseload data'!$D:$D,"PSO",'caseload data'!$A:$A,"Wales",'caseload data'!$B:$B,{"licence","community"}))</f>
        <v>0</v>
      </c>
      <c r="O101" s="98" cm="1">
        <f t="array" ref="O101">SUM(SUMIFS('caseload data'!P:P,'caseload data'!$D:$D,"PSO",'caseload data'!$A:$A,"Wales",'caseload data'!$B:$B,{"licence","community"}))</f>
        <v>0</v>
      </c>
      <c r="P101" s="98" cm="1">
        <f t="array" ref="P101">SUM(SUMIFS('caseload data'!Q:Q,'caseload data'!$D:$D,"PSO",'caseload data'!$A:$A,"Wales",'caseload data'!$B:$B,{"licence","community"}))</f>
        <v>0</v>
      </c>
      <c r="Q101" s="98" cm="1">
        <f t="array" ref="Q101">SUM(SUMIFS('caseload data'!R:R,'caseload data'!$D:$D,"PSO",'caseload data'!$A:$A,"Wales",'caseload data'!$B:$B,{"licence","community"}))</f>
        <v>0</v>
      </c>
      <c r="R101" s="98" cm="1">
        <f t="array" ref="R101">SUM(SUMIFS('caseload data'!S:S,'caseload data'!$D:$D,"PSO",'caseload data'!$A:$A,"Wales",'caseload data'!$B:$B,{"licence","community"}))</f>
        <v>0</v>
      </c>
      <c r="S101" s="98" cm="1">
        <f t="array" ref="S101">SUM(SUMIFS('caseload data'!T:T,'caseload data'!$D:$D,"PSO",'caseload data'!$A:$A,"Wales",'caseload data'!$B:$B,{"licence","community"}))</f>
        <v>0</v>
      </c>
      <c r="T101" s="98" cm="1">
        <f t="array" ref="T101">SUM(SUMIFS('caseload data'!V:V,'caseload data'!$D:$D,"PSO",'caseload data'!$A:$A,"Wales",'caseload data'!$B:$B,{"licence","community"}))</f>
        <v>0</v>
      </c>
      <c r="U101" s="68"/>
      <c r="V101" s="68"/>
      <c r="W101" s="424"/>
      <c r="X101" s="133" t="s">
        <v>1172</v>
      </c>
      <c r="Y101" s="175" t="e">
        <f>SUM(D101)/SUM(D$100:D$103)</f>
        <v>#DIV/0!</v>
      </c>
      <c r="Z101" s="175" t="e">
        <f t="shared" si="21"/>
        <v>#DIV/0!</v>
      </c>
      <c r="AA101" s="175" t="e">
        <f t="shared" si="21"/>
        <v>#DIV/0!</v>
      </c>
      <c r="AB101" s="175" t="e">
        <f t="shared" si="21"/>
        <v>#DIV/0!</v>
      </c>
      <c r="AC101" s="175" t="e">
        <f t="shared" si="21"/>
        <v>#DIV/0!</v>
      </c>
      <c r="AD101" s="175" t="e">
        <f t="shared" si="21"/>
        <v>#DIV/0!</v>
      </c>
      <c r="AE101" s="175" t="e">
        <f t="shared" si="21"/>
        <v>#DIV/0!</v>
      </c>
      <c r="AF101" s="175" t="e">
        <f t="shared" si="21"/>
        <v>#DIV/0!</v>
      </c>
      <c r="AG101" s="175" t="e">
        <f t="shared" si="21"/>
        <v>#DIV/0!</v>
      </c>
      <c r="AH101" s="175" t="e">
        <f t="shared" si="21"/>
        <v>#DIV/0!</v>
      </c>
      <c r="AI101" s="175" t="e">
        <f t="shared" si="21"/>
        <v>#DIV/0!</v>
      </c>
      <c r="AJ101" s="175" t="e">
        <f t="shared" si="21"/>
        <v>#DIV/0!</v>
      </c>
      <c r="AK101" s="175" t="e">
        <f t="shared" si="21"/>
        <v>#DIV/0!</v>
      </c>
      <c r="AL101" s="175" t="e">
        <f t="shared" si="21"/>
        <v>#DIV/0!</v>
      </c>
      <c r="AM101" s="175" t="e">
        <f t="shared" si="21"/>
        <v>#DIV/0!</v>
      </c>
      <c r="AN101" s="175" t="e">
        <f t="shared" si="21"/>
        <v>#DIV/0!</v>
      </c>
    </row>
    <row r="102" spans="2:40" x14ac:dyDescent="0.15">
      <c r="B102" s="424"/>
      <c r="C102" s="133" t="s">
        <v>1173</v>
      </c>
      <c r="D102" s="98" cm="1">
        <f t="array" ref="D102">SUM(SUMIFS('caseload data'!E:E,'caseload data'!$D:$D,"TPO",'caseload data'!$A:$A,"Wales",'caseload data'!$B:$B,{"licence","community"}))</f>
        <v>0</v>
      </c>
      <c r="E102" s="98" cm="1">
        <f t="array" ref="E102">SUM(SUMIFS('caseload data'!F:F,'caseload data'!$D:$D,"TPO",'caseload data'!$A:$A,"Wales",'caseload data'!$B:$B,{"licence","community"}))</f>
        <v>0</v>
      </c>
      <c r="F102" s="98" cm="1">
        <f t="array" ref="F102">SUM(SUMIFS('caseload data'!G:G,'caseload data'!$D:$D,"TPO",'caseload data'!$A:$A,"Wales",'caseload data'!$B:$B,{"licence","community"}))</f>
        <v>0</v>
      </c>
      <c r="G102" s="98" cm="1">
        <f t="array" ref="G102">SUM(SUMIFS('caseload data'!H:H,'caseload data'!$D:$D,"TPO",'caseload data'!$A:$A,"Wales",'caseload data'!$B:$B,{"licence","community"}))</f>
        <v>0</v>
      </c>
      <c r="H102" s="98" cm="1">
        <f t="array" ref="H102">SUM(SUMIFS('caseload data'!I:I,'caseload data'!$D:$D,"TPO",'caseload data'!$A:$A,"Wales",'caseload data'!$B:$B,{"licence","community"}))</f>
        <v>0</v>
      </c>
      <c r="I102" s="98" cm="1">
        <f t="array" ref="I102">SUM(SUMIFS('caseload data'!J:J,'caseload data'!$D:$D,"TPO",'caseload data'!$A:$A,"Wales",'caseload data'!$B:$B,{"licence","community"}))</f>
        <v>0</v>
      </c>
      <c r="J102" s="98" cm="1">
        <f t="array" ref="J102">SUM(SUMIFS('caseload data'!K:K,'caseload data'!$D:$D,"TPO",'caseload data'!$A:$A,"Wales",'caseload data'!$B:$B,{"licence","community"}))</f>
        <v>0</v>
      </c>
      <c r="K102" s="98" cm="1">
        <f t="array" ref="K102">SUM(SUMIFS('caseload data'!L:L,'caseload data'!$D:$D,"TPO",'caseload data'!$A:$A,"Wales",'caseload data'!$B:$B,{"licence","community"}))</f>
        <v>0</v>
      </c>
      <c r="L102" s="98" cm="1">
        <f t="array" ref="L102">SUM(SUMIFS('caseload data'!M:M,'caseload data'!$D:$D,"TPO",'caseload data'!$A:$A,"Wales",'caseload data'!$B:$B,{"licence","community"}))</f>
        <v>0</v>
      </c>
      <c r="M102" s="98" cm="1">
        <f t="array" ref="M102">SUM(SUMIFS('caseload data'!N:N,'caseload data'!$D:$D,"TPO",'caseload data'!$A:$A,"Wales",'caseload data'!$B:$B,{"licence","community"}))</f>
        <v>0</v>
      </c>
      <c r="N102" s="98" cm="1">
        <f t="array" ref="N102">SUM(SUMIFS('caseload data'!O:O,'caseload data'!$D:$D,"TPO",'caseload data'!$A:$A,"Wales",'caseload data'!$B:$B,{"licence","community"}))</f>
        <v>0</v>
      </c>
      <c r="O102" s="98" cm="1">
        <f t="array" ref="O102">SUM(SUMIFS('caseload data'!P:P,'caseload data'!$D:$D,"TPO",'caseload data'!$A:$A,"Wales",'caseload data'!$B:$B,{"licence","community"}))</f>
        <v>0</v>
      </c>
      <c r="P102" s="98" cm="1">
        <f t="array" ref="P102">SUM(SUMIFS('caseload data'!Q:Q,'caseload data'!$D:$D,"TPO",'caseload data'!$A:$A,"Wales",'caseload data'!$B:$B,{"licence","community"}))</f>
        <v>0</v>
      </c>
      <c r="Q102" s="98" cm="1">
        <f t="array" ref="Q102">SUM(SUMIFS('caseload data'!R:R,'caseload data'!$D:$D,"TPO",'caseload data'!$A:$A,"Wales",'caseload data'!$B:$B,{"licence","community"}))</f>
        <v>0</v>
      </c>
      <c r="R102" s="98" cm="1">
        <f t="array" ref="R102">SUM(SUMIFS('caseload data'!S:S,'caseload data'!$D:$D,"TPO",'caseload data'!$A:$A,"Wales",'caseload data'!$B:$B,{"licence","community"}))</f>
        <v>0</v>
      </c>
      <c r="S102" s="98" cm="1">
        <f t="array" ref="S102">SUM(SUMIFS('caseload data'!T:T,'caseload data'!$D:$D,"TPO",'caseload data'!$A:$A,"Wales",'caseload data'!$B:$B,{"licence","community"}))</f>
        <v>0</v>
      </c>
      <c r="T102" s="98" cm="1">
        <f t="array" ref="T102">SUM(SUMIFS('caseload data'!V:V,'caseload data'!D:D,"TPO",'caseload data'!A:A,"Wales",'caseload data'!B:B,{"licence","community"}))</f>
        <v>0</v>
      </c>
      <c r="U102" s="68"/>
      <c r="V102" s="68"/>
      <c r="W102" s="424"/>
      <c r="X102" s="133" t="s">
        <v>1173</v>
      </c>
      <c r="Y102" s="175" t="e">
        <f>SUM(D102)/SUM(D$100:D$103)</f>
        <v>#DIV/0!</v>
      </c>
      <c r="Z102" s="175" t="e">
        <f t="shared" si="21"/>
        <v>#DIV/0!</v>
      </c>
      <c r="AA102" s="175" t="e">
        <f t="shared" si="21"/>
        <v>#DIV/0!</v>
      </c>
      <c r="AB102" s="175" t="e">
        <f t="shared" si="21"/>
        <v>#DIV/0!</v>
      </c>
      <c r="AC102" s="175" t="e">
        <f t="shared" si="21"/>
        <v>#DIV/0!</v>
      </c>
      <c r="AD102" s="175" t="e">
        <f t="shared" si="21"/>
        <v>#DIV/0!</v>
      </c>
      <c r="AE102" s="175" t="e">
        <f t="shared" si="21"/>
        <v>#DIV/0!</v>
      </c>
      <c r="AF102" s="175" t="e">
        <f t="shared" si="21"/>
        <v>#DIV/0!</v>
      </c>
      <c r="AG102" s="175" t="e">
        <f t="shared" si="21"/>
        <v>#DIV/0!</v>
      </c>
      <c r="AH102" s="175" t="e">
        <f t="shared" si="21"/>
        <v>#DIV/0!</v>
      </c>
      <c r="AI102" s="175" t="e">
        <f t="shared" si="21"/>
        <v>#DIV/0!</v>
      </c>
      <c r="AJ102" s="175" t="e">
        <f t="shared" si="21"/>
        <v>#DIV/0!</v>
      </c>
      <c r="AK102" s="175" t="e">
        <f t="shared" si="21"/>
        <v>#DIV/0!</v>
      </c>
      <c r="AL102" s="175" t="e">
        <f t="shared" si="21"/>
        <v>#DIV/0!</v>
      </c>
      <c r="AM102" s="175" t="e">
        <f t="shared" si="21"/>
        <v>#DIV/0!</v>
      </c>
      <c r="AN102" s="175" t="e">
        <f t="shared" si="21"/>
        <v>#DIV/0!</v>
      </c>
    </row>
    <row r="103" spans="2:40" x14ac:dyDescent="0.15">
      <c r="B103" s="425"/>
      <c r="C103" s="134" t="s">
        <v>1174</v>
      </c>
      <c r="D103" s="98" cm="1">
        <f t="array" ref="D103">SUM(SUMIFS('caseload data'!E:E,'caseload data'!$D:$D,"SPO",'caseload data'!$A:$A,"Wales",'caseload data'!$B:$B,{"licence","community"}))</f>
        <v>0</v>
      </c>
      <c r="E103" s="98" cm="1">
        <f t="array" ref="E103">SUM(SUMIFS('caseload data'!F:F,'caseload data'!$D:$D,"SPO",'caseload data'!$A:$A,"Wales",'caseload data'!$B:$B,{"licence","community"}))</f>
        <v>0</v>
      </c>
      <c r="F103" s="98" cm="1">
        <f t="array" ref="F103">SUM(SUMIFS('caseload data'!G:G,'caseload data'!$D:$D,"SPO",'caseload data'!$A:$A,"Wales",'caseload data'!$B:$B,{"licence","community"}))</f>
        <v>0</v>
      </c>
      <c r="G103" s="98" cm="1">
        <f t="array" ref="G103">SUM(SUMIFS('caseload data'!H:H,'caseload data'!$D:$D,"SPO",'caseload data'!$A:$A,"Wales",'caseload data'!$B:$B,{"licence","community"}))</f>
        <v>0</v>
      </c>
      <c r="H103" s="98" cm="1">
        <f t="array" ref="H103">SUM(SUMIFS('caseload data'!I:I,'caseload data'!$D:$D,"SPO",'caseload data'!$A:$A,"Wales",'caseload data'!$B:$B,{"licence","community"}))</f>
        <v>0</v>
      </c>
      <c r="I103" s="98" cm="1">
        <f t="array" ref="I103">SUM(SUMIFS('caseload data'!J:J,'caseload data'!$D:$D,"SPO",'caseload data'!$A:$A,"Wales",'caseload data'!$B:$B,{"licence","community"}))</f>
        <v>0</v>
      </c>
      <c r="J103" s="98" cm="1">
        <f t="array" ref="J103">SUM(SUMIFS('caseload data'!K:K,'caseload data'!$D:$D,"SPO",'caseload data'!$A:$A,"Wales",'caseload data'!$B:$B,{"licence","community"}))</f>
        <v>0</v>
      </c>
      <c r="K103" s="98" cm="1">
        <f t="array" ref="K103">SUM(SUMIFS('caseload data'!L:L,'caseload data'!$D:$D,"SPO",'caseload data'!$A:$A,"Wales",'caseload data'!$B:$B,{"licence","community"}))</f>
        <v>0</v>
      </c>
      <c r="L103" s="98" cm="1">
        <f t="array" ref="L103">SUM(SUMIFS('caseload data'!M:M,'caseload data'!$D:$D,"SPO",'caseload data'!$A:$A,"Wales",'caseload data'!$B:$B,{"licence","community"}))</f>
        <v>0</v>
      </c>
      <c r="M103" s="98" cm="1">
        <f t="array" ref="M103">SUM(SUMIFS('caseload data'!N:N,'caseload data'!$D:$D,"SPO",'caseload data'!$A:$A,"Wales",'caseload data'!$B:$B,{"licence","community"}))</f>
        <v>0</v>
      </c>
      <c r="N103" s="98" cm="1">
        <f t="array" ref="N103">SUM(SUMIFS('caseload data'!O:O,'caseload data'!$D:$D,"SPO",'caseload data'!$A:$A,"Wales",'caseload data'!$B:$B,{"licence","community"}))</f>
        <v>0</v>
      </c>
      <c r="O103" s="98" cm="1">
        <f t="array" ref="O103">SUM(SUMIFS('caseload data'!P:P,'caseload data'!$D:$D,"SPO",'caseload data'!$A:$A,"Wales",'caseload data'!$B:$B,{"licence","community"}))</f>
        <v>0</v>
      </c>
      <c r="P103" s="98" cm="1">
        <f t="array" ref="P103">SUM(SUMIFS('caseload data'!Q:Q,'caseload data'!$D:$D,"SPO",'caseload data'!$A:$A,"Wales",'caseload data'!$B:$B,{"licence","community"}))</f>
        <v>0</v>
      </c>
      <c r="Q103" s="98" cm="1">
        <f t="array" ref="Q103">SUM(SUMIFS('caseload data'!R:R,'caseload data'!$D:$D,"SPO",'caseload data'!$A:$A,"Wales",'caseload data'!$B:$B,{"licence","community"}))</f>
        <v>0</v>
      </c>
      <c r="R103" s="98" cm="1">
        <f t="array" ref="R103">SUM(SUMIFS('caseload data'!S:S,'caseload data'!$D:$D,"SPO",'caseload data'!$A:$A,"Wales",'caseload data'!$B:$B,{"licence","community"}))</f>
        <v>0</v>
      </c>
      <c r="S103" s="98" cm="1">
        <f t="array" ref="S103">SUM(SUMIFS('caseload data'!T:T,'caseload data'!$D:$D,"SPO",'caseload data'!$A:$A,"Wales",'caseload data'!$B:$B,{"licence","community"}))</f>
        <v>0</v>
      </c>
      <c r="T103" s="98" cm="1">
        <f t="array" ref="T103">SUM(SUMIFS('caseload data'!V:V,'caseload data'!$D:$D,"SPO",'caseload data'!$A:$A,"Wales",'caseload data'!$B:$B,{"licence","community"}))</f>
        <v>0</v>
      </c>
      <c r="U103" s="68"/>
      <c r="V103" s="68"/>
      <c r="W103" s="425"/>
      <c r="X103" s="134" t="s">
        <v>1174</v>
      </c>
      <c r="Y103" s="175" t="e">
        <f>SUM(D103)/SUM(D$100:D$103)</f>
        <v>#DIV/0!</v>
      </c>
      <c r="Z103" s="175" t="e">
        <f t="shared" si="21"/>
        <v>#DIV/0!</v>
      </c>
      <c r="AA103" s="175" t="e">
        <f t="shared" si="21"/>
        <v>#DIV/0!</v>
      </c>
      <c r="AB103" s="175" t="e">
        <f t="shared" si="21"/>
        <v>#DIV/0!</v>
      </c>
      <c r="AC103" s="175" t="e">
        <f t="shared" si="21"/>
        <v>#DIV/0!</v>
      </c>
      <c r="AD103" s="175" t="e">
        <f t="shared" si="21"/>
        <v>#DIV/0!</v>
      </c>
      <c r="AE103" s="175" t="e">
        <f t="shared" si="21"/>
        <v>#DIV/0!</v>
      </c>
      <c r="AF103" s="175" t="e">
        <f t="shared" si="21"/>
        <v>#DIV/0!</v>
      </c>
      <c r="AG103" s="175" t="e">
        <f t="shared" si="21"/>
        <v>#DIV/0!</v>
      </c>
      <c r="AH103" s="175" t="e">
        <f t="shared" si="21"/>
        <v>#DIV/0!</v>
      </c>
      <c r="AI103" s="175" t="e">
        <f t="shared" si="21"/>
        <v>#DIV/0!</v>
      </c>
      <c r="AJ103" s="175" t="e">
        <f t="shared" si="21"/>
        <v>#DIV/0!</v>
      </c>
      <c r="AK103" s="175" t="e">
        <f t="shared" si="21"/>
        <v>#DIV/0!</v>
      </c>
      <c r="AL103" s="175" t="e">
        <f t="shared" si="21"/>
        <v>#DIV/0!</v>
      </c>
      <c r="AM103" s="175" t="e">
        <f t="shared" si="21"/>
        <v>#DIV/0!</v>
      </c>
      <c r="AN103" s="175" t="e">
        <f t="shared" si="21"/>
        <v>#DIV/0!</v>
      </c>
    </row>
    <row r="104" spans="2:40" x14ac:dyDescent="0.15">
      <c r="B104" s="423" t="s">
        <v>33</v>
      </c>
      <c r="C104" s="132" t="s">
        <v>1166</v>
      </c>
      <c r="D104" s="98" cm="1">
        <f t="array" ref="D104">SUM(SUMIFS('caseload data'!E:E,'caseload data'!$D:$D,"PO",'caseload data'!$A:$A,$B$104,'caseload data'!$B:$B,{"licence","community"}))</f>
        <v>0</v>
      </c>
      <c r="E104" s="98" cm="1">
        <f t="array" ref="E104">SUM(SUMIFS('caseload data'!F:F,'caseload data'!$D:$D,"PO",'caseload data'!$A:$A,$B$104,'caseload data'!$B:$B,{"licence","community"}))</f>
        <v>0</v>
      </c>
      <c r="F104" s="98" cm="1">
        <f t="array" ref="F104">SUM(SUMIFS('caseload data'!G:G,'caseload data'!$D:$D,"PO",'caseload data'!$A:$A,$B$104,'caseload data'!$B:$B,{"licence","community"}))</f>
        <v>0</v>
      </c>
      <c r="G104" s="98" cm="1">
        <f t="array" ref="G104">SUM(SUMIFS('caseload data'!H:H,'caseload data'!$D:$D,"PO",'caseload data'!$A:$A,$B$104,'caseload data'!$B:$B,{"licence","community"}))</f>
        <v>0</v>
      </c>
      <c r="H104" s="98" cm="1">
        <f t="array" ref="H104">SUM(SUMIFS('caseload data'!I:I,'caseload data'!$D:$D,"PO",'caseload data'!$A:$A,$B$104,'caseload data'!$B:$B,{"licence","community"}))</f>
        <v>0</v>
      </c>
      <c r="I104" s="98" cm="1">
        <f t="array" ref="I104">SUM(SUMIFS('caseload data'!J:J,'caseload data'!$D:$D,"PO",'caseload data'!$A:$A,$B$104,'caseload data'!$B:$B,{"licence","community"}))</f>
        <v>0</v>
      </c>
      <c r="J104" s="98" cm="1">
        <f t="array" ref="J104">SUM(SUMIFS('caseload data'!K:K,'caseload data'!$D:$D,"PO",'caseload data'!$A:$A,$B$104,'caseload data'!$B:$B,{"licence","community"}))</f>
        <v>0</v>
      </c>
      <c r="K104" s="98" cm="1">
        <f t="array" ref="K104">SUM(SUMIFS('caseload data'!L:L,'caseload data'!$D:$D,"PO",'caseload data'!$A:$A,$B$104,'caseload data'!$B:$B,{"licence","community"}))</f>
        <v>0</v>
      </c>
      <c r="L104" s="98" cm="1">
        <f t="array" ref="L104">SUM(SUMIFS('caseload data'!M:M,'caseload data'!$D:$D,"PO",'caseload data'!$A:$A,$B$104,'caseload data'!$B:$B,{"licence","community"}))</f>
        <v>0</v>
      </c>
      <c r="M104" s="98" cm="1">
        <f t="array" ref="M104">SUM(SUMIFS('caseload data'!N:N,'caseload data'!$D:$D,"PO",'caseload data'!$A:$A,$B$104,'caseload data'!$B:$B,{"licence","community"}))</f>
        <v>0</v>
      </c>
      <c r="N104" s="98" cm="1">
        <f t="array" ref="N104">SUM(SUMIFS('caseload data'!O:O,'caseload data'!$D:$D,"PO",'caseload data'!$A:$A,$B$104,'caseload data'!$B:$B,{"licence","community"}))</f>
        <v>0</v>
      </c>
      <c r="O104" s="98" cm="1">
        <f t="array" ref="O104">SUM(SUMIFS('caseload data'!P:P,'caseload data'!$D:$D,"PO",'caseload data'!$A:$A,$B$104,'caseload data'!$B:$B,{"licence","community"}))</f>
        <v>0</v>
      </c>
      <c r="P104" s="98" cm="1">
        <f t="array" ref="P104">SUM(SUMIFS('caseload data'!Q:Q,'caseload data'!$D:$D,"PO",'caseload data'!$A:$A,$B$104,'caseload data'!$B:$B,{"licence","community"}))</f>
        <v>0</v>
      </c>
      <c r="Q104" s="98" cm="1">
        <f t="array" ref="Q104">SUM(SUMIFS('caseload data'!R:R,'caseload data'!$D:$D,"PO",'caseload data'!$A:$A,$B$104,'caseload data'!$B:$B,{"licence","community"}))</f>
        <v>0</v>
      </c>
      <c r="R104" s="98" cm="1">
        <f t="array" ref="R104">SUM(SUMIFS('caseload data'!S:S,'caseload data'!$D:$D,"PO",'caseload data'!$A:$A,$B$104,'caseload data'!$B:$B,{"licence","community"}))</f>
        <v>0</v>
      </c>
      <c r="S104" s="98" cm="1">
        <f t="array" ref="S104">SUM(SUMIFS('caseload data'!T:T,'caseload data'!$D:$D,"PO",'caseload data'!$A:$A,$B$104,'caseload data'!$B:$B,{"licence","community"}))</f>
        <v>0</v>
      </c>
      <c r="T104" s="98">
        <f>SUM(SUMIFS('caseload data'!V:V,'caseload data'!D:D,"PO",'caseload data'!A:A,B104,'caseload data'!B:B,{"licence","community"}))</f>
        <v>0</v>
      </c>
      <c r="U104" s="68"/>
      <c r="V104" s="68"/>
      <c r="W104" s="423" t="s">
        <v>33</v>
      </c>
      <c r="X104" s="132" t="s">
        <v>1166</v>
      </c>
      <c r="Y104" s="175" t="e">
        <f>SUM(D104)/SUM(D$104:D$107)</f>
        <v>#DIV/0!</v>
      </c>
      <c r="Z104" s="175" t="e">
        <f t="shared" ref="Z104:AN107" si="22">SUM(E104)/SUM(E$104:E$107)</f>
        <v>#DIV/0!</v>
      </c>
      <c r="AA104" s="175" t="e">
        <f t="shared" si="22"/>
        <v>#DIV/0!</v>
      </c>
      <c r="AB104" s="175" t="e">
        <f t="shared" si="22"/>
        <v>#DIV/0!</v>
      </c>
      <c r="AC104" s="175" t="e">
        <f t="shared" si="22"/>
        <v>#DIV/0!</v>
      </c>
      <c r="AD104" s="175" t="e">
        <f t="shared" si="22"/>
        <v>#DIV/0!</v>
      </c>
      <c r="AE104" s="175" t="e">
        <f t="shared" si="22"/>
        <v>#DIV/0!</v>
      </c>
      <c r="AF104" s="175" t="e">
        <f t="shared" si="22"/>
        <v>#DIV/0!</v>
      </c>
      <c r="AG104" s="175" t="e">
        <f t="shared" si="22"/>
        <v>#DIV/0!</v>
      </c>
      <c r="AH104" s="175" t="e">
        <f t="shared" si="22"/>
        <v>#DIV/0!</v>
      </c>
      <c r="AI104" s="175" t="e">
        <f t="shared" si="22"/>
        <v>#DIV/0!</v>
      </c>
      <c r="AJ104" s="175" t="e">
        <f t="shared" si="22"/>
        <v>#DIV/0!</v>
      </c>
      <c r="AK104" s="175" t="e">
        <f t="shared" si="22"/>
        <v>#DIV/0!</v>
      </c>
      <c r="AL104" s="175" t="e">
        <f t="shared" si="22"/>
        <v>#DIV/0!</v>
      </c>
      <c r="AM104" s="175" t="e">
        <f t="shared" si="22"/>
        <v>#DIV/0!</v>
      </c>
      <c r="AN104" s="175" t="e">
        <f t="shared" si="22"/>
        <v>#DIV/0!</v>
      </c>
    </row>
    <row r="105" spans="2:40" x14ac:dyDescent="0.15">
      <c r="B105" s="424"/>
      <c r="C105" s="133" t="s">
        <v>1172</v>
      </c>
      <c r="D105" s="98" cm="1">
        <f t="array" ref="D105">SUM(SUMIFS('caseload data'!E:E,'caseload data'!$D:$D,"PSO",'caseload data'!$A:$A,"West Midlands Region",'caseload data'!$B:$B,{"licence","community"}))</f>
        <v>0</v>
      </c>
      <c r="E105" s="98" cm="1">
        <f t="array" ref="E105">SUM(SUMIFS('caseload data'!F:F,'caseload data'!$D:$D,"PSO",'caseload data'!$A:$A,"West Midlands Region",'caseload data'!$B:$B,{"licence","community"}))</f>
        <v>0</v>
      </c>
      <c r="F105" s="98" cm="1">
        <f t="array" ref="F105">SUM(SUMIFS('caseload data'!G:G,'caseload data'!$D:$D,"PSO",'caseload data'!$A:$A,"West Midlands Region",'caseload data'!$B:$B,{"licence","community"}))</f>
        <v>0</v>
      </c>
      <c r="G105" s="98" cm="1">
        <f t="array" ref="G105">SUM(SUMIFS('caseload data'!H:H,'caseload data'!$D:$D,"PSO",'caseload data'!$A:$A,"West Midlands Region",'caseload data'!$B:$B,{"licence","community"}))</f>
        <v>0</v>
      </c>
      <c r="H105" s="98" cm="1">
        <f t="array" ref="H105">SUM(SUMIFS('caseload data'!I:I,'caseload data'!$D:$D,"PSO",'caseload data'!$A:$A,"West Midlands Region",'caseload data'!$B:$B,{"licence","community"}))</f>
        <v>0</v>
      </c>
      <c r="I105" s="98" cm="1">
        <f t="array" ref="I105">SUM(SUMIFS('caseload data'!J:J,'caseload data'!$D:$D,"PSO",'caseload data'!$A:$A,"West Midlands Region",'caseload data'!$B:$B,{"licence","community"}))</f>
        <v>0</v>
      </c>
      <c r="J105" s="98" cm="1">
        <f t="array" ref="J105">SUM(SUMIFS('caseload data'!K:K,'caseload data'!$D:$D,"PSO",'caseload data'!$A:$A,"West Midlands Region",'caseload data'!$B:$B,{"licence","community"}))</f>
        <v>0</v>
      </c>
      <c r="K105" s="98" cm="1">
        <f t="array" ref="K105">SUM(SUMIFS('caseload data'!L:L,'caseload data'!$D:$D,"PSO",'caseload data'!$A:$A,"West Midlands Region",'caseload data'!$B:$B,{"licence","community"}))</f>
        <v>0</v>
      </c>
      <c r="L105" s="98" cm="1">
        <f t="array" ref="L105">SUM(SUMIFS('caseload data'!M:M,'caseload data'!$D:$D,"PSO",'caseload data'!$A:$A,"West Midlands Region",'caseload data'!$B:$B,{"licence","community"}))</f>
        <v>0</v>
      </c>
      <c r="M105" s="98" cm="1">
        <f t="array" ref="M105">SUM(SUMIFS('caseload data'!N:N,'caseload data'!$D:$D,"PSO",'caseload data'!$A:$A,"West Midlands Region",'caseload data'!$B:$B,{"licence","community"}))</f>
        <v>0</v>
      </c>
      <c r="N105" s="98" cm="1">
        <f t="array" ref="N105">SUM(SUMIFS('caseload data'!O:O,'caseload data'!$D:$D,"PSO",'caseload data'!$A:$A,"West Midlands Region",'caseload data'!$B:$B,{"licence","community"}))</f>
        <v>0</v>
      </c>
      <c r="O105" s="98" cm="1">
        <f t="array" ref="O105">SUM(SUMIFS('caseload data'!P:P,'caseload data'!$D:$D,"PSO",'caseload data'!$A:$A,"West Midlands Region",'caseload data'!$B:$B,{"licence","community"}))</f>
        <v>0</v>
      </c>
      <c r="P105" s="98" cm="1">
        <f t="array" ref="P105">SUM(SUMIFS('caseload data'!Q:Q,'caseload data'!$D:$D,"PSO",'caseload data'!$A:$A,"West Midlands Region",'caseload data'!$B:$B,{"licence","community"}))</f>
        <v>0</v>
      </c>
      <c r="Q105" s="98" cm="1">
        <f t="array" ref="Q105">SUM(SUMIFS('caseload data'!R:R,'caseload data'!$D:$D,"PSO",'caseload data'!$A:$A,"West Midlands Region",'caseload data'!$B:$B,{"licence","community"}))</f>
        <v>0</v>
      </c>
      <c r="R105" s="98" cm="1">
        <f t="array" ref="R105">SUM(SUMIFS('caseload data'!S:S,'caseload data'!$D:$D,"PSO",'caseload data'!$A:$A,"West Midlands Region",'caseload data'!$B:$B,{"licence","community"}))</f>
        <v>0</v>
      </c>
      <c r="S105" s="98" cm="1">
        <f t="array" ref="S105">SUM(SUMIFS('caseload data'!T:T,'caseload data'!$D:$D,"PSO",'caseload data'!$A:$A,"West Midlands Region",'caseload data'!$B:$B,{"licence","community"}))</f>
        <v>0</v>
      </c>
      <c r="T105" s="98" cm="1">
        <f t="array" ref="T105">SUM(SUMIFS('caseload data'!V:V,'caseload data'!$D:$D,"PSO",'caseload data'!$A:$A,"West Midlands Region",'caseload data'!$B:$B,{"licence","community"}))</f>
        <v>0</v>
      </c>
      <c r="U105" s="68"/>
      <c r="V105" s="68"/>
      <c r="W105" s="424"/>
      <c r="X105" s="133" t="s">
        <v>1172</v>
      </c>
      <c r="Y105" s="175" t="e">
        <f>SUM(D105)/SUM(D$104:D$107)</f>
        <v>#DIV/0!</v>
      </c>
      <c r="Z105" s="175" t="e">
        <f t="shared" si="22"/>
        <v>#DIV/0!</v>
      </c>
      <c r="AA105" s="175" t="e">
        <f t="shared" si="22"/>
        <v>#DIV/0!</v>
      </c>
      <c r="AB105" s="175" t="e">
        <f t="shared" si="22"/>
        <v>#DIV/0!</v>
      </c>
      <c r="AC105" s="175" t="e">
        <f t="shared" si="22"/>
        <v>#DIV/0!</v>
      </c>
      <c r="AD105" s="175" t="e">
        <f t="shared" si="22"/>
        <v>#DIV/0!</v>
      </c>
      <c r="AE105" s="175" t="e">
        <f t="shared" si="22"/>
        <v>#DIV/0!</v>
      </c>
      <c r="AF105" s="175" t="e">
        <f t="shared" si="22"/>
        <v>#DIV/0!</v>
      </c>
      <c r="AG105" s="175" t="e">
        <f t="shared" si="22"/>
        <v>#DIV/0!</v>
      </c>
      <c r="AH105" s="175" t="e">
        <f t="shared" si="22"/>
        <v>#DIV/0!</v>
      </c>
      <c r="AI105" s="175" t="e">
        <f t="shared" si="22"/>
        <v>#DIV/0!</v>
      </c>
      <c r="AJ105" s="175" t="e">
        <f t="shared" si="22"/>
        <v>#DIV/0!</v>
      </c>
      <c r="AK105" s="175" t="e">
        <f t="shared" si="22"/>
        <v>#DIV/0!</v>
      </c>
      <c r="AL105" s="175" t="e">
        <f t="shared" si="22"/>
        <v>#DIV/0!</v>
      </c>
      <c r="AM105" s="175" t="e">
        <f t="shared" si="22"/>
        <v>#DIV/0!</v>
      </c>
      <c r="AN105" s="175" t="e">
        <f t="shared" si="22"/>
        <v>#DIV/0!</v>
      </c>
    </row>
    <row r="106" spans="2:40" x14ac:dyDescent="0.15">
      <c r="B106" s="424"/>
      <c r="C106" s="133" t="s">
        <v>1173</v>
      </c>
      <c r="D106" s="98" cm="1">
        <f t="array" ref="D106">SUM(SUMIFS('caseload data'!E:E,'caseload data'!$D:$D,"TPO",'caseload data'!$A:$A,"West Midlands Region",'caseload data'!$B:$B,{"licence","community"}))</f>
        <v>0</v>
      </c>
      <c r="E106" s="98" cm="1">
        <f t="array" ref="E106">SUM(SUMIFS('caseload data'!F:F,'caseload data'!$D:$D,"TPO",'caseload data'!$A:$A,"West Midlands Region",'caseload data'!$B:$B,{"licence","community"}))</f>
        <v>0</v>
      </c>
      <c r="F106" s="98" cm="1">
        <f t="array" ref="F106">SUM(SUMIFS('caseload data'!G:G,'caseload data'!$D:$D,"TPO",'caseload data'!$A:$A,"West Midlands Region",'caseload data'!$B:$B,{"licence","community"}))</f>
        <v>0</v>
      </c>
      <c r="G106" s="98" cm="1">
        <f t="array" ref="G106">SUM(SUMIFS('caseload data'!H:H,'caseload data'!$D:$D,"TPO",'caseload data'!$A:$A,"West Midlands Region",'caseload data'!$B:$B,{"licence","community"}))</f>
        <v>0</v>
      </c>
      <c r="H106" s="98" cm="1">
        <f t="array" ref="H106">SUM(SUMIFS('caseload data'!I:I,'caseload data'!$D:$D,"TPO",'caseload data'!$A:$A,"West Midlands Region",'caseload data'!$B:$B,{"licence","community"}))</f>
        <v>0</v>
      </c>
      <c r="I106" s="98" cm="1">
        <f t="array" ref="I106">SUM(SUMIFS('caseload data'!J:J,'caseload data'!$D:$D,"TPO",'caseload data'!$A:$A,"West Midlands Region",'caseload data'!$B:$B,{"licence","community"}))</f>
        <v>0</v>
      </c>
      <c r="J106" s="98" cm="1">
        <f t="array" ref="J106">SUM(SUMIFS('caseload data'!K:K,'caseload data'!$D:$D,"TPO",'caseload data'!$A:$A,"West Midlands Region",'caseload data'!$B:$B,{"licence","community"}))</f>
        <v>0</v>
      </c>
      <c r="K106" s="98" cm="1">
        <f t="array" ref="K106">SUM(SUMIFS('caseload data'!L:L,'caseload data'!$D:$D,"TPO",'caseload data'!$A:$A,"West Midlands Region",'caseload data'!$B:$B,{"licence","community"}))</f>
        <v>0</v>
      </c>
      <c r="L106" s="98" cm="1">
        <f t="array" ref="L106">SUM(SUMIFS('caseload data'!M:M,'caseload data'!$D:$D,"TPO",'caseload data'!$A:$A,"West Midlands Region",'caseload data'!$B:$B,{"licence","community"}))</f>
        <v>0</v>
      </c>
      <c r="M106" s="98" cm="1">
        <f t="array" ref="M106">SUM(SUMIFS('caseload data'!N:N,'caseload data'!$D:$D,"TPO",'caseload data'!$A:$A,"West Midlands Region",'caseload data'!$B:$B,{"licence","community"}))</f>
        <v>0</v>
      </c>
      <c r="N106" s="98" cm="1">
        <f t="array" ref="N106">SUM(SUMIFS('caseload data'!O:O,'caseload data'!$D:$D,"TPO",'caseload data'!$A:$A,"West Midlands Region",'caseload data'!$B:$B,{"licence","community"}))</f>
        <v>0</v>
      </c>
      <c r="O106" s="98" cm="1">
        <f t="array" ref="O106">SUM(SUMIFS('caseload data'!P:P,'caseload data'!$D:$D,"TPO",'caseload data'!$A:$A,"West Midlands Region",'caseload data'!$B:$B,{"licence","community"}))</f>
        <v>0</v>
      </c>
      <c r="P106" s="98" cm="1">
        <f t="array" ref="P106">SUM(SUMIFS('caseload data'!Q:Q,'caseload data'!$D:$D,"TPO",'caseload data'!$A:$A,"West Midlands Region",'caseload data'!$B:$B,{"licence","community"}))</f>
        <v>0</v>
      </c>
      <c r="Q106" s="98" cm="1">
        <f t="array" ref="Q106">SUM(SUMIFS('caseload data'!R:R,'caseload data'!$D:$D,"TPO",'caseload data'!$A:$A,"West Midlands Region",'caseload data'!$B:$B,{"licence","community"}))</f>
        <v>0</v>
      </c>
      <c r="R106" s="98" cm="1">
        <f t="array" ref="R106">SUM(SUMIFS('caseload data'!S:S,'caseload data'!$D:$D,"TPO",'caseload data'!$A:$A,"West Midlands Region",'caseload data'!$B:$B,{"licence","community"}))</f>
        <v>0</v>
      </c>
      <c r="S106" s="98" cm="1">
        <f t="array" ref="S106">SUM(SUMIFS('caseload data'!T:T,'caseload data'!$D:$D,"TPO",'caseload data'!$A:$A,"West Midlands Region",'caseload data'!$B:$B,{"licence","community"}))</f>
        <v>0</v>
      </c>
      <c r="T106" s="98" cm="1">
        <f t="array" ref="T106">SUM(SUMIFS('caseload data'!V:V,'caseload data'!D:D,"TPO",'caseload data'!A:A,"West Midlands Region",'caseload data'!B:B,{"licence","community"}))</f>
        <v>0</v>
      </c>
      <c r="U106" s="68"/>
      <c r="V106" s="68"/>
      <c r="W106" s="424"/>
      <c r="X106" s="133" t="s">
        <v>1173</v>
      </c>
      <c r="Y106" s="175" t="e">
        <f>SUM(D106)/SUM(D$104:D$107)</f>
        <v>#DIV/0!</v>
      </c>
      <c r="Z106" s="175" t="e">
        <f t="shared" si="22"/>
        <v>#DIV/0!</v>
      </c>
      <c r="AA106" s="175" t="e">
        <f t="shared" si="22"/>
        <v>#DIV/0!</v>
      </c>
      <c r="AB106" s="175" t="e">
        <f t="shared" si="22"/>
        <v>#DIV/0!</v>
      </c>
      <c r="AC106" s="175" t="e">
        <f t="shared" si="22"/>
        <v>#DIV/0!</v>
      </c>
      <c r="AD106" s="175" t="e">
        <f t="shared" si="22"/>
        <v>#DIV/0!</v>
      </c>
      <c r="AE106" s="175" t="e">
        <f t="shared" si="22"/>
        <v>#DIV/0!</v>
      </c>
      <c r="AF106" s="175" t="e">
        <f t="shared" si="22"/>
        <v>#DIV/0!</v>
      </c>
      <c r="AG106" s="175" t="e">
        <f t="shared" si="22"/>
        <v>#DIV/0!</v>
      </c>
      <c r="AH106" s="175" t="e">
        <f t="shared" si="22"/>
        <v>#DIV/0!</v>
      </c>
      <c r="AI106" s="175" t="e">
        <f t="shared" si="22"/>
        <v>#DIV/0!</v>
      </c>
      <c r="AJ106" s="175" t="e">
        <f t="shared" si="22"/>
        <v>#DIV/0!</v>
      </c>
      <c r="AK106" s="175" t="e">
        <f t="shared" si="22"/>
        <v>#DIV/0!</v>
      </c>
      <c r="AL106" s="175" t="e">
        <f t="shared" si="22"/>
        <v>#DIV/0!</v>
      </c>
      <c r="AM106" s="175" t="e">
        <f t="shared" si="22"/>
        <v>#DIV/0!</v>
      </c>
      <c r="AN106" s="175" t="e">
        <f t="shared" si="22"/>
        <v>#DIV/0!</v>
      </c>
    </row>
    <row r="107" spans="2:40" x14ac:dyDescent="0.15">
      <c r="B107" s="425"/>
      <c r="C107" s="134" t="s">
        <v>1174</v>
      </c>
      <c r="D107" s="98" cm="1">
        <f t="array" ref="D107">SUM(SUMIFS('caseload data'!E:E,'caseload data'!$D:$D,"SPO",'caseload data'!$A:$A,"West Midlands Region",'caseload data'!$B:$B,{"licence","community"}))</f>
        <v>0</v>
      </c>
      <c r="E107" s="98" cm="1">
        <f t="array" ref="E107">SUM(SUMIFS('caseload data'!F:F,'caseload data'!$D:$D,"SPO",'caseload data'!$A:$A,"West Midlands Region",'caseload data'!$B:$B,{"licence","community"}))</f>
        <v>0</v>
      </c>
      <c r="F107" s="98" cm="1">
        <f t="array" ref="F107">SUM(SUMIFS('caseload data'!G:G,'caseload data'!$D:$D,"SPO",'caseload data'!$A:$A,"West Midlands Region",'caseload data'!$B:$B,{"licence","community"}))</f>
        <v>0</v>
      </c>
      <c r="G107" s="98" cm="1">
        <f t="array" ref="G107">SUM(SUMIFS('caseload data'!H:H,'caseload data'!$D:$D,"SPO",'caseload data'!$A:$A,"West Midlands Region",'caseload data'!$B:$B,{"licence","community"}))</f>
        <v>0</v>
      </c>
      <c r="H107" s="98" cm="1">
        <f t="array" ref="H107">SUM(SUMIFS('caseload data'!I:I,'caseload data'!$D:$D,"SPO",'caseload data'!$A:$A,"West Midlands Region",'caseload data'!$B:$B,{"licence","community"}))</f>
        <v>0</v>
      </c>
      <c r="I107" s="98" cm="1">
        <f t="array" ref="I107">SUM(SUMIFS('caseload data'!J:J,'caseload data'!$D:$D,"SPO",'caseload data'!$A:$A,"West Midlands Region",'caseload data'!$B:$B,{"licence","community"}))</f>
        <v>0</v>
      </c>
      <c r="J107" s="98" cm="1">
        <f t="array" ref="J107">SUM(SUMIFS('caseload data'!K:K,'caseload data'!$D:$D,"SPO",'caseload data'!$A:$A,"West Midlands Region",'caseload data'!$B:$B,{"licence","community"}))</f>
        <v>0</v>
      </c>
      <c r="K107" s="98" cm="1">
        <f t="array" ref="K107">SUM(SUMIFS('caseload data'!L:L,'caseload data'!$D:$D,"SPO",'caseload data'!$A:$A,"West Midlands Region",'caseload data'!$B:$B,{"licence","community"}))</f>
        <v>0</v>
      </c>
      <c r="L107" s="98" cm="1">
        <f t="array" ref="L107">SUM(SUMIFS('caseload data'!M:M,'caseload data'!$D:$D,"SPO",'caseload data'!$A:$A,"West Midlands Region",'caseload data'!$B:$B,{"licence","community"}))</f>
        <v>0</v>
      </c>
      <c r="M107" s="98" cm="1">
        <f t="array" ref="M107">SUM(SUMIFS('caseload data'!N:N,'caseload data'!$D:$D,"SPO",'caseload data'!$A:$A,"West Midlands Region",'caseload data'!$B:$B,{"licence","community"}))</f>
        <v>0</v>
      </c>
      <c r="N107" s="98" cm="1">
        <f t="array" ref="N107">SUM(SUMIFS('caseload data'!O:O,'caseload data'!$D:$D,"SPO",'caseload data'!$A:$A,"West Midlands Region",'caseload data'!$B:$B,{"licence","community"}))</f>
        <v>0</v>
      </c>
      <c r="O107" s="98" cm="1">
        <f t="array" ref="O107">SUM(SUMIFS('caseload data'!P:P,'caseload data'!$D:$D,"SPO",'caseload data'!$A:$A,"West Midlands Region",'caseload data'!$B:$B,{"licence","community"}))</f>
        <v>0</v>
      </c>
      <c r="P107" s="98" cm="1">
        <f t="array" ref="P107">SUM(SUMIFS('caseload data'!Q:Q,'caseload data'!$D:$D,"SPO",'caseload data'!$A:$A,"West Midlands Region",'caseload data'!$B:$B,{"licence","community"}))</f>
        <v>0</v>
      </c>
      <c r="Q107" s="98" cm="1">
        <f t="array" ref="Q107">SUM(SUMIFS('caseload data'!R:R,'caseload data'!$D:$D,"SPO",'caseload data'!$A:$A,"West Midlands Region",'caseload data'!$B:$B,{"licence","community"}))</f>
        <v>0</v>
      </c>
      <c r="R107" s="98" cm="1">
        <f t="array" ref="R107">SUM(SUMIFS('caseload data'!S:S,'caseload data'!$D:$D,"SPO",'caseload data'!$A:$A,"West Midlands Region",'caseload data'!$B:$B,{"licence","community"}))</f>
        <v>0</v>
      </c>
      <c r="S107" s="98" cm="1">
        <f t="array" ref="S107">SUM(SUMIFS('caseload data'!T:T,'caseload data'!$D:$D,"SPO",'caseload data'!$A:$A,"West Midlands Region",'caseload data'!$B:$B,{"licence","community"}))</f>
        <v>0</v>
      </c>
      <c r="T107" s="98" cm="1">
        <f t="array" ref="T107">SUM(SUMIFS('caseload data'!V:V,'caseload data'!$D:$D,"SPO",'caseload data'!$A:$A,"West Midlands Region",'caseload data'!$B:$B,{"licence","community"}))</f>
        <v>0</v>
      </c>
      <c r="U107" s="68"/>
      <c r="V107" s="68"/>
      <c r="W107" s="425"/>
      <c r="X107" s="134" t="s">
        <v>1174</v>
      </c>
      <c r="Y107" s="175" t="e">
        <f>SUM(D107)/SUM(D$104:D$107)</f>
        <v>#DIV/0!</v>
      </c>
      <c r="Z107" s="175" t="e">
        <f t="shared" si="22"/>
        <v>#DIV/0!</v>
      </c>
      <c r="AA107" s="175" t="e">
        <f t="shared" si="22"/>
        <v>#DIV/0!</v>
      </c>
      <c r="AB107" s="175" t="e">
        <f t="shared" si="22"/>
        <v>#DIV/0!</v>
      </c>
      <c r="AC107" s="175" t="e">
        <f t="shared" si="22"/>
        <v>#DIV/0!</v>
      </c>
      <c r="AD107" s="175" t="e">
        <f t="shared" si="22"/>
        <v>#DIV/0!</v>
      </c>
      <c r="AE107" s="175" t="e">
        <f t="shared" si="22"/>
        <v>#DIV/0!</v>
      </c>
      <c r="AF107" s="175" t="e">
        <f t="shared" si="22"/>
        <v>#DIV/0!</v>
      </c>
      <c r="AG107" s="175" t="e">
        <f t="shared" si="22"/>
        <v>#DIV/0!</v>
      </c>
      <c r="AH107" s="175" t="e">
        <f t="shared" si="22"/>
        <v>#DIV/0!</v>
      </c>
      <c r="AI107" s="175" t="e">
        <f t="shared" si="22"/>
        <v>#DIV/0!</v>
      </c>
      <c r="AJ107" s="175" t="e">
        <f t="shared" si="22"/>
        <v>#DIV/0!</v>
      </c>
      <c r="AK107" s="175" t="e">
        <f t="shared" si="22"/>
        <v>#DIV/0!</v>
      </c>
      <c r="AL107" s="175" t="e">
        <f t="shared" si="22"/>
        <v>#DIV/0!</v>
      </c>
      <c r="AM107" s="175" t="e">
        <f t="shared" si="22"/>
        <v>#DIV/0!</v>
      </c>
      <c r="AN107" s="175" t="e">
        <f t="shared" si="22"/>
        <v>#DIV/0!</v>
      </c>
    </row>
    <row r="108" spans="2:40" x14ac:dyDescent="0.15">
      <c r="B108" s="423" t="s">
        <v>34</v>
      </c>
      <c r="C108" s="132" t="s">
        <v>1166</v>
      </c>
      <c r="D108" s="98" cm="1">
        <f t="array" ref="D108">SUM(SUMIFS('caseload data'!E:E,'caseload data'!$D:$D,"PO",'caseload data'!$A:$A,$B$108,'caseload data'!$B:$B,{"licence","community"}))</f>
        <v>0</v>
      </c>
      <c r="E108" s="98" cm="1">
        <f t="array" ref="E108">SUM(SUMIFS('caseload data'!F:F,'caseload data'!$D:$D,"PO",'caseload data'!$A:$A,$B$108,'caseload data'!$B:$B,{"licence","community"}))</f>
        <v>0</v>
      </c>
      <c r="F108" s="98" cm="1">
        <f t="array" ref="F108">SUM(SUMIFS('caseload data'!G:G,'caseload data'!$D:$D,"PO",'caseload data'!$A:$A,$B$108,'caseload data'!$B:$B,{"licence","community"}))</f>
        <v>0</v>
      </c>
      <c r="G108" s="98" cm="1">
        <f t="array" ref="G108">SUM(SUMIFS('caseload data'!H:H,'caseload data'!$D:$D,"PO",'caseload data'!$A:$A,$B$108,'caseload data'!$B:$B,{"licence","community"}))</f>
        <v>0</v>
      </c>
      <c r="H108" s="98" cm="1">
        <f t="array" ref="H108">SUM(SUMIFS('caseload data'!I:I,'caseload data'!$D:$D,"PO",'caseload data'!$A:$A,$B$108,'caseload data'!$B:$B,{"licence","community"}))</f>
        <v>0</v>
      </c>
      <c r="I108" s="98" cm="1">
        <f t="array" ref="I108">SUM(SUMIFS('caseload data'!J:J,'caseload data'!$D:$D,"PO",'caseload data'!$A:$A,$B$108,'caseload data'!$B:$B,{"licence","community"}))</f>
        <v>0</v>
      </c>
      <c r="J108" s="98" cm="1">
        <f t="array" ref="J108">SUM(SUMIFS('caseload data'!K:K,'caseload data'!$D:$D,"PO",'caseload data'!$A:$A,$B$108,'caseload data'!$B:$B,{"licence","community"}))</f>
        <v>0</v>
      </c>
      <c r="K108" s="98" cm="1">
        <f t="array" ref="K108">SUM(SUMIFS('caseload data'!L:L,'caseload data'!$D:$D,"PO",'caseload data'!$A:$A,$B$108,'caseload data'!$B:$B,{"licence","community"}))</f>
        <v>0</v>
      </c>
      <c r="L108" s="98" cm="1">
        <f t="array" ref="L108">SUM(SUMIFS('caseload data'!M:M,'caseload data'!$D:$D,"PO",'caseload data'!$A:$A,$B$108,'caseload data'!$B:$B,{"licence","community"}))</f>
        <v>0</v>
      </c>
      <c r="M108" s="98" cm="1">
        <f t="array" ref="M108">SUM(SUMIFS('caseload data'!N:N,'caseload data'!$D:$D,"PO",'caseload data'!$A:$A,$B$108,'caseload data'!$B:$B,{"licence","community"}))</f>
        <v>0</v>
      </c>
      <c r="N108" s="98" cm="1">
        <f t="array" ref="N108">SUM(SUMIFS('caseload data'!O:O,'caseload data'!$D:$D,"PO",'caseload data'!$A:$A,$B$108,'caseload data'!$B:$B,{"licence","community"}))</f>
        <v>0</v>
      </c>
      <c r="O108" s="98" cm="1">
        <f t="array" ref="O108">SUM(SUMIFS('caseload data'!P:P,'caseload data'!$D:$D,"PO",'caseload data'!$A:$A,$B$108,'caseload data'!$B:$B,{"licence","community"}))</f>
        <v>0</v>
      </c>
      <c r="P108" s="98" cm="1">
        <f t="array" ref="P108">SUM(SUMIFS('caseload data'!Q:Q,'caseload data'!$D:$D,"PO",'caseload data'!$A:$A,$B$108,'caseload data'!$B:$B,{"licence","community"}))</f>
        <v>0</v>
      </c>
      <c r="Q108" s="98" cm="1">
        <f t="array" ref="Q108">SUM(SUMIFS('caseload data'!R:R,'caseload data'!$D:$D,"PO",'caseload data'!$A:$A,$B$108,'caseload data'!$B:$B,{"licence","community"}))</f>
        <v>0</v>
      </c>
      <c r="R108" s="98" cm="1">
        <f t="array" ref="R108">SUM(SUMIFS('caseload data'!S:S,'caseload data'!$D:$D,"PO",'caseload data'!$A:$A,$B$108,'caseload data'!$B:$B,{"licence","community"}))</f>
        <v>0</v>
      </c>
      <c r="S108" s="98" cm="1">
        <f t="array" ref="S108">SUM(SUMIFS('caseload data'!T:T,'caseload data'!$D:$D,"PO",'caseload data'!$A:$A,$B$108,'caseload data'!$B:$B,{"licence","community"}))</f>
        <v>0</v>
      </c>
      <c r="T108" s="98">
        <f>SUM(SUMIFS('caseload data'!V:V,'caseload data'!D:D,"PO",'caseload data'!A:A,B108,'caseload data'!B:B,{"licence","community"}))</f>
        <v>0</v>
      </c>
      <c r="U108" s="68"/>
      <c r="V108" s="68"/>
      <c r="W108" s="423" t="s">
        <v>34</v>
      </c>
      <c r="X108" s="132" t="s">
        <v>1166</v>
      </c>
      <c r="Y108" s="175" t="e">
        <f>SUM(D108)/SUM(D$108:D$111)</f>
        <v>#DIV/0!</v>
      </c>
      <c r="Z108" s="175" t="e">
        <f t="shared" ref="Z108:AN111" si="23">SUM(E108)/SUM(E$108:E$111)</f>
        <v>#DIV/0!</v>
      </c>
      <c r="AA108" s="175" t="e">
        <f t="shared" si="23"/>
        <v>#DIV/0!</v>
      </c>
      <c r="AB108" s="175" t="e">
        <f t="shared" si="23"/>
        <v>#DIV/0!</v>
      </c>
      <c r="AC108" s="175" t="e">
        <f t="shared" si="23"/>
        <v>#DIV/0!</v>
      </c>
      <c r="AD108" s="175" t="e">
        <f t="shared" si="23"/>
        <v>#DIV/0!</v>
      </c>
      <c r="AE108" s="175" t="e">
        <f t="shared" si="23"/>
        <v>#DIV/0!</v>
      </c>
      <c r="AF108" s="175" t="e">
        <f t="shared" si="23"/>
        <v>#DIV/0!</v>
      </c>
      <c r="AG108" s="175" t="e">
        <f t="shared" si="23"/>
        <v>#DIV/0!</v>
      </c>
      <c r="AH108" s="175" t="e">
        <f t="shared" si="23"/>
        <v>#DIV/0!</v>
      </c>
      <c r="AI108" s="175" t="e">
        <f t="shared" si="23"/>
        <v>#DIV/0!</v>
      </c>
      <c r="AJ108" s="175" t="e">
        <f t="shared" si="23"/>
        <v>#DIV/0!</v>
      </c>
      <c r="AK108" s="175" t="e">
        <f t="shared" si="23"/>
        <v>#DIV/0!</v>
      </c>
      <c r="AL108" s="175" t="e">
        <f t="shared" si="23"/>
        <v>#DIV/0!</v>
      </c>
      <c r="AM108" s="175" t="e">
        <f t="shared" si="23"/>
        <v>#DIV/0!</v>
      </c>
      <c r="AN108" s="175" t="e">
        <f t="shared" si="23"/>
        <v>#DIV/0!</v>
      </c>
    </row>
    <row r="109" spans="2:40" x14ac:dyDescent="0.15">
      <c r="B109" s="424"/>
      <c r="C109" s="133" t="s">
        <v>1172</v>
      </c>
      <c r="D109" s="98" cm="1">
        <f t="array" ref="D109">SUM(SUMIFS('caseload data'!E:E,'caseload data'!$D:$D,"PSO",'caseload data'!$A:$A,"Yorkshire and The Humber",'caseload data'!$B:$B,{"licence","community"}))</f>
        <v>0</v>
      </c>
      <c r="E109" s="98" cm="1">
        <f t="array" ref="E109">SUM(SUMIFS('caseload data'!F:F,'caseload data'!$D:$D,"PSO",'caseload data'!$A:$A,"Yorkshire and The Humber",'caseload data'!$B:$B,{"licence","community"}))</f>
        <v>0</v>
      </c>
      <c r="F109" s="98" cm="1">
        <f t="array" ref="F109">SUM(SUMIFS('caseload data'!G:G,'caseload data'!$D:$D,"PSO",'caseload data'!$A:$A,"Yorkshire and The Humber",'caseload data'!$B:$B,{"licence","community"}))</f>
        <v>0</v>
      </c>
      <c r="G109" s="98" cm="1">
        <f t="array" ref="G109">SUM(SUMIFS('caseload data'!H:H,'caseload data'!$D:$D,"PSO",'caseload data'!$A:$A,"Yorkshire and The Humber",'caseload data'!$B:$B,{"licence","community"}))</f>
        <v>0</v>
      </c>
      <c r="H109" s="98" cm="1">
        <f t="array" ref="H109">SUM(SUMIFS('caseload data'!I:I,'caseload data'!$D:$D,"PSO",'caseload data'!$A:$A,"Yorkshire and The Humber",'caseload data'!$B:$B,{"licence","community"}))</f>
        <v>0</v>
      </c>
      <c r="I109" s="98" cm="1">
        <f t="array" ref="I109">SUM(SUMIFS('caseload data'!J:J,'caseload data'!$D:$D,"PSO",'caseload data'!$A:$A,"Yorkshire and The Humber",'caseload data'!$B:$B,{"licence","community"}))</f>
        <v>0</v>
      </c>
      <c r="J109" s="98" cm="1">
        <f t="array" ref="J109">SUM(SUMIFS('caseload data'!K:K,'caseload data'!$D:$D,"PSO",'caseload data'!$A:$A,"Yorkshire and The Humber",'caseload data'!$B:$B,{"licence","community"}))</f>
        <v>0</v>
      </c>
      <c r="K109" s="98" cm="1">
        <f t="array" ref="K109">SUM(SUMIFS('caseload data'!L:L,'caseload data'!$D:$D,"PSO",'caseload data'!$A:$A,"Yorkshire and The Humber",'caseload data'!$B:$B,{"licence","community"}))</f>
        <v>0</v>
      </c>
      <c r="L109" s="98" cm="1">
        <f t="array" ref="L109">SUM(SUMIFS('caseload data'!M:M,'caseload data'!$D:$D,"PSO",'caseload data'!$A:$A,"Yorkshire and The Humber",'caseload data'!$B:$B,{"licence","community"}))</f>
        <v>0</v>
      </c>
      <c r="M109" s="98" cm="1">
        <f t="array" ref="M109">SUM(SUMIFS('caseload data'!N:N,'caseload data'!$D:$D,"PSO",'caseload data'!$A:$A,"Yorkshire and The Humber",'caseload data'!$B:$B,{"licence","community"}))</f>
        <v>0</v>
      </c>
      <c r="N109" s="98" cm="1">
        <f t="array" ref="N109">SUM(SUMIFS('caseload data'!O:O,'caseload data'!$D:$D,"PSO",'caseload data'!$A:$A,"Yorkshire and The Humber",'caseload data'!$B:$B,{"licence","community"}))</f>
        <v>0</v>
      </c>
      <c r="O109" s="98" cm="1">
        <f t="array" ref="O109">SUM(SUMIFS('caseload data'!P:P,'caseload data'!$D:$D,"PSO",'caseload data'!$A:$A,"Yorkshire and The Humber",'caseload data'!$B:$B,{"licence","community"}))</f>
        <v>0</v>
      </c>
      <c r="P109" s="98" cm="1">
        <f t="array" ref="P109">SUM(SUMIFS('caseload data'!Q:Q,'caseload data'!$D:$D,"PSO",'caseload data'!$A:$A,"Yorkshire and The Humber",'caseload data'!$B:$B,{"licence","community"}))</f>
        <v>0</v>
      </c>
      <c r="Q109" s="98" cm="1">
        <f t="array" ref="Q109">SUM(SUMIFS('caseload data'!R:R,'caseload data'!$D:$D,"PSO",'caseload data'!$A:$A,"Yorkshire and The Humber",'caseload data'!$B:$B,{"licence","community"}))</f>
        <v>0</v>
      </c>
      <c r="R109" s="98" cm="1">
        <f t="array" ref="R109">SUM(SUMIFS('caseload data'!S:S,'caseload data'!$D:$D,"PSO",'caseload data'!$A:$A,"Yorkshire and The Humber",'caseload data'!$B:$B,{"licence","community"}))</f>
        <v>0</v>
      </c>
      <c r="S109" s="98" cm="1">
        <f t="array" ref="S109">SUM(SUMIFS('caseload data'!T:T,'caseload data'!$D:$D,"PSO",'caseload data'!$A:$A,"Yorkshire and The Humber",'caseload data'!$B:$B,{"licence","community"}))</f>
        <v>0</v>
      </c>
      <c r="T109" s="98" cm="1">
        <f t="array" ref="T109">SUM(SUMIFS('caseload data'!V:V,'caseload data'!$D:$D,"PSO",'caseload data'!$A:$A,"Yorkshire and The Humber",'caseload data'!$B:$B,{"licence","community"}))</f>
        <v>0</v>
      </c>
      <c r="U109" s="68"/>
      <c r="V109" s="68"/>
      <c r="W109" s="424"/>
      <c r="X109" s="133" t="s">
        <v>1172</v>
      </c>
      <c r="Y109" s="175" t="e">
        <f>SUM(D109)/SUM(D$108:D$111)</f>
        <v>#DIV/0!</v>
      </c>
      <c r="Z109" s="175" t="e">
        <f t="shared" si="23"/>
        <v>#DIV/0!</v>
      </c>
      <c r="AA109" s="175" t="e">
        <f t="shared" si="23"/>
        <v>#DIV/0!</v>
      </c>
      <c r="AB109" s="175" t="e">
        <f t="shared" si="23"/>
        <v>#DIV/0!</v>
      </c>
      <c r="AC109" s="175" t="e">
        <f t="shared" si="23"/>
        <v>#DIV/0!</v>
      </c>
      <c r="AD109" s="175" t="e">
        <f t="shared" si="23"/>
        <v>#DIV/0!</v>
      </c>
      <c r="AE109" s="175" t="e">
        <f t="shared" si="23"/>
        <v>#DIV/0!</v>
      </c>
      <c r="AF109" s="175" t="e">
        <f t="shared" si="23"/>
        <v>#DIV/0!</v>
      </c>
      <c r="AG109" s="175" t="e">
        <f t="shared" si="23"/>
        <v>#DIV/0!</v>
      </c>
      <c r="AH109" s="175" t="e">
        <f t="shared" si="23"/>
        <v>#DIV/0!</v>
      </c>
      <c r="AI109" s="175" t="e">
        <f t="shared" si="23"/>
        <v>#DIV/0!</v>
      </c>
      <c r="AJ109" s="175" t="e">
        <f t="shared" si="23"/>
        <v>#DIV/0!</v>
      </c>
      <c r="AK109" s="175" t="e">
        <f t="shared" si="23"/>
        <v>#DIV/0!</v>
      </c>
      <c r="AL109" s="175" t="e">
        <f t="shared" si="23"/>
        <v>#DIV/0!</v>
      </c>
      <c r="AM109" s="175" t="e">
        <f t="shared" si="23"/>
        <v>#DIV/0!</v>
      </c>
      <c r="AN109" s="175" t="e">
        <f t="shared" si="23"/>
        <v>#DIV/0!</v>
      </c>
    </row>
    <row r="110" spans="2:40" x14ac:dyDescent="0.15">
      <c r="B110" s="424"/>
      <c r="C110" s="133" t="s">
        <v>1173</v>
      </c>
      <c r="D110" s="98" cm="1">
        <f t="array" ref="D110">SUM(SUMIFS('caseload data'!E:E,'caseload data'!$D:$D,"TPO",'caseload data'!$A:$A,"Yorkshire and The Humber",'caseload data'!$B:$B,{"licence","community"}))</f>
        <v>0</v>
      </c>
      <c r="E110" s="98" cm="1">
        <f t="array" ref="E110">SUM(SUMIFS('caseload data'!F:F,'caseload data'!$D:$D,"TPO",'caseload data'!$A:$A,"Yorkshire and The Humber",'caseload data'!$B:$B,{"licence","community"}))</f>
        <v>0</v>
      </c>
      <c r="F110" s="98" cm="1">
        <f t="array" ref="F110">SUM(SUMIFS('caseload data'!G:G,'caseload data'!$D:$D,"TPO",'caseload data'!$A:$A,"Yorkshire and The Humber",'caseload data'!$B:$B,{"licence","community"}))</f>
        <v>0</v>
      </c>
      <c r="G110" s="98" cm="1">
        <f t="array" ref="G110">SUM(SUMIFS('caseload data'!H:H,'caseload data'!$D:$D,"TPO",'caseload data'!$A:$A,"Yorkshire and The Humber",'caseload data'!$B:$B,{"licence","community"}))</f>
        <v>0</v>
      </c>
      <c r="H110" s="98" cm="1">
        <f t="array" ref="H110">SUM(SUMIFS('caseload data'!I:I,'caseload data'!$D:$D,"TPO",'caseload data'!$A:$A,"Yorkshire and The Humber",'caseload data'!$B:$B,{"licence","community"}))</f>
        <v>0</v>
      </c>
      <c r="I110" s="98" cm="1">
        <f t="array" ref="I110">SUM(SUMIFS('caseload data'!J:J,'caseload data'!$D:$D,"TPO",'caseload data'!$A:$A,"Yorkshire and The Humber",'caseload data'!$B:$B,{"licence","community"}))</f>
        <v>0</v>
      </c>
      <c r="J110" s="98" cm="1">
        <f t="array" ref="J110">SUM(SUMIFS('caseload data'!K:K,'caseload data'!$D:$D,"TPO",'caseload data'!$A:$A,"Yorkshire and The Humber",'caseload data'!$B:$B,{"licence","community"}))</f>
        <v>0</v>
      </c>
      <c r="K110" s="98" cm="1">
        <f t="array" ref="K110">SUM(SUMIFS('caseload data'!L:L,'caseload data'!$D:$D,"TPO",'caseload data'!$A:$A,"Yorkshire and The Humber",'caseload data'!$B:$B,{"licence","community"}))</f>
        <v>0</v>
      </c>
      <c r="L110" s="98" cm="1">
        <f t="array" ref="L110">SUM(SUMIFS('caseload data'!M:M,'caseload data'!$D:$D,"TPO",'caseload data'!$A:$A,"Yorkshire and The Humber",'caseload data'!$B:$B,{"licence","community"}))</f>
        <v>0</v>
      </c>
      <c r="M110" s="98" cm="1">
        <f t="array" ref="M110">SUM(SUMIFS('caseload data'!N:N,'caseload data'!$D:$D,"TPO",'caseload data'!$A:$A,"Yorkshire and The Humber",'caseload data'!$B:$B,{"licence","community"}))</f>
        <v>0</v>
      </c>
      <c r="N110" s="98" cm="1">
        <f t="array" ref="N110">SUM(SUMIFS('caseload data'!O:O,'caseload data'!$D:$D,"TPO",'caseload data'!$A:$A,"Yorkshire and The Humber",'caseload data'!$B:$B,{"licence","community"}))</f>
        <v>0</v>
      </c>
      <c r="O110" s="98" cm="1">
        <f t="array" ref="O110">SUM(SUMIFS('caseload data'!P:P,'caseload data'!$D:$D,"TPO",'caseload data'!$A:$A,"Yorkshire and The Humber",'caseload data'!$B:$B,{"licence","community"}))</f>
        <v>0</v>
      </c>
      <c r="P110" s="98" cm="1">
        <f t="array" ref="P110">SUM(SUMIFS('caseload data'!Q:Q,'caseload data'!$D:$D,"TPO",'caseload data'!$A:$A,"Yorkshire and The Humber",'caseload data'!$B:$B,{"licence","community"}))</f>
        <v>0</v>
      </c>
      <c r="Q110" s="98" cm="1">
        <f t="array" ref="Q110">SUM(SUMIFS('caseload data'!R:R,'caseload data'!$D:$D,"TPO",'caseload data'!$A:$A,"Yorkshire and The Humber",'caseload data'!$B:$B,{"licence","community"}))</f>
        <v>0</v>
      </c>
      <c r="R110" s="98" cm="1">
        <f t="array" ref="R110">SUM(SUMIFS('caseload data'!S:S,'caseload data'!$D:$D,"TPO",'caseload data'!$A:$A,"Yorkshire and The Humber",'caseload data'!$B:$B,{"licence","community"}))</f>
        <v>0</v>
      </c>
      <c r="S110" s="98" cm="1">
        <f t="array" ref="S110">SUM(SUMIFS('caseload data'!T:T,'caseload data'!$D:$D,"TPO",'caseload data'!$A:$A,"Yorkshire and The Humber",'caseload data'!$B:$B,{"licence","community"}))</f>
        <v>0</v>
      </c>
      <c r="T110" s="98" cm="1">
        <f t="array" ref="T110">SUM(SUMIFS('caseload data'!V:V,'caseload data'!D:D,"TPO",'caseload data'!A:A,"Yorkshire and The Humber",'caseload data'!B:B,{"licence","community"}))</f>
        <v>0</v>
      </c>
      <c r="U110" s="68"/>
      <c r="V110" s="68"/>
      <c r="W110" s="424"/>
      <c r="X110" s="133" t="s">
        <v>1173</v>
      </c>
      <c r="Y110" s="175" t="e">
        <f>SUM(D110)/SUM(D$108:D$111)</f>
        <v>#DIV/0!</v>
      </c>
      <c r="Z110" s="175" t="e">
        <f t="shared" si="23"/>
        <v>#DIV/0!</v>
      </c>
      <c r="AA110" s="175" t="e">
        <f t="shared" si="23"/>
        <v>#DIV/0!</v>
      </c>
      <c r="AB110" s="175" t="e">
        <f t="shared" si="23"/>
        <v>#DIV/0!</v>
      </c>
      <c r="AC110" s="175" t="e">
        <f t="shared" si="23"/>
        <v>#DIV/0!</v>
      </c>
      <c r="AD110" s="175" t="e">
        <f t="shared" si="23"/>
        <v>#DIV/0!</v>
      </c>
      <c r="AE110" s="175" t="e">
        <f t="shared" si="23"/>
        <v>#DIV/0!</v>
      </c>
      <c r="AF110" s="175" t="e">
        <f t="shared" si="23"/>
        <v>#DIV/0!</v>
      </c>
      <c r="AG110" s="175" t="e">
        <f t="shared" si="23"/>
        <v>#DIV/0!</v>
      </c>
      <c r="AH110" s="175" t="e">
        <f t="shared" si="23"/>
        <v>#DIV/0!</v>
      </c>
      <c r="AI110" s="175" t="e">
        <f t="shared" si="23"/>
        <v>#DIV/0!</v>
      </c>
      <c r="AJ110" s="175" t="e">
        <f t="shared" si="23"/>
        <v>#DIV/0!</v>
      </c>
      <c r="AK110" s="175" t="e">
        <f t="shared" si="23"/>
        <v>#DIV/0!</v>
      </c>
      <c r="AL110" s="175" t="e">
        <f t="shared" si="23"/>
        <v>#DIV/0!</v>
      </c>
      <c r="AM110" s="175" t="e">
        <f t="shared" si="23"/>
        <v>#DIV/0!</v>
      </c>
      <c r="AN110" s="175" t="e">
        <f t="shared" si="23"/>
        <v>#DIV/0!</v>
      </c>
    </row>
    <row r="111" spans="2:40" ht="15" thickBot="1" x14ac:dyDescent="0.2">
      <c r="B111" s="425"/>
      <c r="C111" s="134" t="s">
        <v>1174</v>
      </c>
      <c r="D111" s="98" cm="1">
        <f t="array" ref="D111">SUM(SUMIFS('caseload data'!E:E,'caseload data'!$D:$D,"SPO",'caseload data'!$A:$A,"Yorkshire and The Humber",'caseload data'!$B:$B,{"licence","community"}))</f>
        <v>0</v>
      </c>
      <c r="E111" s="98" cm="1">
        <f t="array" ref="E111">SUM(SUMIFS('caseload data'!F:F,'caseload data'!$D:$D,"SPO",'caseload data'!$A:$A,"Yorkshire and The Humber",'caseload data'!$B:$B,{"licence","community"}))</f>
        <v>0</v>
      </c>
      <c r="F111" s="98" cm="1">
        <f t="array" ref="F111">SUM(SUMIFS('caseload data'!G:G,'caseload data'!$D:$D,"SPO",'caseload data'!$A:$A,"Yorkshire and The Humber",'caseload data'!$B:$B,{"licence","community"}))</f>
        <v>0</v>
      </c>
      <c r="G111" s="98" cm="1">
        <f t="array" ref="G111">SUM(SUMIFS('caseload data'!H:H,'caseload data'!$D:$D,"SPO",'caseload data'!$A:$A,"Yorkshire and The Humber",'caseload data'!$B:$B,{"licence","community"}))</f>
        <v>0</v>
      </c>
      <c r="H111" s="98" cm="1">
        <f t="array" ref="H111">SUM(SUMIFS('caseload data'!I:I,'caseload data'!$D:$D,"SPO",'caseload data'!$A:$A,"Yorkshire and The Humber",'caseload data'!$B:$B,{"licence","community"}))</f>
        <v>0</v>
      </c>
      <c r="I111" s="98" cm="1">
        <f t="array" ref="I111">SUM(SUMIFS('caseload data'!J:J,'caseload data'!$D:$D,"SPO",'caseload data'!$A:$A,"Yorkshire and The Humber",'caseload data'!$B:$B,{"licence","community"}))</f>
        <v>0</v>
      </c>
      <c r="J111" s="98" cm="1">
        <f t="array" ref="J111">SUM(SUMIFS('caseload data'!K:K,'caseload data'!$D:$D,"SPO",'caseload data'!$A:$A,"Yorkshire and The Humber",'caseload data'!$B:$B,{"licence","community"}))</f>
        <v>0</v>
      </c>
      <c r="K111" s="98" cm="1">
        <f t="array" ref="K111">SUM(SUMIFS('caseload data'!L:L,'caseload data'!$D:$D,"SPO",'caseload data'!$A:$A,"Yorkshire and The Humber",'caseload data'!$B:$B,{"licence","community"}))</f>
        <v>0</v>
      </c>
      <c r="L111" s="98" cm="1">
        <f t="array" ref="L111">SUM(SUMIFS('caseload data'!M:M,'caseload data'!$D:$D,"SPO",'caseload data'!$A:$A,"Yorkshire and The Humber",'caseload data'!$B:$B,{"licence","community"}))</f>
        <v>0</v>
      </c>
      <c r="M111" s="98" cm="1">
        <f t="array" ref="M111">SUM(SUMIFS('caseload data'!N:N,'caseload data'!$D:$D,"SPO",'caseload data'!$A:$A,"Yorkshire and The Humber",'caseload data'!$B:$B,{"licence","community"}))</f>
        <v>0</v>
      </c>
      <c r="N111" s="98" cm="1">
        <f t="array" ref="N111">SUM(SUMIFS('caseload data'!O:O,'caseload data'!$D:$D,"SPO",'caseload data'!$A:$A,"Yorkshire and The Humber",'caseload data'!$B:$B,{"licence","community"}))</f>
        <v>0</v>
      </c>
      <c r="O111" s="98" cm="1">
        <f t="array" ref="O111">SUM(SUMIFS('caseload data'!P:P,'caseload data'!$D:$D,"SPO",'caseload data'!$A:$A,"Yorkshire and The Humber",'caseload data'!$B:$B,{"licence","community"}))</f>
        <v>0</v>
      </c>
      <c r="P111" s="98" cm="1">
        <f t="array" ref="P111">SUM(SUMIFS('caseload data'!Q:Q,'caseload data'!$D:$D,"SPO",'caseload data'!$A:$A,"Yorkshire and The Humber",'caseload data'!$B:$B,{"licence","community"}))</f>
        <v>0</v>
      </c>
      <c r="Q111" s="98" cm="1">
        <f t="array" ref="Q111">SUM(SUMIFS('caseload data'!R:R,'caseload data'!$D:$D,"SPO",'caseload data'!$A:$A,"Yorkshire and The Humber",'caseload data'!$B:$B,{"licence","community"}))</f>
        <v>0</v>
      </c>
      <c r="R111" s="98" cm="1">
        <f t="array" ref="R111">SUM(SUMIFS('caseload data'!S:S,'caseload data'!$D:$D,"SPO",'caseload data'!$A:$A,"Yorkshire and The Humber",'caseload data'!$B:$B,{"licence","community"}))</f>
        <v>0</v>
      </c>
      <c r="S111" s="98" cm="1">
        <f t="array" ref="S111">SUM(SUMIFS('caseload data'!T:T,'caseload data'!$D:$D,"SPO",'caseload data'!$A:$A,"Yorkshire and The Humber",'caseload data'!$B:$B,{"licence","community"}))</f>
        <v>0</v>
      </c>
      <c r="T111" s="98" cm="1">
        <f t="array" ref="T111">SUM(SUMIFS('caseload data'!V:V,'caseload data'!$D:$D,"SPO",'caseload data'!$A:$A,"Yorkshire and The Humber",'caseload data'!$B:$B,{"licence","community"}))</f>
        <v>0</v>
      </c>
      <c r="U111" s="68"/>
      <c r="V111" s="68"/>
      <c r="W111" s="425"/>
      <c r="X111" s="134" t="s">
        <v>1174</v>
      </c>
      <c r="Y111" s="175" t="e">
        <f>SUM(D111)/SUM(D$108:D$111)</f>
        <v>#DIV/0!</v>
      </c>
      <c r="Z111" s="175" t="e">
        <f t="shared" si="23"/>
        <v>#DIV/0!</v>
      </c>
      <c r="AA111" s="175" t="e">
        <f t="shared" si="23"/>
        <v>#DIV/0!</v>
      </c>
      <c r="AB111" s="175" t="e">
        <f t="shared" si="23"/>
        <v>#DIV/0!</v>
      </c>
      <c r="AC111" s="175" t="e">
        <f t="shared" si="23"/>
        <v>#DIV/0!</v>
      </c>
      <c r="AD111" s="175" t="e">
        <f t="shared" si="23"/>
        <v>#DIV/0!</v>
      </c>
      <c r="AE111" s="175" t="e">
        <f t="shared" si="23"/>
        <v>#DIV/0!</v>
      </c>
      <c r="AF111" s="175" t="e">
        <f t="shared" si="23"/>
        <v>#DIV/0!</v>
      </c>
      <c r="AG111" s="175" t="e">
        <f t="shared" si="23"/>
        <v>#DIV/0!</v>
      </c>
      <c r="AH111" s="175" t="e">
        <f t="shared" si="23"/>
        <v>#DIV/0!</v>
      </c>
      <c r="AI111" s="175" t="e">
        <f t="shared" si="23"/>
        <v>#DIV/0!</v>
      </c>
      <c r="AJ111" s="175" t="e">
        <f t="shared" si="23"/>
        <v>#DIV/0!</v>
      </c>
      <c r="AK111" s="175" t="e">
        <f t="shared" si="23"/>
        <v>#DIV/0!</v>
      </c>
      <c r="AL111" s="175" t="e">
        <f t="shared" si="23"/>
        <v>#DIV/0!</v>
      </c>
      <c r="AM111" s="175" t="e">
        <f t="shared" si="23"/>
        <v>#DIV/0!</v>
      </c>
      <c r="AN111" s="175" t="e">
        <f t="shared" si="23"/>
        <v>#DIV/0!</v>
      </c>
    </row>
    <row r="112" spans="2:40" x14ac:dyDescent="0.15">
      <c r="B112" s="450" t="s">
        <v>1127</v>
      </c>
      <c r="C112" s="141" t="s">
        <v>1166</v>
      </c>
      <c r="D112" s="142" cm="1">
        <f t="array" ref="D112">SUM(SUMIFS('caseload data'!E:E,'caseload data'!$D:$D,"PO",'caseload data'!$B:$B,{"licence","community"}))</f>
        <v>0</v>
      </c>
      <c r="E112" s="142" cm="1">
        <f t="array" ref="E112">SUM(SUMIFS('caseload data'!F:F,'caseload data'!$D:$D,"PO",'caseload data'!$B:$B,{"licence","community"}))</f>
        <v>0</v>
      </c>
      <c r="F112" s="142" cm="1">
        <f t="array" ref="F112">SUM(SUMIFS('caseload data'!G:G,'caseload data'!$D:$D,"PO",'caseload data'!$B:$B,{"licence","community"}))</f>
        <v>0</v>
      </c>
      <c r="G112" s="142" cm="1">
        <f t="array" ref="G112">SUM(SUMIFS('caseload data'!H:H,'caseload data'!$D:$D,"PO",'caseload data'!$B:$B,{"licence","community"}))</f>
        <v>0</v>
      </c>
      <c r="H112" s="142" cm="1">
        <f t="array" ref="H112">SUM(SUMIFS('caseload data'!I:I,'caseload data'!$D:$D,"PO",'caseload data'!$B:$B,{"licence","community"}))</f>
        <v>0</v>
      </c>
      <c r="I112" s="142" cm="1">
        <f t="array" ref="I112">SUM(SUMIFS('caseload data'!J:J,'caseload data'!$D:$D,"PO",'caseload data'!$B:$B,{"licence","community"}))</f>
        <v>0</v>
      </c>
      <c r="J112" s="142" cm="1">
        <f t="array" ref="J112">SUM(SUMIFS('caseload data'!K:K,'caseload data'!$D:$D,"PO",'caseload data'!$B:$B,{"licence","community"}))</f>
        <v>0</v>
      </c>
      <c r="K112" s="142" cm="1">
        <f t="array" ref="K112">SUM(SUMIFS('caseload data'!L:L,'caseload data'!$D:$D,"PO",'caseload data'!$B:$B,{"licence","community"}))</f>
        <v>0</v>
      </c>
      <c r="L112" s="142" cm="1">
        <f t="array" ref="L112">SUM(SUMIFS('caseload data'!M:M,'caseload data'!$D:$D,"PO",'caseload data'!$B:$B,{"licence","community"}))</f>
        <v>0</v>
      </c>
      <c r="M112" s="142" cm="1">
        <f t="array" ref="M112">SUM(SUMIFS('caseload data'!N:N,'caseload data'!$D:$D,"PO",'caseload data'!$B:$B,{"licence","community"}))</f>
        <v>0</v>
      </c>
      <c r="N112" s="142" cm="1">
        <f t="array" ref="N112">SUM(SUMIFS('caseload data'!O:O,'caseload data'!$D:$D,"PO",'caseload data'!$B:$B,{"licence","community"}))</f>
        <v>0</v>
      </c>
      <c r="O112" s="142" cm="1">
        <f t="array" ref="O112">SUM(SUMIFS('caseload data'!P:P,'caseload data'!$D:$D,"PO",'caseload data'!$B:$B,{"licence","community"}))</f>
        <v>0</v>
      </c>
      <c r="P112" s="142" cm="1">
        <f t="array" ref="P112">SUM(SUMIFS('caseload data'!Q:Q,'caseload data'!$D:$D,"PO",'caseload data'!$B:$B,{"licence","community"}))</f>
        <v>0</v>
      </c>
      <c r="Q112" s="142" cm="1">
        <f t="array" ref="Q112">SUM(SUMIFS('caseload data'!R:R,'caseload data'!$D:$D,"PO",'caseload data'!$B:$B,{"licence","community"}))</f>
        <v>0</v>
      </c>
      <c r="R112" s="142" cm="1">
        <f t="array" ref="R112">SUM(SUMIFS('caseload data'!S:S,'caseload data'!$D:$D,"PO",'caseload data'!$B:$B,{"licence","community"}))</f>
        <v>0</v>
      </c>
      <c r="S112" s="142" cm="1">
        <f t="array" ref="S112">SUM(SUMIFS('caseload data'!T:T,'caseload data'!$D:$D,"PO",'caseload data'!$B:$B,{"licence","community"}))</f>
        <v>0</v>
      </c>
      <c r="T112" s="143">
        <f>SUM(SUMIFS('caseload data'!V:V,'caseload data'!D:D,"PO",'caseload data'!B:B,{"licence","community"}))</f>
        <v>0</v>
      </c>
      <c r="U112" s="68"/>
      <c r="V112" s="68"/>
      <c r="W112" s="444" t="s">
        <v>1127</v>
      </c>
      <c r="X112" s="141" t="s">
        <v>1166</v>
      </c>
      <c r="Y112" s="145" t="e">
        <f>SUM(D112)/SUM(D$112:D$115)</f>
        <v>#DIV/0!</v>
      </c>
      <c r="Z112" s="145" t="e">
        <f t="shared" ref="Z112:AN115" si="24">SUM(E112)/SUM(E$112:E$115)</f>
        <v>#DIV/0!</v>
      </c>
      <c r="AA112" s="145" t="e">
        <f t="shared" si="24"/>
        <v>#DIV/0!</v>
      </c>
      <c r="AB112" s="145" t="e">
        <f t="shared" si="24"/>
        <v>#DIV/0!</v>
      </c>
      <c r="AC112" s="145" t="e">
        <f t="shared" si="24"/>
        <v>#DIV/0!</v>
      </c>
      <c r="AD112" s="145" t="e">
        <f t="shared" si="24"/>
        <v>#DIV/0!</v>
      </c>
      <c r="AE112" s="145" t="e">
        <f t="shared" si="24"/>
        <v>#DIV/0!</v>
      </c>
      <c r="AF112" s="145" t="e">
        <f t="shared" si="24"/>
        <v>#DIV/0!</v>
      </c>
      <c r="AG112" s="145" t="e">
        <f t="shared" si="24"/>
        <v>#DIV/0!</v>
      </c>
      <c r="AH112" s="145" t="e">
        <f t="shared" si="24"/>
        <v>#DIV/0!</v>
      </c>
      <c r="AI112" s="145" t="e">
        <f t="shared" si="24"/>
        <v>#DIV/0!</v>
      </c>
      <c r="AJ112" s="145" t="e">
        <f t="shared" si="24"/>
        <v>#DIV/0!</v>
      </c>
      <c r="AK112" s="145" t="e">
        <f t="shared" si="24"/>
        <v>#DIV/0!</v>
      </c>
      <c r="AL112" s="145" t="e">
        <f t="shared" si="24"/>
        <v>#DIV/0!</v>
      </c>
      <c r="AM112" s="145" t="e">
        <f t="shared" si="24"/>
        <v>#DIV/0!</v>
      </c>
      <c r="AN112" s="145" t="e">
        <f t="shared" si="24"/>
        <v>#DIV/0!</v>
      </c>
    </row>
    <row r="113" spans="2:40" x14ac:dyDescent="0.15">
      <c r="B113" s="430"/>
      <c r="C113" s="144" t="s">
        <v>1172</v>
      </c>
      <c r="D113" s="142" cm="1">
        <f t="array" ref="D113">SUM(SUMIFS('caseload data'!E:E,'caseload data'!$D:$D,"PSO",'caseload data'!$B:$B,{"licence","community"}))</f>
        <v>0</v>
      </c>
      <c r="E113" s="142" cm="1">
        <f t="array" ref="E113">SUM(SUMIFS('caseload data'!F:F,'caseload data'!$D:$D,"PSO",'caseload data'!$B:$B,{"licence","community"}))</f>
        <v>0</v>
      </c>
      <c r="F113" s="142" cm="1">
        <f t="array" ref="F113">SUM(SUMIFS('caseload data'!G:G,'caseload data'!$D:$D,"PSO",'caseload data'!$B:$B,{"licence","community"}))</f>
        <v>0</v>
      </c>
      <c r="G113" s="142" cm="1">
        <f t="array" ref="G113">SUM(SUMIFS('caseload data'!H:H,'caseload data'!$D:$D,"PSO",'caseload data'!$B:$B,{"licence","community"}))</f>
        <v>0</v>
      </c>
      <c r="H113" s="142" cm="1">
        <f t="array" ref="H113">SUM(SUMIFS('caseload data'!I:I,'caseload data'!$D:$D,"PSO",'caseload data'!$B:$B,{"licence","community"}))</f>
        <v>0</v>
      </c>
      <c r="I113" s="142" cm="1">
        <f t="array" ref="I113">SUM(SUMIFS('caseload data'!J:J,'caseload data'!$D:$D,"PSO",'caseload data'!$B:$B,{"licence","community"}))</f>
        <v>0</v>
      </c>
      <c r="J113" s="142" cm="1">
        <f t="array" ref="J113">SUM(SUMIFS('caseload data'!K:K,'caseload data'!$D:$D,"PSO",'caseload data'!$B:$B,{"licence","community"}))</f>
        <v>0</v>
      </c>
      <c r="K113" s="142" cm="1">
        <f t="array" ref="K113">SUM(SUMIFS('caseload data'!L:L,'caseload data'!$D:$D,"PSO",'caseload data'!$B:$B,{"licence","community"}))</f>
        <v>0</v>
      </c>
      <c r="L113" s="142" cm="1">
        <f t="array" ref="L113">SUM(SUMIFS('caseload data'!M:M,'caseload data'!$D:$D,"PSO",'caseload data'!$B:$B,{"licence","community"}))</f>
        <v>0</v>
      </c>
      <c r="M113" s="142" cm="1">
        <f t="array" ref="M113">SUM(SUMIFS('caseload data'!N:N,'caseload data'!$D:$D,"PSO",'caseload data'!$B:$B,{"licence","community"}))</f>
        <v>0</v>
      </c>
      <c r="N113" s="142" cm="1">
        <f t="array" ref="N113">SUM(SUMIFS('caseload data'!O:O,'caseload data'!$D:$D,"PSO",'caseload data'!$B:$B,{"licence","community"}))</f>
        <v>0</v>
      </c>
      <c r="O113" s="142" cm="1">
        <f t="array" ref="O113">SUM(SUMIFS('caseload data'!P:P,'caseload data'!$D:$D,"PSO",'caseload data'!$B:$B,{"licence","community"}))</f>
        <v>0</v>
      </c>
      <c r="P113" s="142" cm="1">
        <f t="array" ref="P113">SUM(SUMIFS('caseload data'!Q:Q,'caseload data'!$D:$D,"PSO",'caseload data'!$B:$B,{"licence","community"}))</f>
        <v>0</v>
      </c>
      <c r="Q113" s="142" cm="1">
        <f t="array" ref="Q113">SUM(SUMIFS('caseload data'!R:R,'caseload data'!$D:$D,"PSO",'caseload data'!$B:$B,{"licence","community"}))</f>
        <v>0</v>
      </c>
      <c r="R113" s="142" cm="1">
        <f t="array" ref="R113">SUM(SUMIFS('caseload data'!S:S,'caseload data'!$D:$D,"PSO",'caseload data'!$B:$B,{"licence","community"}))</f>
        <v>0</v>
      </c>
      <c r="S113" s="142" cm="1">
        <f t="array" ref="S113">SUM(SUMIFS('caseload data'!T:T,'caseload data'!$D:$D,"PSO",'caseload data'!$B:$B,{"licence","community"}))</f>
        <v>0</v>
      </c>
      <c r="T113" s="143">
        <f>SUM(SUMIFS('caseload data'!V:V,'caseload data'!D:D,"PSO",'caseload data'!B:B,{"licence","community"}))</f>
        <v>0</v>
      </c>
      <c r="U113" s="68"/>
      <c r="V113" s="68"/>
      <c r="W113" s="445"/>
      <c r="X113" s="144" t="s">
        <v>1172</v>
      </c>
      <c r="Y113" s="145" t="e">
        <f>SUM(D113)/SUM(D$112:D$115)</f>
        <v>#DIV/0!</v>
      </c>
      <c r="Z113" s="145" t="e">
        <f t="shared" si="24"/>
        <v>#DIV/0!</v>
      </c>
      <c r="AA113" s="145" t="e">
        <f t="shared" si="24"/>
        <v>#DIV/0!</v>
      </c>
      <c r="AB113" s="145" t="e">
        <f t="shared" si="24"/>
        <v>#DIV/0!</v>
      </c>
      <c r="AC113" s="145" t="e">
        <f t="shared" si="24"/>
        <v>#DIV/0!</v>
      </c>
      <c r="AD113" s="145" t="e">
        <f t="shared" si="24"/>
        <v>#DIV/0!</v>
      </c>
      <c r="AE113" s="145" t="e">
        <f t="shared" si="24"/>
        <v>#DIV/0!</v>
      </c>
      <c r="AF113" s="145" t="e">
        <f t="shared" si="24"/>
        <v>#DIV/0!</v>
      </c>
      <c r="AG113" s="145" t="e">
        <f t="shared" si="24"/>
        <v>#DIV/0!</v>
      </c>
      <c r="AH113" s="145" t="e">
        <f t="shared" si="24"/>
        <v>#DIV/0!</v>
      </c>
      <c r="AI113" s="145" t="e">
        <f t="shared" si="24"/>
        <v>#DIV/0!</v>
      </c>
      <c r="AJ113" s="145" t="e">
        <f t="shared" si="24"/>
        <v>#DIV/0!</v>
      </c>
      <c r="AK113" s="145" t="e">
        <f t="shared" si="24"/>
        <v>#DIV/0!</v>
      </c>
      <c r="AL113" s="145" t="e">
        <f t="shared" si="24"/>
        <v>#DIV/0!</v>
      </c>
      <c r="AM113" s="145" t="e">
        <f t="shared" si="24"/>
        <v>#DIV/0!</v>
      </c>
      <c r="AN113" s="145" t="e">
        <f t="shared" si="24"/>
        <v>#DIV/0!</v>
      </c>
    </row>
    <row r="114" spans="2:40" x14ac:dyDescent="0.15">
      <c r="B114" s="430"/>
      <c r="C114" s="144" t="s">
        <v>1173</v>
      </c>
      <c r="D114" s="142" cm="1">
        <f t="array" ref="D114">SUM(SUMIFS('caseload data'!E:E,'caseload data'!$D:$D,"TPO",'caseload data'!$B:$B,{"licence","community"}))</f>
        <v>0</v>
      </c>
      <c r="E114" s="142" cm="1">
        <f t="array" ref="E114">SUM(SUMIFS('caseload data'!F:F,'caseload data'!$D:$D,"TPO",'caseload data'!$B:$B,{"licence","community"}))</f>
        <v>0</v>
      </c>
      <c r="F114" s="142" cm="1">
        <f t="array" ref="F114">SUM(SUMIFS('caseload data'!G:G,'caseload data'!$D:$D,"TPO",'caseload data'!$B:$B,{"licence","community"}))</f>
        <v>0</v>
      </c>
      <c r="G114" s="142" cm="1">
        <f t="array" ref="G114">SUM(SUMIFS('caseload data'!H:H,'caseload data'!$D:$D,"TPO",'caseload data'!$B:$B,{"licence","community"}))</f>
        <v>0</v>
      </c>
      <c r="H114" s="142" cm="1">
        <f t="array" ref="H114">SUM(SUMIFS('caseload data'!I:I,'caseload data'!$D:$D,"TPO",'caseload data'!$B:$B,{"licence","community"}))</f>
        <v>0</v>
      </c>
      <c r="I114" s="142" cm="1">
        <f t="array" ref="I114">SUM(SUMIFS('caseload data'!J:J,'caseload data'!$D:$D,"TPO",'caseload data'!$B:$B,{"licence","community"}))</f>
        <v>0</v>
      </c>
      <c r="J114" s="142" cm="1">
        <f t="array" ref="J114">SUM(SUMIFS('caseload data'!K:K,'caseload data'!$D:$D,"TPO",'caseload data'!$B:$B,{"licence","community"}))</f>
        <v>0</v>
      </c>
      <c r="K114" s="142" cm="1">
        <f t="array" ref="K114">SUM(SUMIFS('caseload data'!L:L,'caseload data'!$D:$D,"TPO",'caseload data'!$B:$B,{"licence","community"}))</f>
        <v>0</v>
      </c>
      <c r="L114" s="142" cm="1">
        <f t="array" ref="L114">SUM(SUMIFS('caseload data'!M:M,'caseload data'!$D:$D,"TPO",'caseload data'!$B:$B,{"licence","community"}))</f>
        <v>0</v>
      </c>
      <c r="M114" s="142" cm="1">
        <f t="array" ref="M114">SUM(SUMIFS('caseload data'!N:N,'caseload data'!$D:$D,"TPO",'caseload data'!$B:$B,{"licence","community"}))</f>
        <v>0</v>
      </c>
      <c r="N114" s="142" cm="1">
        <f t="array" ref="N114">SUM(SUMIFS('caseload data'!O:O,'caseload data'!$D:$D,"TPO",'caseload data'!$B:$B,{"licence","community"}))</f>
        <v>0</v>
      </c>
      <c r="O114" s="142" cm="1">
        <f t="array" ref="O114">SUM(SUMIFS('caseload data'!P:P,'caseload data'!$D:$D,"TPO",'caseload data'!$B:$B,{"licence","community"}))</f>
        <v>0</v>
      </c>
      <c r="P114" s="142" cm="1">
        <f t="array" ref="P114">SUM(SUMIFS('caseload data'!Q:Q,'caseload data'!$D:$D,"TPO",'caseload data'!$B:$B,{"licence","community"}))</f>
        <v>0</v>
      </c>
      <c r="Q114" s="142" cm="1">
        <f t="array" ref="Q114">SUM(SUMIFS('caseload data'!R:R,'caseload data'!$D:$D,"TPO",'caseload data'!$B:$B,{"licence","community"}))</f>
        <v>0</v>
      </c>
      <c r="R114" s="142" cm="1">
        <f t="array" ref="R114">SUM(SUMIFS('caseload data'!S:S,'caseload data'!$D:$D,"TPO",'caseload data'!$B:$B,{"licence","community"}))</f>
        <v>0</v>
      </c>
      <c r="S114" s="142" cm="1">
        <f t="array" ref="S114">SUM(SUMIFS('caseload data'!T:T,'caseload data'!$D:$D,"TPO",'caseload data'!$B:$B,{"licence","community"}))</f>
        <v>0</v>
      </c>
      <c r="T114" s="143">
        <f>SUM(SUMIFS('caseload data'!V:V,'caseload data'!D:D,"TPO",'caseload data'!B:B,{"licence","community"}))</f>
        <v>0</v>
      </c>
      <c r="U114" s="68"/>
      <c r="V114" s="68"/>
      <c r="W114" s="445"/>
      <c r="X114" s="144" t="s">
        <v>1173</v>
      </c>
      <c r="Y114" s="145" t="e">
        <f>SUM(D114)/SUM(D$112:D$115)</f>
        <v>#DIV/0!</v>
      </c>
      <c r="Z114" s="145" t="e">
        <f t="shared" si="24"/>
        <v>#DIV/0!</v>
      </c>
      <c r="AA114" s="145" t="e">
        <f t="shared" si="24"/>
        <v>#DIV/0!</v>
      </c>
      <c r="AB114" s="145" t="e">
        <f t="shared" si="24"/>
        <v>#DIV/0!</v>
      </c>
      <c r="AC114" s="145" t="e">
        <f t="shared" si="24"/>
        <v>#DIV/0!</v>
      </c>
      <c r="AD114" s="145" t="e">
        <f t="shared" si="24"/>
        <v>#DIV/0!</v>
      </c>
      <c r="AE114" s="145" t="e">
        <f t="shared" si="24"/>
        <v>#DIV/0!</v>
      </c>
      <c r="AF114" s="145" t="e">
        <f t="shared" si="24"/>
        <v>#DIV/0!</v>
      </c>
      <c r="AG114" s="145" t="e">
        <f t="shared" si="24"/>
        <v>#DIV/0!</v>
      </c>
      <c r="AH114" s="145" t="e">
        <f t="shared" si="24"/>
        <v>#DIV/0!</v>
      </c>
      <c r="AI114" s="145" t="e">
        <f t="shared" si="24"/>
        <v>#DIV/0!</v>
      </c>
      <c r="AJ114" s="145" t="e">
        <f t="shared" si="24"/>
        <v>#DIV/0!</v>
      </c>
      <c r="AK114" s="145" t="e">
        <f t="shared" si="24"/>
        <v>#DIV/0!</v>
      </c>
      <c r="AL114" s="145" t="e">
        <f t="shared" si="24"/>
        <v>#DIV/0!</v>
      </c>
      <c r="AM114" s="145" t="e">
        <f t="shared" si="24"/>
        <v>#DIV/0!</v>
      </c>
      <c r="AN114" s="145" t="e">
        <f t="shared" si="24"/>
        <v>#DIV/0!</v>
      </c>
    </row>
    <row r="115" spans="2:40" ht="15" thickBot="1" x14ac:dyDescent="0.2">
      <c r="B115" s="430"/>
      <c r="C115" s="144" t="s">
        <v>1174</v>
      </c>
      <c r="D115" s="142">
        <f>SUM(SUMIFS('caseload data'!E:E,'caseload data'!$D:$D,"SPO",'caseload data'!$B:$B,{"licence","community"}))</f>
        <v>0</v>
      </c>
      <c r="E115" s="142">
        <f>SUM(SUMIFS('caseload data'!F:F,'caseload data'!$D:$D,"SPO",'caseload data'!$B:$B,{"licence","community"}))</f>
        <v>0</v>
      </c>
      <c r="F115" s="142">
        <f>SUM(SUMIFS('caseload data'!G:G,'caseload data'!$D:$D,"SPO",'caseload data'!$B:$B,{"licence","community"}))</f>
        <v>0</v>
      </c>
      <c r="G115" s="142">
        <f>SUM(SUMIFS('caseload data'!H:H,'caseload data'!$D:$D,"SPO",'caseload data'!$B:$B,{"licence","community"}))</f>
        <v>0</v>
      </c>
      <c r="H115" s="142">
        <f>SUM(SUMIFS('caseload data'!I:I,'caseload data'!$D:$D,"SPO",'caseload data'!$B:$B,{"licence","community"}))</f>
        <v>0</v>
      </c>
      <c r="I115" s="142">
        <f>SUM(SUMIFS('caseload data'!J:J,'caseload data'!$D:$D,"SPO",'caseload data'!$B:$B,{"licence","community"}))</f>
        <v>0</v>
      </c>
      <c r="J115" s="142">
        <f>SUM(SUMIFS('caseload data'!K:K,'caseload data'!$D:$D,"SPO",'caseload data'!$B:$B,{"licence","community"}))</f>
        <v>0</v>
      </c>
      <c r="K115" s="142">
        <f>SUM(SUMIFS('caseload data'!L:L,'caseload data'!$D:$D,"SPO",'caseload data'!$B:$B,{"licence","community"}))</f>
        <v>0</v>
      </c>
      <c r="L115" s="142">
        <f>SUM(SUMIFS('caseload data'!M:M,'caseload data'!$D:$D,"SPO",'caseload data'!$B:$B,{"licence","community"}))</f>
        <v>0</v>
      </c>
      <c r="M115" s="142">
        <f>SUM(SUMIFS('caseload data'!N:N,'caseload data'!$D:$D,"SPO",'caseload data'!$B:$B,{"licence","community"}))</f>
        <v>0</v>
      </c>
      <c r="N115" s="142">
        <f>SUM(SUMIFS('caseload data'!O:O,'caseload data'!$D:$D,"SPO",'caseload data'!$B:$B,{"licence","community"}))</f>
        <v>0</v>
      </c>
      <c r="O115" s="142">
        <f>SUM(SUMIFS('caseload data'!P:P,'caseload data'!$D:$D,"SPO",'caseload data'!$B:$B,{"licence","community"}))</f>
        <v>0</v>
      </c>
      <c r="P115" s="142">
        <f>SUM(SUMIFS('caseload data'!Q:Q,'caseload data'!$D:$D,"SPO",'caseload data'!$B:$B,{"licence","community"}))</f>
        <v>0</v>
      </c>
      <c r="Q115" s="142">
        <f>SUM(SUMIFS('caseload data'!R:R,'caseload data'!$D:$D,"SPO",'caseload data'!$B:$B,{"licence","community"}))</f>
        <v>0</v>
      </c>
      <c r="R115" s="142">
        <f>SUM(SUMIFS('caseload data'!S:S,'caseload data'!$D:$D,"SPO",'caseload data'!$B:$B,{"licence","community"}))</f>
        <v>0</v>
      </c>
      <c r="S115" s="142">
        <f>SUM(SUMIFS('caseload data'!T:T,'caseload data'!$D:$D,"SPO",'caseload data'!$B:$B,{"licence","community"}))</f>
        <v>0</v>
      </c>
      <c r="T115" s="143">
        <f>SUM(SUMIFS('caseload data'!V:V,'caseload data'!$D:$D,"SPO",'caseload data'!$B:$B,{"licence","community"}))</f>
        <v>0</v>
      </c>
      <c r="U115" s="68"/>
      <c r="V115" s="68"/>
      <c r="W115" s="446"/>
      <c r="X115" s="146" t="s">
        <v>1174</v>
      </c>
      <c r="Y115" s="145" t="e">
        <f>SUM(D115)/SUM(D$112:D$115)</f>
        <v>#DIV/0!</v>
      </c>
      <c r="Z115" s="145" t="e">
        <f t="shared" si="24"/>
        <v>#DIV/0!</v>
      </c>
      <c r="AA115" s="145" t="e">
        <f t="shared" si="24"/>
        <v>#DIV/0!</v>
      </c>
      <c r="AB115" s="145" t="e">
        <f t="shared" si="24"/>
        <v>#DIV/0!</v>
      </c>
      <c r="AC115" s="145" t="e">
        <f t="shared" si="24"/>
        <v>#DIV/0!</v>
      </c>
      <c r="AD115" s="145" t="e">
        <f t="shared" si="24"/>
        <v>#DIV/0!</v>
      </c>
      <c r="AE115" s="145" t="e">
        <f t="shared" si="24"/>
        <v>#DIV/0!</v>
      </c>
      <c r="AF115" s="145" t="e">
        <f t="shared" si="24"/>
        <v>#DIV/0!</v>
      </c>
      <c r="AG115" s="145" t="e">
        <f t="shared" si="24"/>
        <v>#DIV/0!</v>
      </c>
      <c r="AH115" s="145" t="e">
        <f t="shared" si="24"/>
        <v>#DIV/0!</v>
      </c>
      <c r="AI115" s="145" t="e">
        <f t="shared" si="24"/>
        <v>#DIV/0!</v>
      </c>
      <c r="AJ115" s="145" t="e">
        <f t="shared" si="24"/>
        <v>#DIV/0!</v>
      </c>
      <c r="AK115" s="145" t="e">
        <f t="shared" si="24"/>
        <v>#DIV/0!</v>
      </c>
      <c r="AL115" s="145" t="e">
        <f t="shared" si="24"/>
        <v>#DIV/0!</v>
      </c>
      <c r="AM115" s="145" t="e">
        <f t="shared" si="24"/>
        <v>#DIV/0!</v>
      </c>
      <c r="AN115" s="145" t="e">
        <f t="shared" si="24"/>
        <v>#DIV/0!</v>
      </c>
    </row>
    <row r="116" spans="2:40" ht="30" customHeight="1" thickBot="1" x14ac:dyDescent="0.2">
      <c r="B116" s="431"/>
      <c r="C116" s="138" t="s">
        <v>1254</v>
      </c>
      <c r="D116" s="139" cm="1">
        <f t="array" ref="D116">SUM(SUMIF('caseload data'!$B:$B,{"licence","community"},'caseload data'!E:E))</f>
        <v>0</v>
      </c>
      <c r="E116" s="139" cm="1">
        <f t="array" ref="E116">SUM(SUMIF('caseload data'!$B:$B,{"licence","community"},'caseload data'!F:F))</f>
        <v>0</v>
      </c>
      <c r="F116" s="139" cm="1">
        <f t="array" ref="F116">SUM(SUMIF('caseload data'!$B:$B,{"licence","community"},'caseload data'!G:G))</f>
        <v>0</v>
      </c>
      <c r="G116" s="139" cm="1">
        <f t="array" ref="G116">SUM(SUMIF('caseload data'!$B:$B,{"licence","community"},'caseload data'!H:H))</f>
        <v>0</v>
      </c>
      <c r="H116" s="139" cm="1">
        <f t="array" ref="H116">SUM(SUMIF('caseload data'!$B:$B,{"licence","community"},'caseload data'!I:I))</f>
        <v>0</v>
      </c>
      <c r="I116" s="139" cm="1">
        <f t="array" ref="I116">SUM(SUMIF('caseload data'!$B:$B,{"licence","community"},'caseload data'!J:J))</f>
        <v>0</v>
      </c>
      <c r="J116" s="139" cm="1">
        <f t="array" ref="J116">SUM(SUMIF('caseload data'!$B:$B,{"licence","community"},'caseload data'!K:K))</f>
        <v>0</v>
      </c>
      <c r="K116" s="139" cm="1">
        <f t="array" ref="K116">SUM(SUMIF('caseload data'!$B:$B,{"licence","community"},'caseload data'!L:L))</f>
        <v>0</v>
      </c>
      <c r="L116" s="139" cm="1">
        <f t="array" ref="L116">SUM(SUMIF('caseload data'!$B:$B,{"licence","community"},'caseload data'!M:M))</f>
        <v>0</v>
      </c>
      <c r="M116" s="139" cm="1">
        <f t="array" ref="M116">SUM(SUMIF('caseload data'!$B:$B,{"licence","community"},'caseload data'!N:N))</f>
        <v>0</v>
      </c>
      <c r="N116" s="139" cm="1">
        <f t="array" ref="N116">SUM(SUMIF('caseload data'!$B:$B,{"licence","community"},'caseload data'!O:O))</f>
        <v>0</v>
      </c>
      <c r="O116" s="139" cm="1">
        <f t="array" ref="O116">SUM(SUMIF('caseload data'!$B:$B,{"licence","community"},'caseload data'!P:P))</f>
        <v>0</v>
      </c>
      <c r="P116" s="139" cm="1">
        <f t="array" ref="P116">SUM(SUMIF('caseload data'!$B:$B,{"licence","community"},'caseload data'!Q:Q))</f>
        <v>0</v>
      </c>
      <c r="Q116" s="139" cm="1">
        <f t="array" ref="Q116">SUM(SUMIF('caseload data'!$B:$B,{"licence","community"},'caseload data'!R:R))</f>
        <v>0</v>
      </c>
      <c r="R116" s="139" cm="1">
        <f t="array" ref="R116">SUM(SUMIF('caseload data'!$B:$B,{"licence","community"},'caseload data'!S:S))</f>
        <v>0</v>
      </c>
      <c r="S116" s="139" cm="1">
        <f t="array" ref="S116">SUM(SUMIF('caseload data'!$B:$B,{"licence","community"},'caseload data'!T:T))</f>
        <v>0</v>
      </c>
      <c r="T116" s="140">
        <f>SUM(SUMIF('caseload data'!B:B,{"licence","community"},'caseload data'!V:V))</f>
        <v>0</v>
      </c>
      <c r="U116" s="68"/>
      <c r="V116" s="68"/>
      <c r="W116" s="135"/>
      <c r="X116" s="136"/>
      <c r="Y116" s="137"/>
      <c r="Z116" s="137"/>
      <c r="AA116" s="137"/>
      <c r="AB116" s="137"/>
      <c r="AC116" s="137"/>
      <c r="AD116" s="137"/>
      <c r="AE116" s="137"/>
    </row>
    <row r="118" spans="2:40" ht="15" thickBot="1" x14ac:dyDescent="0.2"/>
    <row r="119" spans="2:40" ht="17" thickBot="1" x14ac:dyDescent="0.25">
      <c r="B119" s="1"/>
      <c r="C119" s="2"/>
      <c r="D119" s="447" t="s">
        <v>1257</v>
      </c>
      <c r="E119" s="448"/>
      <c r="F119" s="448"/>
      <c r="G119" s="448"/>
      <c r="H119" s="448"/>
      <c r="I119" s="448"/>
      <c r="J119" s="448"/>
      <c r="K119" s="448"/>
      <c r="L119" s="448"/>
      <c r="M119" s="448"/>
      <c r="N119" s="448"/>
      <c r="O119" s="448"/>
      <c r="P119" s="448"/>
      <c r="Q119" s="448"/>
      <c r="R119" s="448"/>
      <c r="S119" s="448"/>
      <c r="T119" s="449"/>
      <c r="W119" s="1"/>
      <c r="X119" s="2"/>
      <c r="Y119" s="441" t="s">
        <v>1258</v>
      </c>
      <c r="Z119" s="442"/>
      <c r="AA119" s="442"/>
      <c r="AB119" s="442"/>
      <c r="AC119" s="442"/>
      <c r="AD119" s="442"/>
      <c r="AE119" s="442"/>
      <c r="AF119" s="442"/>
      <c r="AG119" s="442"/>
      <c r="AH119" s="442"/>
      <c r="AI119" s="442"/>
      <c r="AJ119" s="442"/>
      <c r="AK119" s="442"/>
      <c r="AL119" s="442"/>
      <c r="AM119" s="442"/>
      <c r="AN119" s="442"/>
    </row>
    <row r="120" spans="2:40" x14ac:dyDescent="0.15">
      <c r="B120" s="128" t="s">
        <v>996</v>
      </c>
      <c r="C120" s="130" t="s">
        <v>1165</v>
      </c>
      <c r="D120" s="40" t="s">
        <v>1022</v>
      </c>
      <c r="E120" s="40" t="s">
        <v>1023</v>
      </c>
      <c r="F120" s="40" t="s">
        <v>1024</v>
      </c>
      <c r="G120" s="40" t="s">
        <v>1025</v>
      </c>
      <c r="H120" s="40" t="s">
        <v>1026</v>
      </c>
      <c r="I120" s="40" t="s">
        <v>1027</v>
      </c>
      <c r="J120" s="40" t="s">
        <v>1028</v>
      </c>
      <c r="K120" s="40" t="s">
        <v>1029</v>
      </c>
      <c r="L120" s="40" t="s">
        <v>1030</v>
      </c>
      <c r="M120" s="40" t="s">
        <v>1031</v>
      </c>
      <c r="N120" s="40" t="s">
        <v>1032</v>
      </c>
      <c r="O120" s="40" t="s">
        <v>1033</v>
      </c>
      <c r="P120" s="40" t="s">
        <v>1034</v>
      </c>
      <c r="Q120" s="40" t="s">
        <v>1035</v>
      </c>
      <c r="R120" s="40" t="s">
        <v>1036</v>
      </c>
      <c r="S120" s="40" t="s">
        <v>1037</v>
      </c>
      <c r="T120" s="130" t="s">
        <v>1039</v>
      </c>
      <c r="U120" s="68"/>
      <c r="V120" s="68"/>
      <c r="W120" s="128" t="s">
        <v>996</v>
      </c>
      <c r="X120" s="130" t="s">
        <v>1165</v>
      </c>
      <c r="Y120" s="40" t="s">
        <v>1022</v>
      </c>
      <c r="Z120" s="40" t="s">
        <v>1023</v>
      </c>
      <c r="AA120" s="40" t="s">
        <v>1024</v>
      </c>
      <c r="AB120" s="40" t="s">
        <v>1025</v>
      </c>
      <c r="AC120" s="40" t="s">
        <v>1026</v>
      </c>
      <c r="AD120" s="40" t="s">
        <v>1027</v>
      </c>
      <c r="AE120" s="40" t="s">
        <v>1028</v>
      </c>
      <c r="AF120" s="40" t="s">
        <v>1029</v>
      </c>
      <c r="AG120" s="40" t="s">
        <v>1030</v>
      </c>
      <c r="AH120" s="40" t="s">
        <v>1031</v>
      </c>
      <c r="AI120" s="40" t="s">
        <v>1032</v>
      </c>
      <c r="AJ120" s="40" t="s">
        <v>1033</v>
      </c>
      <c r="AK120" s="40" t="s">
        <v>1034</v>
      </c>
      <c r="AL120" s="40" t="s">
        <v>1035</v>
      </c>
      <c r="AM120" s="40" t="s">
        <v>1036</v>
      </c>
      <c r="AN120" s="40" t="s">
        <v>1037</v>
      </c>
    </row>
    <row r="121" spans="2:40" x14ac:dyDescent="0.15">
      <c r="B121" s="426" t="s">
        <v>23</v>
      </c>
      <c r="C121" s="132" t="s">
        <v>1166</v>
      </c>
      <c r="D121" s="98">
        <f>SUMIFS('caseload data'!E:E,'caseload data'!$D:$D,"PO",'caseload data'!$A:$A,'national caseload'!$B$121:$B$123,'caseload data'!$B:$B,"custody")</f>
        <v>0</v>
      </c>
      <c r="E121" s="98">
        <f>SUMIFS('caseload data'!F:F,'caseload data'!$D:$D,"PO",'caseload data'!$A:$A,'national caseload'!$B$121:$B$123,'caseload data'!$B:$B,"custody")</f>
        <v>0</v>
      </c>
      <c r="F121" s="98">
        <f>SUMIFS('caseload data'!G:G,'caseload data'!$D:$D,"PO",'caseload data'!$A:$A,'national caseload'!$B$121:$B$123,'caseload data'!$B:$B,"custody")</f>
        <v>0</v>
      </c>
      <c r="G121" s="98">
        <f>SUMIFS('caseload data'!H:H,'caseload data'!$D:$D,"PO",'caseload data'!$A:$A,'national caseload'!$B$121:$B$123,'caseload data'!$B:$B,"custody")</f>
        <v>0</v>
      </c>
      <c r="H121" s="98">
        <f>SUMIFS('caseload data'!I:I,'caseload data'!$D:$D,"PO",'caseload data'!$A:$A,'national caseload'!$B$121:$B$123,'caseload data'!$B:$B,"custody")</f>
        <v>0</v>
      </c>
      <c r="I121" s="98">
        <f>SUMIFS('caseload data'!J:J,'caseload data'!$D:$D,"PO",'caseload data'!$A:$A,'national caseload'!$B$121:$B$123,'caseload data'!$B:$B,"custody")</f>
        <v>0</v>
      </c>
      <c r="J121" s="98">
        <f>SUMIFS('caseload data'!K:K,'caseload data'!$D:$D,"PO",'caseload data'!$A:$A,'national caseload'!$B$121:$B$123,'caseload data'!$B:$B,"custody")</f>
        <v>0</v>
      </c>
      <c r="K121" s="98">
        <f>SUMIFS('caseload data'!L:L,'caseload data'!$D:$D,"PO",'caseload data'!$A:$A,'national caseload'!$B$121:$B$123,'caseload data'!$B:$B,"custody")</f>
        <v>0</v>
      </c>
      <c r="L121" s="98">
        <f>SUMIFS('caseload data'!M:M,'caseload data'!$D:$D,"PO",'caseload data'!$A:$A,'national caseload'!$B$121:$B$123,'caseload data'!$B:$B,"custody")</f>
        <v>0</v>
      </c>
      <c r="M121" s="98">
        <f>SUMIFS('caseload data'!N:N,'caseload data'!$D:$D,"PO",'caseload data'!$A:$A,'national caseload'!$B$121:$B$123,'caseload data'!$B:$B,"custody")</f>
        <v>0</v>
      </c>
      <c r="N121" s="98">
        <f>SUMIFS('caseload data'!O:O,'caseload data'!$D:$D,"PO",'caseload data'!$A:$A,'national caseload'!$B$121:$B$123,'caseload data'!$B:$B,"custody")</f>
        <v>0</v>
      </c>
      <c r="O121" s="98">
        <f>SUMIFS('caseload data'!P:P,'caseload data'!$D:$D,"PO",'caseload data'!$A:$A,'national caseload'!$B$121:$B$123,'caseload data'!$B:$B,"custody")</f>
        <v>0</v>
      </c>
      <c r="P121" s="98">
        <f>SUMIFS('caseload data'!Q:Q,'caseload data'!$D:$D,"PO",'caseload data'!$A:$A,'national caseload'!$B$121:$B$123,'caseload data'!$B:$B,"custody")</f>
        <v>0</v>
      </c>
      <c r="Q121" s="98">
        <f>SUMIFS('caseload data'!R:R,'caseload data'!$D:$D,"PO",'caseload data'!$A:$A,'national caseload'!$B$121:$B$123,'caseload data'!$B:$B,"custody")</f>
        <v>0</v>
      </c>
      <c r="R121" s="98">
        <f>SUMIFS('caseload data'!S:S,'caseload data'!$D:$D,"PO",'caseload data'!$A:$A,'national caseload'!$B$121:$B$123,'caseload data'!$B:$B,"custody")</f>
        <v>0</v>
      </c>
      <c r="S121" s="98">
        <f>SUMIFS('caseload data'!T:T,'caseload data'!$D:$D,"PO",'caseload data'!$A:$A,'national caseload'!$B$121:$B$123,'caseload data'!$B:$B,"custody")</f>
        <v>0</v>
      </c>
      <c r="T121" s="98">
        <f>SUMIFS('caseload data'!V:V,'caseload data'!D:D,"PO",'caseload data'!A:A,'national caseload'!B121:B123,'caseload data'!B:B,"custody")</f>
        <v>0</v>
      </c>
      <c r="U121" s="68"/>
      <c r="V121" s="68"/>
      <c r="W121" s="426" t="s">
        <v>23</v>
      </c>
      <c r="X121" s="132" t="s">
        <v>1166</v>
      </c>
      <c r="Y121" s="175" t="e">
        <f>SUM(D121)/SUM(D$121:D$124)</f>
        <v>#DIV/0!</v>
      </c>
      <c r="Z121" s="175" t="e">
        <f t="shared" ref="Z121:AN124" si="25">SUM(E121)/SUM(E$121:E$124)</f>
        <v>#DIV/0!</v>
      </c>
      <c r="AA121" s="175" t="e">
        <f t="shared" si="25"/>
        <v>#DIV/0!</v>
      </c>
      <c r="AB121" s="175" t="e">
        <f t="shared" si="25"/>
        <v>#DIV/0!</v>
      </c>
      <c r="AC121" s="175" t="e">
        <f t="shared" si="25"/>
        <v>#DIV/0!</v>
      </c>
      <c r="AD121" s="175" t="e">
        <f t="shared" si="25"/>
        <v>#DIV/0!</v>
      </c>
      <c r="AE121" s="175" t="e">
        <f t="shared" si="25"/>
        <v>#DIV/0!</v>
      </c>
      <c r="AF121" s="175" t="e">
        <f t="shared" si="25"/>
        <v>#DIV/0!</v>
      </c>
      <c r="AG121" s="175" t="e">
        <f t="shared" si="25"/>
        <v>#DIV/0!</v>
      </c>
      <c r="AH121" s="175" t="e">
        <f t="shared" si="25"/>
        <v>#DIV/0!</v>
      </c>
      <c r="AI121" s="175" t="e">
        <f t="shared" si="25"/>
        <v>#DIV/0!</v>
      </c>
      <c r="AJ121" s="175" t="e">
        <f t="shared" si="25"/>
        <v>#DIV/0!</v>
      </c>
      <c r="AK121" s="175" t="e">
        <f t="shared" si="25"/>
        <v>#DIV/0!</v>
      </c>
      <c r="AL121" s="175" t="e">
        <f t="shared" si="25"/>
        <v>#DIV/0!</v>
      </c>
      <c r="AM121" s="175" t="e">
        <f t="shared" si="25"/>
        <v>#DIV/0!</v>
      </c>
      <c r="AN121" s="175" t="e">
        <f t="shared" si="25"/>
        <v>#DIV/0!</v>
      </c>
    </row>
    <row r="122" spans="2:40" x14ac:dyDescent="0.15">
      <c r="B122" s="427"/>
      <c r="C122" s="133" t="s">
        <v>1172</v>
      </c>
      <c r="D122" s="98">
        <f>SUMIFS('caseload data'!E:E,'caseload data'!$D:$D,"PSO",'caseload data'!$A:$A,"East Midlands Region",'caseload data'!$B:$B,"custody")</f>
        <v>0</v>
      </c>
      <c r="E122" s="98">
        <f>SUMIFS('caseload data'!F:F,'caseload data'!$D:$D,"PSO",'caseload data'!$A:$A,"East Midlands Region",'caseload data'!$B:$B,"custody")</f>
        <v>0</v>
      </c>
      <c r="F122" s="98">
        <f>SUMIFS('caseload data'!G:G,'caseload data'!$D:$D,"PSO",'caseload data'!$A:$A,"East Midlands Region",'caseload data'!$B:$B,"custody")</f>
        <v>0</v>
      </c>
      <c r="G122" s="98">
        <f>SUMIFS('caseload data'!H:H,'caseload data'!$D:$D,"PSO",'caseload data'!$A:$A,"East Midlands Region",'caseload data'!$B:$B,"custody")</f>
        <v>0</v>
      </c>
      <c r="H122" s="98">
        <f>SUMIFS('caseload data'!I:I,'caseload data'!$D:$D,"PSO",'caseload data'!$A:$A,"East Midlands Region",'caseload data'!$B:$B,"custody")</f>
        <v>0</v>
      </c>
      <c r="I122" s="98">
        <f>SUMIFS('caseload data'!J:J,'caseload data'!$D:$D,"PSO",'caseload data'!$A:$A,"East Midlands Region",'caseload data'!$B:$B,"custody")</f>
        <v>0</v>
      </c>
      <c r="J122" s="98">
        <f>SUMIFS('caseload data'!K:K,'caseload data'!$D:$D,"PSO",'caseload data'!$A:$A,"East Midlands Region",'caseload data'!$B:$B,"custody")</f>
        <v>0</v>
      </c>
      <c r="K122" s="98">
        <f>SUMIFS('caseload data'!L:L,'caseload data'!$D:$D,"PSO",'caseload data'!$A:$A,"East Midlands Region",'caseload data'!$B:$B,"custody")</f>
        <v>0</v>
      </c>
      <c r="L122" s="98">
        <f>SUMIFS('caseload data'!M:M,'caseload data'!$D:$D,"PSO",'caseload data'!$A:$A,"East Midlands Region",'caseload data'!$B:$B,"custody")</f>
        <v>0</v>
      </c>
      <c r="M122" s="98">
        <f>SUMIFS('caseload data'!N:N,'caseload data'!$D:$D,"PSO",'caseload data'!$A:$A,"East Midlands Region",'caseload data'!$B:$B,"custody")</f>
        <v>0</v>
      </c>
      <c r="N122" s="98">
        <f>SUMIFS('caseload data'!O:O,'caseload data'!$D:$D,"PSO",'caseload data'!$A:$A,"East Midlands Region",'caseload data'!$B:$B,"custody")</f>
        <v>0</v>
      </c>
      <c r="O122" s="98">
        <f>SUMIFS('caseload data'!P:P,'caseload data'!$D:$D,"PSO",'caseload data'!$A:$A,"East Midlands Region",'caseload data'!$B:$B,"custody")</f>
        <v>0</v>
      </c>
      <c r="P122" s="98">
        <f>SUMIFS('caseload data'!Q:Q,'caseload data'!$D:$D,"PSO",'caseload data'!$A:$A,"East Midlands Region",'caseload data'!$B:$B,"custody")</f>
        <v>0</v>
      </c>
      <c r="Q122" s="98">
        <f>SUMIFS('caseload data'!R:R,'caseload data'!$D:$D,"PSO",'caseload data'!$A:$A,"East Midlands Region",'caseload data'!$B:$B,"custody")</f>
        <v>0</v>
      </c>
      <c r="R122" s="98">
        <f>SUMIFS('caseload data'!S:S,'caseload data'!$D:$D,"PSO",'caseload data'!$A:$A,"East Midlands Region",'caseload data'!$B:$B,"custody")</f>
        <v>0</v>
      </c>
      <c r="S122" s="98">
        <f>SUMIFS('caseload data'!T:T,'caseload data'!$D:$D,"PSO",'caseload data'!$A:$A,"East Midlands Region",'caseload data'!$B:$B,"custody")</f>
        <v>0</v>
      </c>
      <c r="T122" s="98">
        <f>SUMIFS('caseload data'!V:V,'caseload data'!D:D,"PSO",'caseload data'!A:A,"East Midlands Region",'caseload data'!B:B,"custody")</f>
        <v>0</v>
      </c>
      <c r="U122" s="68"/>
      <c r="V122" s="68"/>
      <c r="W122" s="427"/>
      <c r="X122" s="133" t="s">
        <v>1172</v>
      </c>
      <c r="Y122" s="175" t="e">
        <f>SUM(D122)/SUM(D$121:D$124)</f>
        <v>#DIV/0!</v>
      </c>
      <c r="Z122" s="175" t="e">
        <f t="shared" si="25"/>
        <v>#DIV/0!</v>
      </c>
      <c r="AA122" s="175" t="e">
        <f t="shared" si="25"/>
        <v>#DIV/0!</v>
      </c>
      <c r="AB122" s="175" t="e">
        <f t="shared" si="25"/>
        <v>#DIV/0!</v>
      </c>
      <c r="AC122" s="175" t="e">
        <f t="shared" si="25"/>
        <v>#DIV/0!</v>
      </c>
      <c r="AD122" s="175" t="e">
        <f t="shared" si="25"/>
        <v>#DIV/0!</v>
      </c>
      <c r="AE122" s="175" t="e">
        <f t="shared" si="25"/>
        <v>#DIV/0!</v>
      </c>
      <c r="AF122" s="175" t="e">
        <f t="shared" si="25"/>
        <v>#DIV/0!</v>
      </c>
      <c r="AG122" s="175" t="e">
        <f t="shared" si="25"/>
        <v>#DIV/0!</v>
      </c>
      <c r="AH122" s="175" t="e">
        <f t="shared" si="25"/>
        <v>#DIV/0!</v>
      </c>
      <c r="AI122" s="175" t="e">
        <f t="shared" si="25"/>
        <v>#DIV/0!</v>
      </c>
      <c r="AJ122" s="175" t="e">
        <f t="shared" si="25"/>
        <v>#DIV/0!</v>
      </c>
      <c r="AK122" s="175" t="e">
        <f t="shared" si="25"/>
        <v>#DIV/0!</v>
      </c>
      <c r="AL122" s="175" t="e">
        <f t="shared" si="25"/>
        <v>#DIV/0!</v>
      </c>
      <c r="AM122" s="175" t="e">
        <f t="shared" si="25"/>
        <v>#DIV/0!</v>
      </c>
      <c r="AN122" s="175" t="e">
        <f t="shared" si="25"/>
        <v>#DIV/0!</v>
      </c>
    </row>
    <row r="123" spans="2:40" x14ac:dyDescent="0.15">
      <c r="B123" s="427"/>
      <c r="C123" s="133" t="s">
        <v>1173</v>
      </c>
      <c r="D123" s="98">
        <f>SUMIFS('caseload data'!E:E,'caseload data'!$D:$D,"TPO",'caseload data'!$A:$A,"East Midlands Region",'caseload data'!$B:$B,"custody")</f>
        <v>0</v>
      </c>
      <c r="E123" s="98">
        <f>SUMIFS('caseload data'!F:F,'caseload data'!$D:$D,"TPO",'caseload data'!$A:$A,"East Midlands Region",'caseload data'!$B:$B,"custody")</f>
        <v>0</v>
      </c>
      <c r="F123" s="98">
        <f>SUMIFS('caseload data'!G:G,'caseload data'!$D:$D,"TPO",'caseload data'!$A:$A,"East Midlands Region",'caseload data'!$B:$B,"custody")</f>
        <v>0</v>
      </c>
      <c r="G123" s="98">
        <f>SUMIFS('caseload data'!H:H,'caseload data'!$D:$D,"TPO",'caseload data'!$A:$A,"East Midlands Region",'caseload data'!$B:$B,"custody")</f>
        <v>0</v>
      </c>
      <c r="H123" s="98">
        <f>SUMIFS('caseload data'!I:I,'caseload data'!$D:$D,"TPO",'caseload data'!$A:$A,"East Midlands Region",'caseload data'!$B:$B,"custody")</f>
        <v>0</v>
      </c>
      <c r="I123" s="98">
        <f>SUMIFS('caseload data'!J:J,'caseload data'!$D:$D,"TPO",'caseload data'!$A:$A,"East Midlands Region",'caseload data'!$B:$B,"custody")</f>
        <v>0</v>
      </c>
      <c r="J123" s="98">
        <f>SUMIFS('caseload data'!K:K,'caseload data'!$D:$D,"TPO",'caseload data'!$A:$A,"East Midlands Region",'caseload data'!$B:$B,"custody")</f>
        <v>0</v>
      </c>
      <c r="K123" s="98">
        <f>SUMIFS('caseload data'!L:L,'caseload data'!$D:$D,"TPO",'caseload data'!$A:$A,"East Midlands Region",'caseload data'!$B:$B,"custody")</f>
        <v>0</v>
      </c>
      <c r="L123" s="98">
        <f>SUMIFS('caseload data'!M:M,'caseload data'!$D:$D,"TPO",'caseload data'!$A:$A,"East Midlands Region",'caseload data'!$B:$B,"custody")</f>
        <v>0</v>
      </c>
      <c r="M123" s="98">
        <f>SUMIFS('caseload data'!N:N,'caseload data'!$D:$D,"TPO",'caseload data'!$A:$A,"East Midlands Region",'caseload data'!$B:$B,"custody")</f>
        <v>0</v>
      </c>
      <c r="N123" s="98">
        <f>SUMIFS('caseload data'!O:O,'caseload data'!$D:$D,"TPO",'caseload data'!$A:$A,"East Midlands Region",'caseload data'!$B:$B,"custody")</f>
        <v>0</v>
      </c>
      <c r="O123" s="98">
        <f>SUMIFS('caseload data'!P:P,'caseload data'!$D:$D,"TPO",'caseload data'!$A:$A,"East Midlands Region",'caseload data'!$B:$B,"custody")</f>
        <v>0</v>
      </c>
      <c r="P123" s="98">
        <f>SUMIFS('caseload data'!Q:Q,'caseload data'!$D:$D,"TPO",'caseload data'!$A:$A,"East Midlands Region",'caseload data'!$B:$B,"custody")</f>
        <v>0</v>
      </c>
      <c r="Q123" s="98">
        <f>SUMIFS('caseload data'!R:R,'caseload data'!$D:$D,"TPO",'caseload data'!$A:$A,"East Midlands Region",'caseload data'!$B:$B,"custody")</f>
        <v>0</v>
      </c>
      <c r="R123" s="98">
        <f>SUMIFS('caseload data'!S:S,'caseload data'!$D:$D,"TPO",'caseload data'!$A:$A,"East Midlands Region",'caseload data'!$B:$B,"custody")</f>
        <v>0</v>
      </c>
      <c r="S123" s="98">
        <f>SUMIFS('caseload data'!T:T,'caseload data'!$D:$D,"TPO",'caseload data'!$A:$A,"East Midlands Region",'caseload data'!$B:$B,"custody")</f>
        <v>0</v>
      </c>
      <c r="T123" s="98">
        <f>SUMIFS('caseload data'!V:V,'caseload data'!D:D,"TPO",'caseload data'!A:A,"East Midlands Region",'caseload data'!B:B,"custody")</f>
        <v>0</v>
      </c>
      <c r="U123" s="68"/>
      <c r="V123" s="68"/>
      <c r="W123" s="427"/>
      <c r="X123" s="133" t="s">
        <v>1173</v>
      </c>
      <c r="Y123" s="175" t="e">
        <f>SUM(D123)/SUM(D$121:D$124)</f>
        <v>#DIV/0!</v>
      </c>
      <c r="Z123" s="175" t="e">
        <f t="shared" si="25"/>
        <v>#DIV/0!</v>
      </c>
      <c r="AA123" s="175" t="e">
        <f t="shared" si="25"/>
        <v>#DIV/0!</v>
      </c>
      <c r="AB123" s="175" t="e">
        <f t="shared" si="25"/>
        <v>#DIV/0!</v>
      </c>
      <c r="AC123" s="175" t="e">
        <f t="shared" si="25"/>
        <v>#DIV/0!</v>
      </c>
      <c r="AD123" s="175" t="e">
        <f t="shared" si="25"/>
        <v>#DIV/0!</v>
      </c>
      <c r="AE123" s="175" t="e">
        <f t="shared" si="25"/>
        <v>#DIV/0!</v>
      </c>
      <c r="AF123" s="175" t="e">
        <f t="shared" si="25"/>
        <v>#DIV/0!</v>
      </c>
      <c r="AG123" s="175" t="e">
        <f t="shared" si="25"/>
        <v>#DIV/0!</v>
      </c>
      <c r="AH123" s="175" t="e">
        <f t="shared" si="25"/>
        <v>#DIV/0!</v>
      </c>
      <c r="AI123" s="175" t="e">
        <f t="shared" si="25"/>
        <v>#DIV/0!</v>
      </c>
      <c r="AJ123" s="175" t="e">
        <f t="shared" si="25"/>
        <v>#DIV/0!</v>
      </c>
      <c r="AK123" s="175" t="e">
        <f t="shared" si="25"/>
        <v>#DIV/0!</v>
      </c>
      <c r="AL123" s="175" t="e">
        <f t="shared" si="25"/>
        <v>#DIV/0!</v>
      </c>
      <c r="AM123" s="175" t="e">
        <f t="shared" si="25"/>
        <v>#DIV/0!</v>
      </c>
      <c r="AN123" s="175" t="e">
        <f t="shared" si="25"/>
        <v>#DIV/0!</v>
      </c>
    </row>
    <row r="124" spans="2:40" x14ac:dyDescent="0.15">
      <c r="B124" s="428"/>
      <c r="C124" s="134" t="s">
        <v>1174</v>
      </c>
      <c r="D124" s="98">
        <f>SUMIFS('caseload data'!E:E,'caseload data'!$D:$D,"SPO",'caseload data'!$A:$A,"East Midlands Region",'caseload data'!$B:$B,"custody")</f>
        <v>0</v>
      </c>
      <c r="E124" s="98">
        <f>SUMIFS('caseload data'!F:F,'caseload data'!$D:$D,"SPO",'caseload data'!$A:$A,"East Midlands Region",'caseload data'!$B:$B,"custody")</f>
        <v>0</v>
      </c>
      <c r="F124" s="98">
        <f>SUMIFS('caseload data'!G:G,'caseload data'!$D:$D,"SPO",'caseload data'!$A:$A,"East Midlands Region",'caseload data'!$B:$B,"custody")</f>
        <v>0</v>
      </c>
      <c r="G124" s="98">
        <f>SUMIFS('caseload data'!H:H,'caseload data'!$D:$D,"SPO",'caseload data'!$A:$A,"East Midlands Region",'caseload data'!$B:$B,"custody")</f>
        <v>0</v>
      </c>
      <c r="H124" s="98">
        <f>SUMIFS('caseload data'!I:I,'caseload data'!$D:$D,"SPO",'caseload data'!$A:$A,"East Midlands Region",'caseload data'!$B:$B,"custody")</f>
        <v>0</v>
      </c>
      <c r="I124" s="98">
        <f>SUMIFS('caseload data'!J:J,'caseload data'!$D:$D,"SPO",'caseload data'!$A:$A,"East Midlands Region",'caseload data'!$B:$B,"custody")</f>
        <v>0</v>
      </c>
      <c r="J124" s="98">
        <f>SUMIFS('caseload data'!K:K,'caseload data'!$D:$D,"SPO",'caseload data'!$A:$A,"East Midlands Region",'caseload data'!$B:$B,"custody")</f>
        <v>0</v>
      </c>
      <c r="K124" s="98">
        <f>SUMIFS('caseload data'!L:L,'caseload data'!$D:$D,"SPO",'caseload data'!$A:$A,"East Midlands Region",'caseload data'!$B:$B,"custody")</f>
        <v>0</v>
      </c>
      <c r="L124" s="98">
        <f>SUMIFS('caseload data'!M:M,'caseload data'!$D:$D,"SPO",'caseload data'!$A:$A,"East Midlands Region",'caseload data'!$B:$B,"custody")</f>
        <v>0</v>
      </c>
      <c r="M124" s="98">
        <f>SUMIFS('caseload data'!N:N,'caseload data'!$D:$D,"SPO",'caseload data'!$A:$A,"East Midlands Region",'caseload data'!$B:$B,"custody")</f>
        <v>0</v>
      </c>
      <c r="N124" s="98">
        <f>SUMIFS('caseload data'!O:O,'caseload data'!$D:$D,"SPO",'caseload data'!$A:$A,"East Midlands Region",'caseload data'!$B:$B,"custody")</f>
        <v>0</v>
      </c>
      <c r="O124" s="98">
        <f>SUMIFS('caseload data'!P:P,'caseload data'!$D:$D,"SPO",'caseload data'!$A:$A,"East Midlands Region",'caseload data'!$B:$B,"custody")</f>
        <v>0</v>
      </c>
      <c r="P124" s="98">
        <f>SUMIFS('caseload data'!Q:Q,'caseload data'!$D:$D,"SPO",'caseload data'!$A:$A,"East Midlands Region",'caseload data'!$B:$B,"custody")</f>
        <v>0</v>
      </c>
      <c r="Q124" s="98">
        <f>SUMIFS('caseload data'!R:R,'caseload data'!$D:$D,"SPO",'caseload data'!$A:$A,"East Midlands Region",'caseload data'!$B:$B,"custody")</f>
        <v>0</v>
      </c>
      <c r="R124" s="98">
        <f>SUMIFS('caseload data'!S:S,'caseload data'!$D:$D,"SPO",'caseload data'!$A:$A,"East Midlands Region",'caseload data'!$B:$B,"custody")</f>
        <v>0</v>
      </c>
      <c r="S124" s="98">
        <f>SUMIFS('caseload data'!T:T,'caseload data'!$D:$D,"SPO",'caseload data'!$A:$A,"East Midlands Region",'caseload data'!$B:$B,"custody")</f>
        <v>0</v>
      </c>
      <c r="T124" s="98">
        <f>SUMIFS('caseload data'!V:V,'caseload data'!$D:$D,"SPO",'caseload data'!$A:$A,"East Midlands Region",'caseload data'!$B:$B,"custody")</f>
        <v>0</v>
      </c>
      <c r="U124" s="68"/>
      <c r="V124" s="68"/>
      <c r="W124" s="428"/>
      <c r="X124" s="134" t="s">
        <v>1174</v>
      </c>
      <c r="Y124" s="175" t="e">
        <f>SUM(D124)/SUM(D$121:D$124)</f>
        <v>#DIV/0!</v>
      </c>
      <c r="Z124" s="175" t="e">
        <f t="shared" si="25"/>
        <v>#DIV/0!</v>
      </c>
      <c r="AA124" s="175" t="e">
        <f t="shared" si="25"/>
        <v>#DIV/0!</v>
      </c>
      <c r="AB124" s="175" t="e">
        <f t="shared" si="25"/>
        <v>#DIV/0!</v>
      </c>
      <c r="AC124" s="175" t="e">
        <f t="shared" si="25"/>
        <v>#DIV/0!</v>
      </c>
      <c r="AD124" s="175" t="e">
        <f t="shared" si="25"/>
        <v>#DIV/0!</v>
      </c>
      <c r="AE124" s="175" t="e">
        <f t="shared" si="25"/>
        <v>#DIV/0!</v>
      </c>
      <c r="AF124" s="175" t="e">
        <f t="shared" si="25"/>
        <v>#DIV/0!</v>
      </c>
      <c r="AG124" s="175" t="e">
        <f t="shared" si="25"/>
        <v>#DIV/0!</v>
      </c>
      <c r="AH124" s="175" t="e">
        <f t="shared" si="25"/>
        <v>#DIV/0!</v>
      </c>
      <c r="AI124" s="175" t="e">
        <f t="shared" si="25"/>
        <v>#DIV/0!</v>
      </c>
      <c r="AJ124" s="175" t="e">
        <f t="shared" si="25"/>
        <v>#DIV/0!</v>
      </c>
      <c r="AK124" s="175" t="e">
        <f t="shared" si="25"/>
        <v>#DIV/0!</v>
      </c>
      <c r="AL124" s="175" t="e">
        <f t="shared" si="25"/>
        <v>#DIV/0!</v>
      </c>
      <c r="AM124" s="175" t="e">
        <f t="shared" si="25"/>
        <v>#DIV/0!</v>
      </c>
      <c r="AN124" s="175" t="e">
        <f t="shared" si="25"/>
        <v>#DIV/0!</v>
      </c>
    </row>
    <row r="125" spans="2:40" x14ac:dyDescent="0.15">
      <c r="B125" s="426" t="s">
        <v>24</v>
      </c>
      <c r="C125" s="132" t="s">
        <v>1166</v>
      </c>
      <c r="D125" s="98">
        <f>SUMIFS('caseload data'!E:E,'caseload data'!$D:$D,"PO",'caseload data'!$A:$A,$B$125,'caseload data'!$B:$B,"custody")</f>
        <v>0</v>
      </c>
      <c r="E125" s="98">
        <f>SUMIFS('caseload data'!F:F,'caseload data'!$D:$D,"PO",'caseload data'!$A:$A,$B$125,'caseload data'!$B:$B,"custody")</f>
        <v>0</v>
      </c>
      <c r="F125" s="98">
        <f>SUMIFS('caseload data'!G:G,'caseload data'!$D:$D,"PO",'caseload data'!$A:$A,$B$125,'caseload data'!$B:$B,"custody")</f>
        <v>0</v>
      </c>
      <c r="G125" s="98">
        <f>SUMIFS('caseload data'!H:H,'caseload data'!$D:$D,"PO",'caseload data'!$A:$A,$B$125,'caseload data'!$B:$B,"custody")</f>
        <v>0</v>
      </c>
      <c r="H125" s="98">
        <f>SUMIFS('caseload data'!I:I,'caseload data'!$D:$D,"PO",'caseload data'!$A:$A,$B$125,'caseload data'!$B:$B,"custody")</f>
        <v>0</v>
      </c>
      <c r="I125" s="98">
        <f>SUMIFS('caseload data'!J:J,'caseload data'!$D:$D,"PO",'caseload data'!$A:$A,$B$125,'caseload data'!$B:$B,"custody")</f>
        <v>0</v>
      </c>
      <c r="J125" s="98">
        <f>SUMIFS('caseload data'!K:K,'caseload data'!$D:$D,"PO",'caseload data'!$A:$A,$B$125,'caseload data'!$B:$B,"custody")</f>
        <v>0</v>
      </c>
      <c r="K125" s="98">
        <f>SUMIFS('caseload data'!L:L,'caseload data'!$D:$D,"PO",'caseload data'!$A:$A,$B$125,'caseload data'!$B:$B,"custody")</f>
        <v>0</v>
      </c>
      <c r="L125" s="98">
        <f>SUMIFS('caseload data'!M:M,'caseload data'!$D:$D,"PO",'caseload data'!$A:$A,$B$125,'caseload data'!$B:$B,"custody")</f>
        <v>0</v>
      </c>
      <c r="M125" s="98">
        <f>SUMIFS('caseload data'!N:N,'caseload data'!$D:$D,"PO",'caseload data'!$A:$A,$B$125,'caseload data'!$B:$B,"custody")</f>
        <v>0</v>
      </c>
      <c r="N125" s="98">
        <f>SUMIFS('caseload data'!O:O,'caseload data'!$D:$D,"PO",'caseload data'!$A:$A,$B$125,'caseload data'!$B:$B,"custody")</f>
        <v>0</v>
      </c>
      <c r="O125" s="98">
        <f>SUMIFS('caseload data'!P:P,'caseload data'!$D:$D,"PO",'caseload data'!$A:$A,$B$125,'caseload data'!$B:$B,"custody")</f>
        <v>0</v>
      </c>
      <c r="P125" s="98">
        <f>SUMIFS('caseload data'!Q:Q,'caseload data'!$D:$D,"PO",'caseload data'!$A:$A,$B$125,'caseload data'!$B:$B,"custody")</f>
        <v>0</v>
      </c>
      <c r="Q125" s="98">
        <f>SUMIFS('caseload data'!R:R,'caseload data'!$D:$D,"PO",'caseload data'!$A:$A,$B$125,'caseload data'!$B:$B,"custody")</f>
        <v>0</v>
      </c>
      <c r="R125" s="98">
        <f>SUMIFS('caseload data'!S:S,'caseload data'!$D:$D,"PO",'caseload data'!$A:$A,$B$125,'caseload data'!$B:$B,"custody")</f>
        <v>0</v>
      </c>
      <c r="S125" s="98">
        <f>SUMIFS('caseload data'!T:T,'caseload data'!$D:$D,"PO",'caseload data'!$A:$A,$B$125,'caseload data'!$B:$B,"custody")</f>
        <v>0</v>
      </c>
      <c r="T125" s="98">
        <f>SUMIFS('caseload data'!V:V,'caseload data'!D:D,"PO",'caseload data'!A:A,B125,'caseload data'!B:B,"custody")</f>
        <v>0</v>
      </c>
      <c r="U125" s="68"/>
      <c r="V125" s="68"/>
      <c r="W125" s="426" t="s">
        <v>24</v>
      </c>
      <c r="X125" s="132" t="s">
        <v>1166</v>
      </c>
      <c r="Y125" s="175" t="e">
        <f>SUM(D125)/SUM(D$125:D$128)</f>
        <v>#DIV/0!</v>
      </c>
      <c r="Z125" s="175" t="e">
        <f t="shared" ref="Z125:AN128" si="26">SUM(E125)/SUM(E$125:E$128)</f>
        <v>#DIV/0!</v>
      </c>
      <c r="AA125" s="175" t="e">
        <f t="shared" si="26"/>
        <v>#DIV/0!</v>
      </c>
      <c r="AB125" s="175" t="e">
        <f t="shared" si="26"/>
        <v>#DIV/0!</v>
      </c>
      <c r="AC125" s="175" t="e">
        <f t="shared" si="26"/>
        <v>#DIV/0!</v>
      </c>
      <c r="AD125" s="175" t="e">
        <f t="shared" si="26"/>
        <v>#DIV/0!</v>
      </c>
      <c r="AE125" s="175" t="e">
        <f t="shared" si="26"/>
        <v>#DIV/0!</v>
      </c>
      <c r="AF125" s="175" t="e">
        <f t="shared" si="26"/>
        <v>#DIV/0!</v>
      </c>
      <c r="AG125" s="175" t="e">
        <f t="shared" si="26"/>
        <v>#DIV/0!</v>
      </c>
      <c r="AH125" s="175" t="e">
        <f t="shared" si="26"/>
        <v>#DIV/0!</v>
      </c>
      <c r="AI125" s="175" t="e">
        <f t="shared" si="26"/>
        <v>#DIV/0!</v>
      </c>
      <c r="AJ125" s="175" t="e">
        <f t="shared" si="26"/>
        <v>#DIV/0!</v>
      </c>
      <c r="AK125" s="175" t="e">
        <f t="shared" si="26"/>
        <v>#DIV/0!</v>
      </c>
      <c r="AL125" s="175" t="e">
        <f t="shared" si="26"/>
        <v>#DIV/0!</v>
      </c>
      <c r="AM125" s="175" t="e">
        <f t="shared" si="26"/>
        <v>#DIV/0!</v>
      </c>
      <c r="AN125" s="175" t="e">
        <f t="shared" si="26"/>
        <v>#DIV/0!</v>
      </c>
    </row>
    <row r="126" spans="2:40" x14ac:dyDescent="0.15">
      <c r="B126" s="427"/>
      <c r="C126" s="133" t="s">
        <v>1172</v>
      </c>
      <c r="D126" s="98">
        <f>SUMIFS('caseload data'!E:E,'caseload data'!$D:$D,"PSO",'caseload data'!$A:$A,"East of England",'caseload data'!$B:$B,"custody")</f>
        <v>0</v>
      </c>
      <c r="E126" s="98">
        <f>SUMIFS('caseload data'!F:F,'caseload data'!$D:$D,"PSO",'caseload data'!$A:$A,"East of England",'caseload data'!$B:$B,"custody")</f>
        <v>0</v>
      </c>
      <c r="F126" s="98">
        <f>SUMIFS('caseload data'!G:G,'caseload data'!$D:$D,"PSO",'caseload data'!$A:$A,"East of England",'caseload data'!$B:$B,"custody")</f>
        <v>0</v>
      </c>
      <c r="G126" s="98">
        <f>SUMIFS('caseload data'!H:H,'caseload data'!$D:$D,"PSO",'caseload data'!$A:$A,"East of England",'caseload data'!$B:$B,"custody")</f>
        <v>0</v>
      </c>
      <c r="H126" s="98">
        <f>SUMIFS('caseload data'!I:I,'caseload data'!$D:$D,"PSO",'caseload data'!$A:$A,"East of England",'caseload data'!$B:$B,"custody")</f>
        <v>0</v>
      </c>
      <c r="I126" s="98">
        <f>SUMIFS('caseload data'!J:J,'caseload data'!$D:$D,"PSO",'caseload data'!$A:$A,"East of England",'caseload data'!$B:$B,"custody")</f>
        <v>0</v>
      </c>
      <c r="J126" s="98">
        <f>SUMIFS('caseload data'!K:K,'caseload data'!$D:$D,"PSO",'caseload data'!$A:$A,"East of England",'caseload data'!$B:$B,"custody")</f>
        <v>0</v>
      </c>
      <c r="K126" s="98">
        <f>SUMIFS('caseload data'!L:L,'caseload data'!$D:$D,"PSO",'caseload data'!$A:$A,"East of England",'caseload data'!$B:$B,"custody")</f>
        <v>0</v>
      </c>
      <c r="L126" s="98">
        <f>SUMIFS('caseload data'!M:M,'caseload data'!$D:$D,"PSO",'caseload data'!$A:$A,"East of England",'caseload data'!$B:$B,"custody")</f>
        <v>0</v>
      </c>
      <c r="M126" s="98">
        <f>SUMIFS('caseload data'!N:N,'caseload data'!$D:$D,"PSO",'caseload data'!$A:$A,"East of England",'caseload data'!$B:$B,"custody")</f>
        <v>0</v>
      </c>
      <c r="N126" s="98">
        <f>SUMIFS('caseload data'!O:O,'caseload data'!$D:$D,"PSO",'caseload data'!$A:$A,"East of England",'caseload data'!$B:$B,"custody")</f>
        <v>0</v>
      </c>
      <c r="O126" s="98">
        <f>SUMIFS('caseload data'!P:P,'caseload data'!$D:$D,"PSO",'caseload data'!$A:$A,"East of England",'caseload data'!$B:$B,"custody")</f>
        <v>0</v>
      </c>
      <c r="P126" s="98">
        <f>SUMIFS('caseload data'!Q:Q,'caseload data'!$D:$D,"PSO",'caseload data'!$A:$A,"East of England",'caseload data'!$B:$B,"custody")</f>
        <v>0</v>
      </c>
      <c r="Q126" s="98">
        <f>SUMIFS('caseload data'!R:R,'caseload data'!$D:$D,"PSO",'caseload data'!$A:$A,"East of England",'caseload data'!$B:$B,"custody")</f>
        <v>0</v>
      </c>
      <c r="R126" s="98">
        <f>SUMIFS('caseload data'!S:S,'caseload data'!$D:$D,"PSO",'caseload data'!$A:$A,"East of England",'caseload data'!$B:$B,"custody")</f>
        <v>0</v>
      </c>
      <c r="S126" s="98">
        <f>SUMIFS('caseload data'!T:T,'caseload data'!$D:$D,"PSO",'caseload data'!$A:$A,"East of England",'caseload data'!$B:$B,"custody")</f>
        <v>0</v>
      </c>
      <c r="T126" s="98">
        <f>SUMIFS('caseload data'!V:V,'caseload data'!D:D,"PSO",'caseload data'!A:A,"East of England",'caseload data'!B:B,"custody")</f>
        <v>0</v>
      </c>
      <c r="U126" s="68"/>
      <c r="V126" s="68"/>
      <c r="W126" s="427"/>
      <c r="X126" s="133" t="s">
        <v>1172</v>
      </c>
      <c r="Y126" s="175" t="e">
        <f>SUM(D126)/SUM(D$125:D$128)</f>
        <v>#DIV/0!</v>
      </c>
      <c r="Z126" s="175" t="e">
        <f t="shared" si="26"/>
        <v>#DIV/0!</v>
      </c>
      <c r="AA126" s="175" t="e">
        <f t="shared" si="26"/>
        <v>#DIV/0!</v>
      </c>
      <c r="AB126" s="175" t="e">
        <f t="shared" si="26"/>
        <v>#DIV/0!</v>
      </c>
      <c r="AC126" s="175" t="e">
        <f t="shared" si="26"/>
        <v>#DIV/0!</v>
      </c>
      <c r="AD126" s="175" t="e">
        <f t="shared" si="26"/>
        <v>#DIV/0!</v>
      </c>
      <c r="AE126" s="175" t="e">
        <f t="shared" si="26"/>
        <v>#DIV/0!</v>
      </c>
      <c r="AF126" s="175" t="e">
        <f t="shared" si="26"/>
        <v>#DIV/0!</v>
      </c>
      <c r="AG126" s="175" t="e">
        <f t="shared" si="26"/>
        <v>#DIV/0!</v>
      </c>
      <c r="AH126" s="175" t="e">
        <f t="shared" si="26"/>
        <v>#DIV/0!</v>
      </c>
      <c r="AI126" s="175" t="e">
        <f t="shared" si="26"/>
        <v>#DIV/0!</v>
      </c>
      <c r="AJ126" s="175" t="e">
        <f t="shared" si="26"/>
        <v>#DIV/0!</v>
      </c>
      <c r="AK126" s="175" t="e">
        <f t="shared" si="26"/>
        <v>#DIV/0!</v>
      </c>
      <c r="AL126" s="175" t="e">
        <f t="shared" si="26"/>
        <v>#DIV/0!</v>
      </c>
      <c r="AM126" s="175" t="e">
        <f t="shared" si="26"/>
        <v>#DIV/0!</v>
      </c>
      <c r="AN126" s="175" t="e">
        <f t="shared" si="26"/>
        <v>#DIV/0!</v>
      </c>
    </row>
    <row r="127" spans="2:40" x14ac:dyDescent="0.15">
      <c r="B127" s="427"/>
      <c r="C127" s="133" t="s">
        <v>1173</v>
      </c>
      <c r="D127" s="98">
        <f>SUMIFS('caseload data'!E:E,'caseload data'!$D:$D,"TPO",'caseload data'!$A:$A,"East of England",'caseload data'!$B:$B,"custody")</f>
        <v>0</v>
      </c>
      <c r="E127" s="98">
        <f>SUMIFS('caseload data'!F:F,'caseload data'!$D:$D,"TPO",'caseload data'!$A:$A,"East of England",'caseload data'!$B:$B,"custody")</f>
        <v>0</v>
      </c>
      <c r="F127" s="98">
        <f>SUMIFS('caseload data'!G:G,'caseload data'!$D:$D,"TPO",'caseload data'!$A:$A,"East of England",'caseload data'!$B:$B,"custody")</f>
        <v>0</v>
      </c>
      <c r="G127" s="98">
        <f>SUMIFS('caseload data'!H:H,'caseload data'!$D:$D,"TPO",'caseload data'!$A:$A,"East of England",'caseload data'!$B:$B,"custody")</f>
        <v>0</v>
      </c>
      <c r="H127" s="98">
        <f>SUMIFS('caseload data'!I:I,'caseload data'!$D:$D,"TPO",'caseload data'!$A:$A,"East of England",'caseload data'!$B:$B,"custody")</f>
        <v>0</v>
      </c>
      <c r="I127" s="98">
        <f>SUMIFS('caseload data'!J:J,'caseload data'!$D:$D,"TPO",'caseload data'!$A:$A,"East of England",'caseload data'!$B:$B,"custody")</f>
        <v>0</v>
      </c>
      <c r="J127" s="98">
        <f>SUMIFS('caseload data'!K:K,'caseload data'!$D:$D,"TPO",'caseload data'!$A:$A,"East of England",'caseload data'!$B:$B,"custody")</f>
        <v>0</v>
      </c>
      <c r="K127" s="98">
        <f>SUMIFS('caseload data'!L:L,'caseload data'!$D:$D,"TPO",'caseload data'!$A:$A,"East of England",'caseload data'!$B:$B,"custody")</f>
        <v>0</v>
      </c>
      <c r="L127" s="98">
        <f>SUMIFS('caseload data'!M:M,'caseload data'!$D:$D,"TPO",'caseload data'!$A:$A,"East of England",'caseload data'!$B:$B,"custody")</f>
        <v>0</v>
      </c>
      <c r="M127" s="98">
        <f>SUMIFS('caseload data'!N:N,'caseload data'!$D:$D,"TPO",'caseload data'!$A:$A,"East of England",'caseload data'!$B:$B,"custody")</f>
        <v>0</v>
      </c>
      <c r="N127" s="98">
        <f>SUMIFS('caseload data'!O:O,'caseload data'!$D:$D,"TPO",'caseload data'!$A:$A,"East of England",'caseload data'!$B:$B,"custody")</f>
        <v>0</v>
      </c>
      <c r="O127" s="98">
        <f>SUMIFS('caseload data'!P:P,'caseload data'!$D:$D,"TPO",'caseload data'!$A:$A,"East of England",'caseload data'!$B:$B,"custody")</f>
        <v>0</v>
      </c>
      <c r="P127" s="98">
        <f>SUMIFS('caseload data'!Q:Q,'caseload data'!$D:$D,"TPO",'caseload data'!$A:$A,"East of England",'caseload data'!$B:$B,"custody")</f>
        <v>0</v>
      </c>
      <c r="Q127" s="98">
        <f>SUMIFS('caseload data'!R:R,'caseload data'!$D:$D,"TPO",'caseload data'!$A:$A,"East of England",'caseload data'!$B:$B,"custody")</f>
        <v>0</v>
      </c>
      <c r="R127" s="98">
        <f>SUMIFS('caseload data'!S:S,'caseload data'!$D:$D,"TPO",'caseload data'!$A:$A,"East of England",'caseload data'!$B:$B,"custody")</f>
        <v>0</v>
      </c>
      <c r="S127" s="98">
        <f>SUMIFS('caseload data'!T:T,'caseload data'!$D:$D,"TPO",'caseload data'!$A:$A,"East of England",'caseload data'!$B:$B,"custody")</f>
        <v>0</v>
      </c>
      <c r="T127" s="98">
        <f>SUMIFS('caseload data'!V:V,'caseload data'!D:D,"TPO",'caseload data'!A:A,"East of England",'caseload data'!B:B,"custody")</f>
        <v>0</v>
      </c>
      <c r="U127" s="68"/>
      <c r="V127" s="68"/>
      <c r="W127" s="427"/>
      <c r="X127" s="133" t="s">
        <v>1173</v>
      </c>
      <c r="Y127" s="175" t="e">
        <f>SUM(D127)/SUM(D$125:D$128)</f>
        <v>#DIV/0!</v>
      </c>
      <c r="Z127" s="175" t="e">
        <f t="shared" si="26"/>
        <v>#DIV/0!</v>
      </c>
      <c r="AA127" s="175" t="e">
        <f t="shared" si="26"/>
        <v>#DIV/0!</v>
      </c>
      <c r="AB127" s="175" t="e">
        <f t="shared" si="26"/>
        <v>#DIV/0!</v>
      </c>
      <c r="AC127" s="175" t="e">
        <f t="shared" si="26"/>
        <v>#DIV/0!</v>
      </c>
      <c r="AD127" s="175" t="e">
        <f t="shared" si="26"/>
        <v>#DIV/0!</v>
      </c>
      <c r="AE127" s="175" t="e">
        <f t="shared" si="26"/>
        <v>#DIV/0!</v>
      </c>
      <c r="AF127" s="175" t="e">
        <f t="shared" si="26"/>
        <v>#DIV/0!</v>
      </c>
      <c r="AG127" s="175" t="e">
        <f t="shared" si="26"/>
        <v>#DIV/0!</v>
      </c>
      <c r="AH127" s="175" t="e">
        <f t="shared" si="26"/>
        <v>#DIV/0!</v>
      </c>
      <c r="AI127" s="175" t="e">
        <f t="shared" si="26"/>
        <v>#DIV/0!</v>
      </c>
      <c r="AJ127" s="175" t="e">
        <f t="shared" si="26"/>
        <v>#DIV/0!</v>
      </c>
      <c r="AK127" s="175" t="e">
        <f t="shared" si="26"/>
        <v>#DIV/0!</v>
      </c>
      <c r="AL127" s="175" t="e">
        <f t="shared" si="26"/>
        <v>#DIV/0!</v>
      </c>
      <c r="AM127" s="175" t="e">
        <f t="shared" si="26"/>
        <v>#DIV/0!</v>
      </c>
      <c r="AN127" s="175" t="e">
        <f t="shared" si="26"/>
        <v>#DIV/0!</v>
      </c>
    </row>
    <row r="128" spans="2:40" x14ac:dyDescent="0.15">
      <c r="B128" s="428"/>
      <c r="C128" s="134" t="s">
        <v>1174</v>
      </c>
      <c r="D128" s="98">
        <f>SUMIFS('caseload data'!E:E,'caseload data'!$D:$D,"SPO",'caseload data'!$A:$A,"East of England",'caseload data'!$B:$B,"custody")</f>
        <v>0</v>
      </c>
      <c r="E128" s="98">
        <f>SUMIFS('caseload data'!F:F,'caseload data'!$D:$D,"SPO",'caseload data'!$A:$A,"East of England",'caseload data'!$B:$B,"custody")</f>
        <v>0</v>
      </c>
      <c r="F128" s="98">
        <f>SUMIFS('caseload data'!G:G,'caseload data'!$D:$D,"SPO",'caseload data'!$A:$A,"East of England",'caseload data'!$B:$B,"custody")</f>
        <v>0</v>
      </c>
      <c r="G128" s="98">
        <f>SUMIFS('caseload data'!H:H,'caseload data'!$D:$D,"SPO",'caseload data'!$A:$A,"East of England",'caseload data'!$B:$B,"custody")</f>
        <v>0</v>
      </c>
      <c r="H128" s="98">
        <f>SUMIFS('caseload data'!I:I,'caseload data'!$D:$D,"SPO",'caseload data'!$A:$A,"East of England",'caseload data'!$B:$B,"custody")</f>
        <v>0</v>
      </c>
      <c r="I128" s="98">
        <f>SUMIFS('caseload data'!J:J,'caseload data'!$D:$D,"SPO",'caseload data'!$A:$A,"East of England",'caseload data'!$B:$B,"custody")</f>
        <v>0</v>
      </c>
      <c r="J128" s="98">
        <f>SUMIFS('caseload data'!K:K,'caseload data'!$D:$D,"SPO",'caseload data'!$A:$A,"East of England",'caseload data'!$B:$B,"custody")</f>
        <v>0</v>
      </c>
      <c r="K128" s="98">
        <f>SUMIFS('caseload data'!L:L,'caseload data'!$D:$D,"SPO",'caseload data'!$A:$A,"East of England",'caseload data'!$B:$B,"custody")</f>
        <v>0</v>
      </c>
      <c r="L128" s="98">
        <f>SUMIFS('caseload data'!M:M,'caseload data'!$D:$D,"SPO",'caseload data'!$A:$A,"East of England",'caseload data'!$B:$B,"custody")</f>
        <v>0</v>
      </c>
      <c r="M128" s="98">
        <f>SUMIFS('caseload data'!N:N,'caseload data'!$D:$D,"SPO",'caseload data'!$A:$A,"East of England",'caseload data'!$B:$B,"custody")</f>
        <v>0</v>
      </c>
      <c r="N128" s="98">
        <f>SUMIFS('caseload data'!O:O,'caseload data'!$D:$D,"SPO",'caseload data'!$A:$A,"East of England",'caseload data'!$B:$B,"custody")</f>
        <v>0</v>
      </c>
      <c r="O128" s="98">
        <f>SUMIFS('caseload data'!P:P,'caseload data'!$D:$D,"SPO",'caseload data'!$A:$A,"East of England",'caseload data'!$B:$B,"custody")</f>
        <v>0</v>
      </c>
      <c r="P128" s="98">
        <f>SUMIFS('caseload data'!Q:Q,'caseload data'!$D:$D,"SPO",'caseload data'!$A:$A,"East of England",'caseload data'!$B:$B,"custody")</f>
        <v>0</v>
      </c>
      <c r="Q128" s="98">
        <f>SUMIFS('caseload data'!R:R,'caseload data'!$D:$D,"SPO",'caseload data'!$A:$A,"East of England",'caseload data'!$B:$B,"custody")</f>
        <v>0</v>
      </c>
      <c r="R128" s="98">
        <f>SUMIFS('caseload data'!S:S,'caseload data'!$D:$D,"SPO",'caseload data'!$A:$A,"East of England",'caseload data'!$B:$B,"custody")</f>
        <v>0</v>
      </c>
      <c r="S128" s="98">
        <f>SUMIFS('caseload data'!T:T,'caseload data'!$D:$D,"SPO",'caseload data'!$A:$A,"East of England",'caseload data'!$B:$B,"custody")</f>
        <v>0</v>
      </c>
      <c r="T128" s="98">
        <f>SUMIFS('caseload data'!V:V,'caseload data'!$D:$D,"SPO",'caseload data'!$A:$A,"East of England",'caseload data'!$B:$B,"custody")</f>
        <v>0</v>
      </c>
      <c r="U128" s="68"/>
      <c r="V128" s="68"/>
      <c r="W128" s="428"/>
      <c r="X128" s="134" t="s">
        <v>1174</v>
      </c>
      <c r="Y128" s="175" t="e">
        <f>SUM(D128)/SUM(D$125:D$128)</f>
        <v>#DIV/0!</v>
      </c>
      <c r="Z128" s="175" t="e">
        <f t="shared" si="26"/>
        <v>#DIV/0!</v>
      </c>
      <c r="AA128" s="175" t="e">
        <f t="shared" si="26"/>
        <v>#DIV/0!</v>
      </c>
      <c r="AB128" s="175" t="e">
        <f t="shared" si="26"/>
        <v>#DIV/0!</v>
      </c>
      <c r="AC128" s="175" t="e">
        <f t="shared" si="26"/>
        <v>#DIV/0!</v>
      </c>
      <c r="AD128" s="175" t="e">
        <f t="shared" si="26"/>
        <v>#DIV/0!</v>
      </c>
      <c r="AE128" s="175" t="e">
        <f t="shared" si="26"/>
        <v>#DIV/0!</v>
      </c>
      <c r="AF128" s="175" t="e">
        <f t="shared" si="26"/>
        <v>#DIV/0!</v>
      </c>
      <c r="AG128" s="175" t="e">
        <f t="shared" si="26"/>
        <v>#DIV/0!</v>
      </c>
      <c r="AH128" s="175" t="e">
        <f t="shared" si="26"/>
        <v>#DIV/0!</v>
      </c>
      <c r="AI128" s="175" t="e">
        <f t="shared" si="26"/>
        <v>#DIV/0!</v>
      </c>
      <c r="AJ128" s="175" t="e">
        <f t="shared" si="26"/>
        <v>#DIV/0!</v>
      </c>
      <c r="AK128" s="175" t="e">
        <f t="shared" si="26"/>
        <v>#DIV/0!</v>
      </c>
      <c r="AL128" s="175" t="e">
        <f t="shared" si="26"/>
        <v>#DIV/0!</v>
      </c>
      <c r="AM128" s="175" t="e">
        <f t="shared" si="26"/>
        <v>#DIV/0!</v>
      </c>
      <c r="AN128" s="175" t="e">
        <f t="shared" si="26"/>
        <v>#DIV/0!</v>
      </c>
    </row>
    <row r="129" spans="2:40" x14ac:dyDescent="0.15">
      <c r="B129" s="426" t="s">
        <v>25</v>
      </c>
      <c r="C129" s="132" t="s">
        <v>1166</v>
      </c>
      <c r="D129" s="98">
        <f>SUMIFS('caseload data'!E:E,'caseload data'!$D:$D,"PO",'caseload data'!$A:$A,"Greater Manchester",'caseload data'!$B:$B,"custody")</f>
        <v>0</v>
      </c>
      <c r="E129" s="98">
        <f>SUMIFS('caseload data'!F:F,'caseload data'!$D:$D,"PO",'caseload data'!$A:$A,"Greater Manchester",'caseload data'!$B:$B,"custody")</f>
        <v>0</v>
      </c>
      <c r="F129" s="98">
        <f>SUMIFS('caseload data'!G:G,'caseload data'!$D:$D,"PO",'caseload data'!$A:$A,"Greater Manchester",'caseload data'!$B:$B,"custody")</f>
        <v>0</v>
      </c>
      <c r="G129" s="98">
        <f>SUMIFS('caseload data'!H:H,'caseload data'!$D:$D,"PO",'caseload data'!$A:$A,"Greater Manchester",'caseload data'!$B:$B,"custody")</f>
        <v>0</v>
      </c>
      <c r="H129" s="98">
        <f>SUMIFS('caseload data'!I:I,'caseload data'!$D:$D,"PO",'caseload data'!$A:$A,"Greater Manchester",'caseload data'!$B:$B,"custody")</f>
        <v>0</v>
      </c>
      <c r="I129" s="98">
        <f>SUMIFS('caseload data'!J:J,'caseload data'!$D:$D,"PO",'caseload data'!$A:$A,"Greater Manchester",'caseload data'!$B:$B,"custody")</f>
        <v>0</v>
      </c>
      <c r="J129" s="98">
        <f>SUMIFS('caseload data'!K:K,'caseload data'!$D:$D,"PO",'caseload data'!$A:$A,"Greater Manchester",'caseload data'!$B:$B,"custody")</f>
        <v>0</v>
      </c>
      <c r="K129" s="98">
        <f>SUMIFS('caseload data'!L:L,'caseload data'!$D:$D,"PO",'caseload data'!$A:$A,"Greater Manchester",'caseload data'!$B:$B,"custody")</f>
        <v>0</v>
      </c>
      <c r="L129" s="98">
        <f>SUMIFS('caseload data'!M:M,'caseload data'!$D:$D,"PO",'caseload data'!$A:$A,"Greater Manchester",'caseload data'!$B:$B,"custody")</f>
        <v>0</v>
      </c>
      <c r="M129" s="98">
        <f>SUMIFS('caseload data'!N:N,'caseload data'!$D:$D,"PO",'caseload data'!$A:$A,"Greater Manchester",'caseload data'!$B:$B,"custody")</f>
        <v>0</v>
      </c>
      <c r="N129" s="98">
        <f>SUMIFS('caseload data'!O:O,'caseload data'!$D:$D,"PO",'caseload data'!$A:$A,"Greater Manchester",'caseload data'!$B:$B,"custody")</f>
        <v>0</v>
      </c>
      <c r="O129" s="98">
        <f>SUMIFS('caseload data'!P:P,'caseload data'!$D:$D,"PO",'caseload data'!$A:$A,"Greater Manchester",'caseload data'!$B:$B,"custody")</f>
        <v>0</v>
      </c>
      <c r="P129" s="98">
        <f>SUMIFS('caseload data'!Q:Q,'caseload data'!$D:$D,"PO",'caseload data'!$A:$A,"Greater Manchester",'caseload data'!$B:$B,"custody")</f>
        <v>0</v>
      </c>
      <c r="Q129" s="98">
        <f>SUMIFS('caseload data'!R:R,'caseload data'!$D:$D,"PO",'caseload data'!$A:$A,"Greater Manchester",'caseload data'!$B:$B,"custody")</f>
        <v>0</v>
      </c>
      <c r="R129" s="98">
        <f>SUMIFS('caseload data'!S:S,'caseload data'!$D:$D,"PO",'caseload data'!$A:$A,"Greater Manchester",'caseload data'!$B:$B,"custody")</f>
        <v>0</v>
      </c>
      <c r="S129" s="98">
        <f>SUMIFS('caseload data'!T:T,'caseload data'!$D:$D,"PO",'caseload data'!$A:$A,"Greater Manchester",'caseload data'!$B:$B,"custody")</f>
        <v>0</v>
      </c>
      <c r="T129" s="98">
        <f>SUMIFS('caseload data'!V:V,'caseload data'!D:D,"PO",'caseload data'!A:A,"Greater Manchester",'caseload data'!B:B,"custody")</f>
        <v>0</v>
      </c>
      <c r="U129" s="68"/>
      <c r="V129" s="68"/>
      <c r="W129" s="426" t="s">
        <v>25</v>
      </c>
      <c r="X129" s="132" t="s">
        <v>1166</v>
      </c>
      <c r="Y129" s="175" t="e">
        <f>SUM(D129)/SUM(D$129:D$132)</f>
        <v>#DIV/0!</v>
      </c>
      <c r="Z129" s="175" t="e">
        <f t="shared" ref="Z129:AN132" si="27">SUM(E129)/SUM(E$129:E$132)</f>
        <v>#DIV/0!</v>
      </c>
      <c r="AA129" s="175" t="e">
        <f t="shared" si="27"/>
        <v>#DIV/0!</v>
      </c>
      <c r="AB129" s="175" t="e">
        <f t="shared" si="27"/>
        <v>#DIV/0!</v>
      </c>
      <c r="AC129" s="175" t="e">
        <f t="shared" si="27"/>
        <v>#DIV/0!</v>
      </c>
      <c r="AD129" s="175" t="e">
        <f t="shared" si="27"/>
        <v>#DIV/0!</v>
      </c>
      <c r="AE129" s="175" t="e">
        <f t="shared" si="27"/>
        <v>#DIV/0!</v>
      </c>
      <c r="AF129" s="175" t="e">
        <f t="shared" si="27"/>
        <v>#DIV/0!</v>
      </c>
      <c r="AG129" s="175" t="e">
        <f t="shared" si="27"/>
        <v>#DIV/0!</v>
      </c>
      <c r="AH129" s="175" t="e">
        <f t="shared" si="27"/>
        <v>#DIV/0!</v>
      </c>
      <c r="AI129" s="175" t="e">
        <f t="shared" si="27"/>
        <v>#DIV/0!</v>
      </c>
      <c r="AJ129" s="175" t="e">
        <f t="shared" si="27"/>
        <v>#DIV/0!</v>
      </c>
      <c r="AK129" s="175" t="e">
        <f t="shared" si="27"/>
        <v>#DIV/0!</v>
      </c>
      <c r="AL129" s="175" t="e">
        <f t="shared" si="27"/>
        <v>#DIV/0!</v>
      </c>
      <c r="AM129" s="175" t="e">
        <f t="shared" si="27"/>
        <v>#DIV/0!</v>
      </c>
      <c r="AN129" s="175" t="e">
        <f t="shared" si="27"/>
        <v>#DIV/0!</v>
      </c>
    </row>
    <row r="130" spans="2:40" x14ac:dyDescent="0.15">
      <c r="B130" s="427"/>
      <c r="C130" s="133" t="s">
        <v>1172</v>
      </c>
      <c r="D130" s="98">
        <f>SUMIFS('caseload data'!E:E,'caseload data'!$D:$D,"PSO",'caseload data'!$A:$A,"Greater Manchester",'caseload data'!$B:$B,"custody")</f>
        <v>0</v>
      </c>
      <c r="E130" s="98">
        <f>SUMIFS('caseload data'!F:F,'caseload data'!$D:$D,"PSO",'caseload data'!$A:$A,"Greater Manchester",'caseload data'!$B:$B,"custody")</f>
        <v>0</v>
      </c>
      <c r="F130" s="98">
        <f>SUMIFS('caseload data'!G:G,'caseload data'!$D:$D,"PSO",'caseload data'!$A:$A,"Greater Manchester",'caseload data'!$B:$B,"custody")</f>
        <v>0</v>
      </c>
      <c r="G130" s="98">
        <f>SUMIFS('caseload data'!H:H,'caseload data'!$D:$D,"PSO",'caseload data'!$A:$A,"Greater Manchester",'caseload data'!$B:$B,"custody")</f>
        <v>0</v>
      </c>
      <c r="H130" s="98">
        <f>SUMIFS('caseload data'!I:I,'caseload data'!$D:$D,"PSO",'caseload data'!$A:$A,"Greater Manchester",'caseload data'!$B:$B,"custody")</f>
        <v>0</v>
      </c>
      <c r="I130" s="98">
        <f>SUMIFS('caseload data'!J:J,'caseload data'!$D:$D,"PSO",'caseload data'!$A:$A,"Greater Manchester",'caseload data'!$B:$B,"custody")</f>
        <v>0</v>
      </c>
      <c r="J130" s="98">
        <f>SUMIFS('caseload data'!K:K,'caseload data'!$D:$D,"PSO",'caseload data'!$A:$A,"Greater Manchester",'caseload data'!$B:$B,"custody")</f>
        <v>0</v>
      </c>
      <c r="K130" s="98">
        <f>SUMIFS('caseload data'!L:L,'caseload data'!$D:$D,"PSO",'caseload data'!$A:$A,"Greater Manchester",'caseload data'!$B:$B,"custody")</f>
        <v>0</v>
      </c>
      <c r="L130" s="98">
        <f>SUMIFS('caseload data'!M:M,'caseload data'!$D:$D,"PSO",'caseload data'!$A:$A,"Greater Manchester",'caseload data'!$B:$B,"custody")</f>
        <v>0</v>
      </c>
      <c r="M130" s="98">
        <f>SUMIFS('caseload data'!N:N,'caseload data'!$D:$D,"PSO",'caseload data'!$A:$A,"Greater Manchester",'caseload data'!$B:$B,"custody")</f>
        <v>0</v>
      </c>
      <c r="N130" s="98">
        <f>SUMIFS('caseload data'!O:O,'caseload data'!$D:$D,"PSO",'caseload data'!$A:$A,"Greater Manchester",'caseload data'!$B:$B,"custody")</f>
        <v>0</v>
      </c>
      <c r="O130" s="98">
        <f>SUMIFS('caseload data'!P:P,'caseload data'!$D:$D,"PSO",'caseload data'!$A:$A,"Greater Manchester",'caseload data'!$B:$B,"custody")</f>
        <v>0</v>
      </c>
      <c r="P130" s="98">
        <f>SUMIFS('caseload data'!Q:Q,'caseload data'!$D:$D,"PSO",'caseload data'!$A:$A,"Greater Manchester",'caseload data'!$B:$B,"custody")</f>
        <v>0</v>
      </c>
      <c r="Q130" s="98">
        <f>SUMIFS('caseload data'!R:R,'caseload data'!$D:$D,"PSO",'caseload data'!$A:$A,"Greater Manchester",'caseload data'!$B:$B,"custody")</f>
        <v>0</v>
      </c>
      <c r="R130" s="98">
        <f>SUMIFS('caseload data'!S:S,'caseload data'!$D:$D,"PSO",'caseload data'!$A:$A,"Greater Manchester",'caseload data'!$B:$B,"custody")</f>
        <v>0</v>
      </c>
      <c r="S130" s="98">
        <f>SUMIFS('caseload data'!T:T,'caseload data'!$D:$D,"PSO",'caseload data'!$A:$A,"Greater Manchester",'caseload data'!$B:$B,"custody")</f>
        <v>0</v>
      </c>
      <c r="T130" s="98">
        <f>SUMIFS('caseload data'!V:V,'caseload data'!D:D,"PSO",'caseload data'!A:A,"Greater Manchester",'caseload data'!B:B,"custody")</f>
        <v>0</v>
      </c>
      <c r="U130" s="68"/>
      <c r="V130" s="68"/>
      <c r="W130" s="427"/>
      <c r="X130" s="133" t="s">
        <v>1172</v>
      </c>
      <c r="Y130" s="175" t="e">
        <f>SUM(D130)/SUM(D$129:D$132)</f>
        <v>#DIV/0!</v>
      </c>
      <c r="Z130" s="175" t="e">
        <f t="shared" si="27"/>
        <v>#DIV/0!</v>
      </c>
      <c r="AA130" s="175" t="e">
        <f t="shared" si="27"/>
        <v>#DIV/0!</v>
      </c>
      <c r="AB130" s="175" t="e">
        <f t="shared" si="27"/>
        <v>#DIV/0!</v>
      </c>
      <c r="AC130" s="175" t="e">
        <f t="shared" si="27"/>
        <v>#DIV/0!</v>
      </c>
      <c r="AD130" s="175" t="e">
        <f t="shared" si="27"/>
        <v>#DIV/0!</v>
      </c>
      <c r="AE130" s="175" t="e">
        <f t="shared" si="27"/>
        <v>#DIV/0!</v>
      </c>
      <c r="AF130" s="175" t="e">
        <f t="shared" si="27"/>
        <v>#DIV/0!</v>
      </c>
      <c r="AG130" s="175" t="e">
        <f t="shared" si="27"/>
        <v>#DIV/0!</v>
      </c>
      <c r="AH130" s="175" t="e">
        <f t="shared" si="27"/>
        <v>#DIV/0!</v>
      </c>
      <c r="AI130" s="175" t="e">
        <f t="shared" si="27"/>
        <v>#DIV/0!</v>
      </c>
      <c r="AJ130" s="175" t="e">
        <f t="shared" si="27"/>
        <v>#DIV/0!</v>
      </c>
      <c r="AK130" s="175" t="e">
        <f t="shared" si="27"/>
        <v>#DIV/0!</v>
      </c>
      <c r="AL130" s="175" t="e">
        <f t="shared" si="27"/>
        <v>#DIV/0!</v>
      </c>
      <c r="AM130" s="175" t="e">
        <f t="shared" si="27"/>
        <v>#DIV/0!</v>
      </c>
      <c r="AN130" s="175" t="e">
        <f t="shared" si="27"/>
        <v>#DIV/0!</v>
      </c>
    </row>
    <row r="131" spans="2:40" x14ac:dyDescent="0.15">
      <c r="B131" s="427"/>
      <c r="C131" s="133" t="s">
        <v>1173</v>
      </c>
      <c r="D131" s="98">
        <f>SUMIFS('caseload data'!E:E,'caseload data'!$D:$D,"TPO",'caseload data'!$A:$A,"Greater Manchester",'caseload data'!$B:$B,"custody")</f>
        <v>0</v>
      </c>
      <c r="E131" s="98">
        <f>SUMIFS('caseload data'!F:F,'caseload data'!$D:$D,"TPO",'caseload data'!$A:$A,"Greater Manchester",'caseload data'!$B:$B,"custody")</f>
        <v>0</v>
      </c>
      <c r="F131" s="98">
        <f>SUMIFS('caseload data'!G:G,'caseload data'!$D:$D,"TPO",'caseload data'!$A:$A,"Greater Manchester",'caseload data'!$B:$B,"custody")</f>
        <v>0</v>
      </c>
      <c r="G131" s="98">
        <f>SUMIFS('caseload data'!H:H,'caseload data'!$D:$D,"TPO",'caseload data'!$A:$A,"Greater Manchester",'caseload data'!$B:$B,"custody")</f>
        <v>0</v>
      </c>
      <c r="H131" s="98">
        <f>SUMIFS('caseload data'!I:I,'caseload data'!$D:$D,"TPO",'caseload data'!$A:$A,"Greater Manchester",'caseload data'!$B:$B,"custody")</f>
        <v>0</v>
      </c>
      <c r="I131" s="98">
        <f>SUMIFS('caseload data'!J:J,'caseload data'!$D:$D,"TPO",'caseload data'!$A:$A,"Greater Manchester",'caseload data'!$B:$B,"custody")</f>
        <v>0</v>
      </c>
      <c r="J131" s="98">
        <f>SUMIFS('caseload data'!K:K,'caseload data'!$D:$D,"TPO",'caseload data'!$A:$A,"Greater Manchester",'caseload data'!$B:$B,"custody")</f>
        <v>0</v>
      </c>
      <c r="K131" s="98">
        <f>SUMIFS('caseload data'!L:L,'caseload data'!$D:$D,"TPO",'caseload data'!$A:$A,"Greater Manchester",'caseload data'!$B:$B,"custody")</f>
        <v>0</v>
      </c>
      <c r="L131" s="98">
        <f>SUMIFS('caseload data'!M:M,'caseload data'!$D:$D,"TPO",'caseload data'!$A:$A,"Greater Manchester",'caseload data'!$B:$B,"custody")</f>
        <v>0</v>
      </c>
      <c r="M131" s="98">
        <f>SUMIFS('caseload data'!N:N,'caseload data'!$D:$D,"TPO",'caseload data'!$A:$A,"Greater Manchester",'caseload data'!$B:$B,"custody")</f>
        <v>0</v>
      </c>
      <c r="N131" s="98">
        <f>SUMIFS('caseload data'!O:O,'caseload data'!$D:$D,"TPO",'caseload data'!$A:$A,"Greater Manchester",'caseload data'!$B:$B,"custody")</f>
        <v>0</v>
      </c>
      <c r="O131" s="98">
        <f>SUMIFS('caseload data'!P:P,'caseload data'!$D:$D,"TPO",'caseload data'!$A:$A,"Greater Manchester",'caseload data'!$B:$B,"custody")</f>
        <v>0</v>
      </c>
      <c r="P131" s="98">
        <f>SUMIFS('caseload data'!Q:Q,'caseload data'!$D:$D,"TPO",'caseload data'!$A:$A,"Greater Manchester",'caseload data'!$B:$B,"custody")</f>
        <v>0</v>
      </c>
      <c r="Q131" s="98">
        <f>SUMIFS('caseload data'!R:R,'caseload data'!$D:$D,"TPO",'caseload data'!$A:$A,"Greater Manchester",'caseload data'!$B:$B,"custody")</f>
        <v>0</v>
      </c>
      <c r="R131" s="98">
        <f>SUMIFS('caseload data'!S:S,'caseload data'!$D:$D,"TPO",'caseload data'!$A:$A,"Greater Manchester",'caseload data'!$B:$B,"custody")</f>
        <v>0</v>
      </c>
      <c r="S131" s="98">
        <f>SUMIFS('caseload data'!T:T,'caseload data'!$D:$D,"TPO",'caseload data'!$A:$A,"Greater Manchester",'caseload data'!$B:$B,"custody")</f>
        <v>0</v>
      </c>
      <c r="T131" s="98">
        <f>SUMIFS('caseload data'!V:V,'caseload data'!D:D,"TPO",'caseload data'!A:A,"Greater Manchester",'caseload data'!B:B,"custody")</f>
        <v>0</v>
      </c>
      <c r="U131" s="68"/>
      <c r="V131" s="68"/>
      <c r="W131" s="427"/>
      <c r="X131" s="133" t="s">
        <v>1173</v>
      </c>
      <c r="Y131" s="175" t="e">
        <f>SUM(D131)/SUM(D$129:D$132)</f>
        <v>#DIV/0!</v>
      </c>
      <c r="Z131" s="175" t="e">
        <f t="shared" si="27"/>
        <v>#DIV/0!</v>
      </c>
      <c r="AA131" s="175" t="e">
        <f t="shared" si="27"/>
        <v>#DIV/0!</v>
      </c>
      <c r="AB131" s="175" t="e">
        <f t="shared" si="27"/>
        <v>#DIV/0!</v>
      </c>
      <c r="AC131" s="175" t="e">
        <f t="shared" si="27"/>
        <v>#DIV/0!</v>
      </c>
      <c r="AD131" s="175" t="e">
        <f t="shared" si="27"/>
        <v>#DIV/0!</v>
      </c>
      <c r="AE131" s="175" t="e">
        <f t="shared" si="27"/>
        <v>#DIV/0!</v>
      </c>
      <c r="AF131" s="175" t="e">
        <f t="shared" si="27"/>
        <v>#DIV/0!</v>
      </c>
      <c r="AG131" s="175" t="e">
        <f t="shared" si="27"/>
        <v>#DIV/0!</v>
      </c>
      <c r="AH131" s="175" t="e">
        <f t="shared" si="27"/>
        <v>#DIV/0!</v>
      </c>
      <c r="AI131" s="175" t="e">
        <f t="shared" si="27"/>
        <v>#DIV/0!</v>
      </c>
      <c r="AJ131" s="175" t="e">
        <f t="shared" si="27"/>
        <v>#DIV/0!</v>
      </c>
      <c r="AK131" s="175" t="e">
        <f t="shared" si="27"/>
        <v>#DIV/0!</v>
      </c>
      <c r="AL131" s="175" t="e">
        <f t="shared" si="27"/>
        <v>#DIV/0!</v>
      </c>
      <c r="AM131" s="175" t="e">
        <f t="shared" si="27"/>
        <v>#DIV/0!</v>
      </c>
      <c r="AN131" s="175" t="e">
        <f t="shared" si="27"/>
        <v>#DIV/0!</v>
      </c>
    </row>
    <row r="132" spans="2:40" x14ac:dyDescent="0.15">
      <c r="B132" s="428"/>
      <c r="C132" s="134" t="s">
        <v>1174</v>
      </c>
      <c r="D132" s="98">
        <f>SUMIFS('caseload data'!E:E,'caseload data'!$D:$D,"SPO",'caseload data'!$A:$A,"Greater Manchester",'caseload data'!$B:$B,"custody")</f>
        <v>0</v>
      </c>
      <c r="E132" s="98">
        <f>SUMIFS('caseload data'!F:F,'caseload data'!$D:$D,"SPO",'caseload data'!$A:$A,"Greater Manchester",'caseload data'!$B:$B,"custody")</f>
        <v>0</v>
      </c>
      <c r="F132" s="98">
        <f>SUMIFS('caseload data'!G:G,'caseload data'!$D:$D,"SPO",'caseload data'!$A:$A,"Greater Manchester",'caseload data'!$B:$B,"custody")</f>
        <v>0</v>
      </c>
      <c r="G132" s="98">
        <f>SUMIFS('caseload data'!H:H,'caseload data'!$D:$D,"SPO",'caseload data'!$A:$A,"Greater Manchester",'caseload data'!$B:$B,"custody")</f>
        <v>0</v>
      </c>
      <c r="H132" s="98">
        <f>SUMIFS('caseload data'!I:I,'caseload data'!$D:$D,"SPO",'caseload data'!$A:$A,"Greater Manchester",'caseload data'!$B:$B,"custody")</f>
        <v>0</v>
      </c>
      <c r="I132" s="98">
        <f>SUMIFS('caseload data'!J:J,'caseload data'!$D:$D,"SPO",'caseload data'!$A:$A,"Greater Manchester",'caseload data'!$B:$B,"custody")</f>
        <v>0</v>
      </c>
      <c r="J132" s="98">
        <f>SUMIFS('caseload data'!K:K,'caseload data'!$D:$D,"SPO",'caseload data'!$A:$A,"Greater Manchester",'caseload data'!$B:$B,"custody")</f>
        <v>0</v>
      </c>
      <c r="K132" s="98">
        <f>SUMIFS('caseload data'!L:L,'caseload data'!$D:$D,"SPO",'caseload data'!$A:$A,"Greater Manchester",'caseload data'!$B:$B,"custody")</f>
        <v>0</v>
      </c>
      <c r="L132" s="98">
        <f>SUMIFS('caseload data'!M:M,'caseload data'!$D:$D,"SPO",'caseload data'!$A:$A,"Greater Manchester",'caseload data'!$B:$B,"custody")</f>
        <v>0</v>
      </c>
      <c r="M132" s="98">
        <f>SUMIFS('caseload data'!N:N,'caseload data'!$D:$D,"SPO",'caseload data'!$A:$A,"Greater Manchester",'caseload data'!$B:$B,"custody")</f>
        <v>0</v>
      </c>
      <c r="N132" s="98">
        <f>SUMIFS('caseload data'!O:O,'caseload data'!$D:$D,"SPO",'caseload data'!$A:$A,"Greater Manchester",'caseload data'!$B:$B,"custody")</f>
        <v>0</v>
      </c>
      <c r="O132" s="98">
        <f>SUMIFS('caseload data'!P:P,'caseload data'!$D:$D,"SPO",'caseload data'!$A:$A,"Greater Manchester",'caseload data'!$B:$B,"custody")</f>
        <v>0</v>
      </c>
      <c r="P132" s="98">
        <f>SUMIFS('caseload data'!Q:Q,'caseload data'!$D:$D,"SPO",'caseload data'!$A:$A,"Greater Manchester",'caseload data'!$B:$B,"custody")</f>
        <v>0</v>
      </c>
      <c r="Q132" s="98">
        <f>SUMIFS('caseload data'!R:R,'caseload data'!$D:$D,"SPO",'caseload data'!$A:$A,"Greater Manchester",'caseload data'!$B:$B,"custody")</f>
        <v>0</v>
      </c>
      <c r="R132" s="98">
        <f>SUMIFS('caseload data'!S:S,'caseload data'!$D:$D,"SPO",'caseload data'!$A:$A,"Greater Manchester",'caseload data'!$B:$B,"custody")</f>
        <v>0</v>
      </c>
      <c r="S132" s="98">
        <f>SUMIFS('caseload data'!T:T,'caseload data'!$D:$D,"SPO",'caseload data'!$A:$A,"Greater Manchester",'caseload data'!$B:$B,"custody")</f>
        <v>0</v>
      </c>
      <c r="T132" s="98">
        <f>SUMIFS('caseload data'!V:V,'caseload data'!$D:$D,"SPO",'caseload data'!$A:$A,"Greater Manchester",'caseload data'!$B:$B,"custody")</f>
        <v>0</v>
      </c>
      <c r="U132" s="68"/>
      <c r="V132" s="68"/>
      <c r="W132" s="428"/>
      <c r="X132" s="134" t="s">
        <v>1174</v>
      </c>
      <c r="Y132" s="175" t="e">
        <f>SUM(D132)/SUM(D$129:D$132)</f>
        <v>#DIV/0!</v>
      </c>
      <c r="Z132" s="175" t="e">
        <f t="shared" si="27"/>
        <v>#DIV/0!</v>
      </c>
      <c r="AA132" s="175" t="e">
        <f t="shared" si="27"/>
        <v>#DIV/0!</v>
      </c>
      <c r="AB132" s="175" t="e">
        <f t="shared" si="27"/>
        <v>#DIV/0!</v>
      </c>
      <c r="AC132" s="175" t="e">
        <f t="shared" si="27"/>
        <v>#DIV/0!</v>
      </c>
      <c r="AD132" s="175" t="e">
        <f t="shared" si="27"/>
        <v>#DIV/0!</v>
      </c>
      <c r="AE132" s="175" t="e">
        <f t="shared" si="27"/>
        <v>#DIV/0!</v>
      </c>
      <c r="AF132" s="175" t="e">
        <f t="shared" si="27"/>
        <v>#DIV/0!</v>
      </c>
      <c r="AG132" s="175" t="e">
        <f t="shared" si="27"/>
        <v>#DIV/0!</v>
      </c>
      <c r="AH132" s="175" t="e">
        <f t="shared" si="27"/>
        <v>#DIV/0!</v>
      </c>
      <c r="AI132" s="175" t="e">
        <f t="shared" si="27"/>
        <v>#DIV/0!</v>
      </c>
      <c r="AJ132" s="175" t="e">
        <f t="shared" si="27"/>
        <v>#DIV/0!</v>
      </c>
      <c r="AK132" s="175" t="e">
        <f t="shared" si="27"/>
        <v>#DIV/0!</v>
      </c>
      <c r="AL132" s="175" t="e">
        <f t="shared" si="27"/>
        <v>#DIV/0!</v>
      </c>
      <c r="AM132" s="175" t="e">
        <f t="shared" si="27"/>
        <v>#DIV/0!</v>
      </c>
      <c r="AN132" s="175" t="e">
        <f t="shared" si="27"/>
        <v>#DIV/0!</v>
      </c>
    </row>
    <row r="133" spans="2:40" x14ac:dyDescent="0.15">
      <c r="B133" s="426" t="s">
        <v>26</v>
      </c>
      <c r="C133" s="132" t="s">
        <v>1166</v>
      </c>
      <c r="D133" s="98">
        <f>SUMIFS('caseload data'!E:E,'caseload data'!$D:$D,"PO",'caseload data'!$A:$A,'national caseload'!$B$133:$B$135,'caseload data'!$B:$B,"custody")</f>
        <v>0</v>
      </c>
      <c r="E133" s="98">
        <f>SUMIFS('caseload data'!F:F,'caseload data'!$D:$D,"PO",'caseload data'!$A:$A,'national caseload'!$B$133:$B$135,'caseload data'!$B:$B,"custody")</f>
        <v>0</v>
      </c>
      <c r="F133" s="98">
        <f>SUMIFS('caseload data'!G:G,'caseload data'!$D:$D,"PO",'caseload data'!$A:$A,'national caseload'!$B$133:$B$135,'caseload data'!$B:$B,"custody")</f>
        <v>0</v>
      </c>
      <c r="G133" s="98">
        <f>SUMIFS('caseload data'!H:H,'caseload data'!$D:$D,"PO",'caseload data'!$A:$A,'national caseload'!$B$133:$B$135,'caseload data'!$B:$B,"custody")</f>
        <v>0</v>
      </c>
      <c r="H133" s="98">
        <f>SUMIFS('caseload data'!I:I,'caseload data'!$D:$D,"PO",'caseload data'!$A:$A,'national caseload'!$B$133:$B$135,'caseload data'!$B:$B,"custody")</f>
        <v>0</v>
      </c>
      <c r="I133" s="98">
        <f>SUMIFS('caseload data'!J:J,'caseload data'!$D:$D,"PO",'caseload data'!$A:$A,'national caseload'!$B$133:$B$135,'caseload data'!$B:$B,"custody")</f>
        <v>0</v>
      </c>
      <c r="J133" s="98">
        <f>SUMIFS('caseload data'!K:K,'caseload data'!$D:$D,"PO",'caseload data'!$A:$A,'national caseload'!$B$133:$B$135,'caseload data'!$B:$B,"custody")</f>
        <v>0</v>
      </c>
      <c r="K133" s="98">
        <f>SUMIFS('caseload data'!L:L,'caseload data'!$D:$D,"PO",'caseload data'!$A:$A,'national caseload'!$B$133:$B$135,'caseload data'!$B:$B,"custody")</f>
        <v>0</v>
      </c>
      <c r="L133" s="98">
        <f>SUMIFS('caseload data'!M:M,'caseload data'!$D:$D,"PO",'caseload data'!$A:$A,'national caseload'!$B$133:$B$135,'caseload data'!$B:$B,"custody")</f>
        <v>0</v>
      </c>
      <c r="M133" s="98">
        <f>SUMIFS('caseload data'!N:N,'caseload data'!$D:$D,"PO",'caseload data'!$A:$A,'national caseload'!$B$133:$B$135,'caseload data'!$B:$B,"custody")</f>
        <v>0</v>
      </c>
      <c r="N133" s="98">
        <f>SUMIFS('caseload data'!O:O,'caseload data'!$D:$D,"PO",'caseload data'!$A:$A,'national caseload'!$B$133:$B$135,'caseload data'!$B:$B,"custody")</f>
        <v>0</v>
      </c>
      <c r="O133" s="98">
        <f>SUMIFS('caseload data'!P:P,'caseload data'!$D:$D,"PO",'caseload data'!$A:$A,'national caseload'!$B$133:$B$135,'caseload data'!$B:$B,"custody")</f>
        <v>0</v>
      </c>
      <c r="P133" s="98">
        <f>SUMIFS('caseload data'!Q:Q,'caseload data'!$D:$D,"PO",'caseload data'!$A:$A,'national caseload'!$B$133:$B$135,'caseload data'!$B:$B,"custody")</f>
        <v>0</v>
      </c>
      <c r="Q133" s="98">
        <f>SUMIFS('caseload data'!R:R,'caseload data'!$D:$D,"PO",'caseload data'!$A:$A,'national caseload'!$B$133:$B$135,'caseload data'!$B:$B,"custody")</f>
        <v>0</v>
      </c>
      <c r="R133" s="98">
        <f>SUMIFS('caseload data'!S:S,'caseload data'!$D:$D,"PO",'caseload data'!$A:$A,'national caseload'!$B$133:$B$135,'caseload data'!$B:$B,"custody")</f>
        <v>0</v>
      </c>
      <c r="S133" s="98">
        <f>SUMIFS('caseload data'!T:T,'caseload data'!$D:$D,"PO",'caseload data'!$A:$A,'national caseload'!$B$133:$B$135,'caseload data'!$B:$B,"custody")</f>
        <v>0</v>
      </c>
      <c r="T133" s="98">
        <f>SUMIFS('caseload data'!V:V,'caseload data'!D:D,"PO",'caseload data'!A:A,'national caseload'!B133:B135,'caseload data'!B:B,"custody")</f>
        <v>0</v>
      </c>
      <c r="U133" s="68"/>
      <c r="V133" s="68"/>
      <c r="W133" s="426" t="s">
        <v>26</v>
      </c>
      <c r="X133" s="132" t="s">
        <v>1166</v>
      </c>
      <c r="Y133" s="175" t="e">
        <f>SUM(D133)/SUM(D$133:D$136)</f>
        <v>#DIV/0!</v>
      </c>
      <c r="Z133" s="175" t="e">
        <f t="shared" ref="Z133:AN136" si="28">SUM(E133)/SUM(E$133:E$136)</f>
        <v>#DIV/0!</v>
      </c>
      <c r="AA133" s="175" t="e">
        <f t="shared" si="28"/>
        <v>#DIV/0!</v>
      </c>
      <c r="AB133" s="175" t="e">
        <f t="shared" si="28"/>
        <v>#DIV/0!</v>
      </c>
      <c r="AC133" s="175" t="e">
        <f t="shared" si="28"/>
        <v>#DIV/0!</v>
      </c>
      <c r="AD133" s="175" t="e">
        <f t="shared" si="28"/>
        <v>#DIV/0!</v>
      </c>
      <c r="AE133" s="175" t="e">
        <f t="shared" si="28"/>
        <v>#DIV/0!</v>
      </c>
      <c r="AF133" s="175" t="e">
        <f t="shared" si="28"/>
        <v>#DIV/0!</v>
      </c>
      <c r="AG133" s="175" t="e">
        <f t="shared" si="28"/>
        <v>#DIV/0!</v>
      </c>
      <c r="AH133" s="175" t="e">
        <f t="shared" si="28"/>
        <v>#DIV/0!</v>
      </c>
      <c r="AI133" s="175" t="e">
        <f t="shared" si="28"/>
        <v>#DIV/0!</v>
      </c>
      <c r="AJ133" s="175" t="e">
        <f t="shared" si="28"/>
        <v>#DIV/0!</v>
      </c>
      <c r="AK133" s="175" t="e">
        <f t="shared" si="28"/>
        <v>#DIV/0!</v>
      </c>
      <c r="AL133" s="175" t="e">
        <f t="shared" si="28"/>
        <v>#DIV/0!</v>
      </c>
      <c r="AM133" s="175" t="e">
        <f t="shared" si="28"/>
        <v>#DIV/0!</v>
      </c>
      <c r="AN133" s="175" t="e">
        <f t="shared" si="28"/>
        <v>#DIV/0!</v>
      </c>
    </row>
    <row r="134" spans="2:40" x14ac:dyDescent="0.15">
      <c r="B134" s="427"/>
      <c r="C134" s="133" t="s">
        <v>1172</v>
      </c>
      <c r="D134" s="98">
        <f>SUMIFS('caseload data'!E:E,'caseload data'!$D:$D,"PSO",'caseload data'!$A:$A,"Kent Surrey Sussex Region",'caseload data'!$B:$B,"custody")</f>
        <v>0</v>
      </c>
      <c r="E134" s="98">
        <f>SUMIFS('caseload data'!F:F,'caseload data'!$D:$D,"PSO",'caseload data'!$A:$A,"Kent Surrey Sussex Region",'caseload data'!$B:$B,"custody")</f>
        <v>0</v>
      </c>
      <c r="F134" s="98">
        <f>SUMIFS('caseload data'!G:G,'caseload data'!$D:$D,"PSO",'caseload data'!$A:$A,"Kent Surrey Sussex Region",'caseload data'!$B:$B,"custody")</f>
        <v>0</v>
      </c>
      <c r="G134" s="98">
        <f>SUMIFS('caseload data'!H:H,'caseload data'!$D:$D,"PSO",'caseload data'!$A:$A,"Kent Surrey Sussex Region",'caseload data'!$B:$B,"custody")</f>
        <v>0</v>
      </c>
      <c r="H134" s="98">
        <f>SUMIFS('caseload data'!I:I,'caseload data'!$D:$D,"PSO",'caseload data'!$A:$A,"Kent Surrey Sussex Region",'caseload data'!$B:$B,"custody")</f>
        <v>0</v>
      </c>
      <c r="I134" s="98">
        <f>SUMIFS('caseload data'!J:J,'caseload data'!$D:$D,"PSO",'caseload data'!$A:$A,"Kent Surrey Sussex Region",'caseload data'!$B:$B,"custody")</f>
        <v>0</v>
      </c>
      <c r="J134" s="98">
        <f>SUMIFS('caseload data'!K:K,'caseload data'!$D:$D,"PSO",'caseload data'!$A:$A,"Kent Surrey Sussex Region",'caseload data'!$B:$B,"custody")</f>
        <v>0</v>
      </c>
      <c r="K134" s="98">
        <f>SUMIFS('caseload data'!L:L,'caseload data'!$D:$D,"PSO",'caseload data'!$A:$A,"Kent Surrey Sussex Region",'caseload data'!$B:$B,"custody")</f>
        <v>0</v>
      </c>
      <c r="L134" s="98">
        <f>SUMIFS('caseload data'!M:M,'caseload data'!$D:$D,"PSO",'caseload data'!$A:$A,"Kent Surrey Sussex Region",'caseload data'!$B:$B,"custody")</f>
        <v>0</v>
      </c>
      <c r="M134" s="98">
        <f>SUMIFS('caseload data'!N:N,'caseload data'!$D:$D,"PSO",'caseload data'!$A:$A,"Kent Surrey Sussex Region",'caseload data'!$B:$B,"custody")</f>
        <v>0</v>
      </c>
      <c r="N134" s="98">
        <f>SUMIFS('caseload data'!O:O,'caseload data'!$D:$D,"PSO",'caseload data'!$A:$A,"Kent Surrey Sussex Region",'caseload data'!$B:$B,"custody")</f>
        <v>0</v>
      </c>
      <c r="O134" s="98">
        <f>SUMIFS('caseload data'!P:P,'caseload data'!$D:$D,"PSO",'caseload data'!$A:$A,"Kent Surrey Sussex Region",'caseload data'!$B:$B,"custody")</f>
        <v>0</v>
      </c>
      <c r="P134" s="98">
        <f>SUMIFS('caseload data'!Q:Q,'caseload data'!$D:$D,"PSO",'caseload data'!$A:$A,"Kent Surrey Sussex Region",'caseload data'!$B:$B,"custody")</f>
        <v>0</v>
      </c>
      <c r="Q134" s="98">
        <f>SUMIFS('caseload data'!R:R,'caseload data'!$D:$D,"PSO",'caseload data'!$A:$A,"Kent Surrey Sussex Region",'caseload data'!$B:$B,"custody")</f>
        <v>0</v>
      </c>
      <c r="R134" s="98">
        <f>SUMIFS('caseload data'!S:S,'caseload data'!$D:$D,"PSO",'caseload data'!$A:$A,"Kent Surrey Sussex Region",'caseload data'!$B:$B,"custody")</f>
        <v>0</v>
      </c>
      <c r="S134" s="98">
        <f>SUMIFS('caseload data'!T:T,'caseload data'!$D:$D,"PSO",'caseload data'!$A:$A,"Kent Surrey Sussex Region",'caseload data'!$B:$B,"custody")</f>
        <v>0</v>
      </c>
      <c r="T134" s="98">
        <f>SUMIFS('caseload data'!V:V,'caseload data'!D:D,"PSO",'caseload data'!A:A,"Kent Surrey Sussex Region",'caseload data'!B:B,"custody")</f>
        <v>0</v>
      </c>
      <c r="U134" s="68"/>
      <c r="V134" s="68"/>
      <c r="W134" s="427"/>
      <c r="X134" s="133" t="s">
        <v>1172</v>
      </c>
      <c r="Y134" s="175" t="e">
        <f>SUM(D134)/SUM(D$133:D$136)</f>
        <v>#DIV/0!</v>
      </c>
      <c r="Z134" s="175" t="e">
        <f t="shared" si="28"/>
        <v>#DIV/0!</v>
      </c>
      <c r="AA134" s="175" t="e">
        <f t="shared" si="28"/>
        <v>#DIV/0!</v>
      </c>
      <c r="AB134" s="175" t="e">
        <f t="shared" si="28"/>
        <v>#DIV/0!</v>
      </c>
      <c r="AC134" s="175" t="e">
        <f t="shared" si="28"/>
        <v>#DIV/0!</v>
      </c>
      <c r="AD134" s="175" t="e">
        <f t="shared" si="28"/>
        <v>#DIV/0!</v>
      </c>
      <c r="AE134" s="175" t="e">
        <f t="shared" si="28"/>
        <v>#DIV/0!</v>
      </c>
      <c r="AF134" s="175" t="e">
        <f t="shared" si="28"/>
        <v>#DIV/0!</v>
      </c>
      <c r="AG134" s="175" t="e">
        <f t="shared" si="28"/>
        <v>#DIV/0!</v>
      </c>
      <c r="AH134" s="175" t="e">
        <f t="shared" si="28"/>
        <v>#DIV/0!</v>
      </c>
      <c r="AI134" s="175" t="e">
        <f t="shared" si="28"/>
        <v>#DIV/0!</v>
      </c>
      <c r="AJ134" s="175" t="e">
        <f t="shared" si="28"/>
        <v>#DIV/0!</v>
      </c>
      <c r="AK134" s="175" t="e">
        <f t="shared" si="28"/>
        <v>#DIV/0!</v>
      </c>
      <c r="AL134" s="175" t="e">
        <f t="shared" si="28"/>
        <v>#DIV/0!</v>
      </c>
      <c r="AM134" s="175" t="e">
        <f t="shared" si="28"/>
        <v>#DIV/0!</v>
      </c>
      <c r="AN134" s="175" t="e">
        <f t="shared" si="28"/>
        <v>#DIV/0!</v>
      </c>
    </row>
    <row r="135" spans="2:40" x14ac:dyDescent="0.15">
      <c r="B135" s="427"/>
      <c r="C135" s="133" t="s">
        <v>1173</v>
      </c>
      <c r="D135" s="98">
        <f>SUMIFS('caseload data'!E:E,'caseload data'!$D:$D,"TPO",'caseload data'!$A:$A,"Kent Surrey Sussex Region",'caseload data'!$B:$B,"custody")</f>
        <v>0</v>
      </c>
      <c r="E135" s="98">
        <f>SUMIFS('caseload data'!F:F,'caseload data'!$D:$D,"TPO",'caseload data'!$A:$A,"Kent Surrey Sussex Region",'caseload data'!$B:$B,"custody")</f>
        <v>0</v>
      </c>
      <c r="F135" s="98">
        <f>SUMIFS('caseload data'!G:G,'caseload data'!$D:$D,"TPO",'caseload data'!$A:$A,"Kent Surrey Sussex Region",'caseload data'!$B:$B,"custody")</f>
        <v>0</v>
      </c>
      <c r="G135" s="98">
        <f>SUMIFS('caseload data'!H:H,'caseload data'!$D:$D,"TPO",'caseload data'!$A:$A,"Kent Surrey Sussex Region",'caseload data'!$B:$B,"custody")</f>
        <v>0</v>
      </c>
      <c r="H135" s="98">
        <f>SUMIFS('caseload data'!I:I,'caseload data'!$D:$D,"TPO",'caseload data'!$A:$A,"Kent Surrey Sussex Region",'caseload data'!$B:$B,"custody")</f>
        <v>0</v>
      </c>
      <c r="I135" s="98">
        <f>SUMIFS('caseload data'!J:J,'caseload data'!$D:$D,"TPO",'caseload data'!$A:$A,"Kent Surrey Sussex Region",'caseload data'!$B:$B,"custody")</f>
        <v>0</v>
      </c>
      <c r="J135" s="98">
        <f>SUMIFS('caseload data'!K:K,'caseload data'!$D:$D,"TPO",'caseload data'!$A:$A,"Kent Surrey Sussex Region",'caseload data'!$B:$B,"custody")</f>
        <v>0</v>
      </c>
      <c r="K135" s="98">
        <f>SUMIFS('caseload data'!L:L,'caseload data'!$D:$D,"TPO",'caseload data'!$A:$A,"Kent Surrey Sussex Region",'caseload data'!$B:$B,"custody")</f>
        <v>0</v>
      </c>
      <c r="L135" s="98">
        <f>SUMIFS('caseload data'!M:M,'caseload data'!$D:$D,"TPO",'caseload data'!$A:$A,"Kent Surrey Sussex Region",'caseload data'!$B:$B,"custody")</f>
        <v>0</v>
      </c>
      <c r="M135" s="98">
        <f>SUMIFS('caseload data'!N:N,'caseload data'!$D:$D,"TPO",'caseload data'!$A:$A,"Kent Surrey Sussex Region",'caseload data'!$B:$B,"custody")</f>
        <v>0</v>
      </c>
      <c r="N135" s="98">
        <f>SUMIFS('caseload data'!O:O,'caseload data'!$D:$D,"TPO",'caseload data'!$A:$A,"Kent Surrey Sussex Region",'caseload data'!$B:$B,"custody")</f>
        <v>0</v>
      </c>
      <c r="O135" s="98">
        <f>SUMIFS('caseload data'!P:P,'caseload data'!$D:$D,"TPO",'caseload data'!$A:$A,"Kent Surrey Sussex Region",'caseload data'!$B:$B,"custody")</f>
        <v>0</v>
      </c>
      <c r="P135" s="98">
        <f>SUMIFS('caseload data'!Q:Q,'caseload data'!$D:$D,"TPO",'caseload data'!$A:$A,"Kent Surrey Sussex Region",'caseload data'!$B:$B,"custody")</f>
        <v>0</v>
      </c>
      <c r="Q135" s="98">
        <f>SUMIFS('caseload data'!R:R,'caseload data'!$D:$D,"TPO",'caseload data'!$A:$A,"Kent Surrey Sussex Region",'caseload data'!$B:$B,"custody")</f>
        <v>0</v>
      </c>
      <c r="R135" s="98">
        <f>SUMIFS('caseload data'!S:S,'caseload data'!$D:$D,"TPO",'caseload data'!$A:$A,"Kent Surrey Sussex Region",'caseload data'!$B:$B,"custody")</f>
        <v>0</v>
      </c>
      <c r="S135" s="98">
        <f>SUMIFS('caseload data'!T:T,'caseload data'!$D:$D,"TPO",'caseload data'!$A:$A,"Kent Surrey Sussex Region",'caseload data'!$B:$B,"custody")</f>
        <v>0</v>
      </c>
      <c r="T135" s="98">
        <f>SUMIFS('caseload data'!V:V,'caseload data'!D:D,"TPO",'caseload data'!A:A,"Kent Surrey Sussex Region",'caseload data'!B:B,"custody")</f>
        <v>0</v>
      </c>
      <c r="U135" s="68"/>
      <c r="V135" s="68"/>
      <c r="W135" s="427"/>
      <c r="X135" s="133" t="s">
        <v>1173</v>
      </c>
      <c r="Y135" s="175" t="e">
        <f>SUM(D135)/SUM(D$133:D$136)</f>
        <v>#DIV/0!</v>
      </c>
      <c r="Z135" s="175" t="e">
        <f t="shared" si="28"/>
        <v>#DIV/0!</v>
      </c>
      <c r="AA135" s="175" t="e">
        <f t="shared" si="28"/>
        <v>#DIV/0!</v>
      </c>
      <c r="AB135" s="175" t="e">
        <f t="shared" si="28"/>
        <v>#DIV/0!</v>
      </c>
      <c r="AC135" s="175" t="e">
        <f t="shared" si="28"/>
        <v>#DIV/0!</v>
      </c>
      <c r="AD135" s="175" t="e">
        <f t="shared" si="28"/>
        <v>#DIV/0!</v>
      </c>
      <c r="AE135" s="175" t="e">
        <f t="shared" si="28"/>
        <v>#DIV/0!</v>
      </c>
      <c r="AF135" s="175" t="e">
        <f t="shared" si="28"/>
        <v>#DIV/0!</v>
      </c>
      <c r="AG135" s="175" t="e">
        <f t="shared" si="28"/>
        <v>#DIV/0!</v>
      </c>
      <c r="AH135" s="175" t="e">
        <f t="shared" si="28"/>
        <v>#DIV/0!</v>
      </c>
      <c r="AI135" s="175" t="e">
        <f t="shared" si="28"/>
        <v>#DIV/0!</v>
      </c>
      <c r="AJ135" s="175" t="e">
        <f t="shared" si="28"/>
        <v>#DIV/0!</v>
      </c>
      <c r="AK135" s="175" t="e">
        <f t="shared" si="28"/>
        <v>#DIV/0!</v>
      </c>
      <c r="AL135" s="175" t="e">
        <f t="shared" si="28"/>
        <v>#DIV/0!</v>
      </c>
      <c r="AM135" s="175" t="e">
        <f t="shared" si="28"/>
        <v>#DIV/0!</v>
      </c>
      <c r="AN135" s="175" t="e">
        <f t="shared" si="28"/>
        <v>#DIV/0!</v>
      </c>
    </row>
    <row r="136" spans="2:40" x14ac:dyDescent="0.15">
      <c r="B136" s="428"/>
      <c r="C136" s="134" t="s">
        <v>1174</v>
      </c>
      <c r="D136" s="98">
        <f>SUMIFS('caseload data'!E:E,'caseload data'!$D:$D,"SPO",'caseload data'!$A:$A,"Kent Surrey Sussex Region",'caseload data'!$B:$B,"custody")</f>
        <v>0</v>
      </c>
      <c r="E136" s="98">
        <f>SUMIFS('caseload data'!F:F,'caseload data'!$D:$D,"SPO",'caseload data'!$A:$A,"Kent Surrey Sussex Region",'caseload data'!$B:$B,"custody")</f>
        <v>0</v>
      </c>
      <c r="F136" s="98">
        <f>SUMIFS('caseload data'!G:G,'caseload data'!$D:$D,"SPO",'caseload data'!$A:$A,"Kent Surrey Sussex Region",'caseload data'!$B:$B,"custody")</f>
        <v>0</v>
      </c>
      <c r="G136" s="98">
        <f>SUMIFS('caseload data'!H:H,'caseload data'!$D:$D,"SPO",'caseload data'!$A:$A,"Kent Surrey Sussex Region",'caseload data'!$B:$B,"custody")</f>
        <v>0</v>
      </c>
      <c r="H136" s="98">
        <f>SUMIFS('caseload data'!I:I,'caseload data'!$D:$D,"SPO",'caseload data'!$A:$A,"Kent Surrey Sussex Region",'caseload data'!$B:$B,"custody")</f>
        <v>0</v>
      </c>
      <c r="I136" s="98">
        <f>SUMIFS('caseload data'!J:J,'caseload data'!$D:$D,"SPO",'caseload data'!$A:$A,"Kent Surrey Sussex Region",'caseload data'!$B:$B,"custody")</f>
        <v>0</v>
      </c>
      <c r="J136" s="98">
        <f>SUMIFS('caseload data'!K:K,'caseload data'!$D:$D,"SPO",'caseload data'!$A:$A,"Kent Surrey Sussex Region",'caseload data'!$B:$B,"custody")</f>
        <v>0</v>
      </c>
      <c r="K136" s="98">
        <f>SUMIFS('caseload data'!L:L,'caseload data'!$D:$D,"SPO",'caseload data'!$A:$A,"Kent Surrey Sussex Region",'caseload data'!$B:$B,"custody")</f>
        <v>0</v>
      </c>
      <c r="L136" s="98">
        <f>SUMIFS('caseload data'!M:M,'caseload data'!$D:$D,"SPO",'caseload data'!$A:$A,"Kent Surrey Sussex Region",'caseload data'!$B:$B,"custody")</f>
        <v>0</v>
      </c>
      <c r="M136" s="98">
        <f>SUMIFS('caseload data'!N:N,'caseload data'!$D:$D,"SPO",'caseload data'!$A:$A,"Kent Surrey Sussex Region",'caseload data'!$B:$B,"custody")</f>
        <v>0</v>
      </c>
      <c r="N136" s="98">
        <f>SUMIFS('caseload data'!O:O,'caseload data'!$D:$D,"SPO",'caseload data'!$A:$A,"Kent Surrey Sussex Region",'caseload data'!$B:$B,"custody")</f>
        <v>0</v>
      </c>
      <c r="O136" s="98">
        <f>SUMIFS('caseload data'!P:P,'caseload data'!$D:$D,"SPO",'caseload data'!$A:$A,"Kent Surrey Sussex Region",'caseload data'!$B:$B,"custody")</f>
        <v>0</v>
      </c>
      <c r="P136" s="98">
        <f>SUMIFS('caseload data'!Q:Q,'caseload data'!$D:$D,"SPO",'caseload data'!$A:$A,"Kent Surrey Sussex Region",'caseload data'!$B:$B,"custody")</f>
        <v>0</v>
      </c>
      <c r="Q136" s="98">
        <f>SUMIFS('caseload data'!R:R,'caseload data'!$D:$D,"SPO",'caseload data'!$A:$A,"Kent Surrey Sussex Region",'caseload data'!$B:$B,"custody")</f>
        <v>0</v>
      </c>
      <c r="R136" s="98">
        <f>SUMIFS('caseload data'!S:S,'caseload data'!$D:$D,"SPO",'caseload data'!$A:$A,"Kent Surrey Sussex Region",'caseload data'!$B:$B,"custody")</f>
        <v>0</v>
      </c>
      <c r="S136" s="98">
        <f>SUMIFS('caseload data'!T:T,'caseload data'!$D:$D,"SPO",'caseload data'!$A:$A,"Kent Surrey Sussex Region",'caseload data'!$B:$B,"custody")</f>
        <v>0</v>
      </c>
      <c r="T136" s="98">
        <f>SUMIFS('caseload data'!V:V,'caseload data'!$D:$D,"SPO",'caseload data'!$A:$A,"Kent Surrey Sussex Region",'caseload data'!$B:$B,"custody")</f>
        <v>0</v>
      </c>
      <c r="U136" s="68"/>
      <c r="V136" s="68"/>
      <c r="W136" s="428"/>
      <c r="X136" s="134" t="s">
        <v>1174</v>
      </c>
      <c r="Y136" s="175" t="e">
        <f>SUM(D136)/SUM(D$133:D$136)</f>
        <v>#DIV/0!</v>
      </c>
      <c r="Z136" s="175" t="e">
        <f t="shared" si="28"/>
        <v>#DIV/0!</v>
      </c>
      <c r="AA136" s="175" t="e">
        <f t="shared" si="28"/>
        <v>#DIV/0!</v>
      </c>
      <c r="AB136" s="175" t="e">
        <f t="shared" si="28"/>
        <v>#DIV/0!</v>
      </c>
      <c r="AC136" s="175" t="e">
        <f t="shared" si="28"/>
        <v>#DIV/0!</v>
      </c>
      <c r="AD136" s="175" t="e">
        <f t="shared" si="28"/>
        <v>#DIV/0!</v>
      </c>
      <c r="AE136" s="175" t="e">
        <f t="shared" si="28"/>
        <v>#DIV/0!</v>
      </c>
      <c r="AF136" s="175" t="e">
        <f t="shared" si="28"/>
        <v>#DIV/0!</v>
      </c>
      <c r="AG136" s="175" t="e">
        <f t="shared" si="28"/>
        <v>#DIV/0!</v>
      </c>
      <c r="AH136" s="175" t="e">
        <f t="shared" si="28"/>
        <v>#DIV/0!</v>
      </c>
      <c r="AI136" s="175" t="e">
        <f t="shared" si="28"/>
        <v>#DIV/0!</v>
      </c>
      <c r="AJ136" s="175" t="e">
        <f t="shared" si="28"/>
        <v>#DIV/0!</v>
      </c>
      <c r="AK136" s="175" t="e">
        <f t="shared" si="28"/>
        <v>#DIV/0!</v>
      </c>
      <c r="AL136" s="175" t="e">
        <f t="shared" si="28"/>
        <v>#DIV/0!</v>
      </c>
      <c r="AM136" s="175" t="e">
        <f t="shared" si="28"/>
        <v>#DIV/0!</v>
      </c>
      <c r="AN136" s="175" t="e">
        <f t="shared" si="28"/>
        <v>#DIV/0!</v>
      </c>
    </row>
    <row r="137" spans="2:40" x14ac:dyDescent="0.15">
      <c r="B137" s="426" t="s">
        <v>27</v>
      </c>
      <c r="C137" s="132" t="s">
        <v>1166</v>
      </c>
      <c r="D137" s="98">
        <f>SUMIFS('caseload data'!E:E,'caseload data'!$D:$D,"PO",'caseload data'!$A:$A,$B$137,'caseload data'!$B:$B,"custody")</f>
        <v>0</v>
      </c>
      <c r="E137" s="98">
        <f>SUMIFS('caseload data'!F:F,'caseload data'!$D:$D,"PO",'caseload data'!$A:$A,$B$137,'caseload data'!$B:$B,"custody")</f>
        <v>0</v>
      </c>
      <c r="F137" s="98">
        <f>SUMIFS('caseload data'!G:G,'caseload data'!$D:$D,"PO",'caseload data'!$A:$A,$B$137,'caseload data'!$B:$B,"custody")</f>
        <v>0</v>
      </c>
      <c r="G137" s="98">
        <f>SUMIFS('caseload data'!H:H,'caseload data'!$D:$D,"PO",'caseload data'!$A:$A,$B$137,'caseload data'!$B:$B,"custody")</f>
        <v>0</v>
      </c>
      <c r="H137" s="98">
        <f>SUMIFS('caseload data'!I:I,'caseload data'!$D:$D,"PO",'caseload data'!$A:$A,$B$137,'caseload data'!$B:$B,"custody")</f>
        <v>0</v>
      </c>
      <c r="I137" s="98">
        <f>SUMIFS('caseload data'!J:J,'caseload data'!$D:$D,"PO",'caseload data'!$A:$A,$B$137,'caseload data'!$B:$B,"custody")</f>
        <v>0</v>
      </c>
      <c r="J137" s="98">
        <f>SUMIFS('caseload data'!K:K,'caseload data'!$D:$D,"PO",'caseload data'!$A:$A,$B$137,'caseload data'!$B:$B,"custody")</f>
        <v>0</v>
      </c>
      <c r="K137" s="98">
        <f>SUMIFS('caseload data'!L:L,'caseload data'!$D:$D,"PO",'caseload data'!$A:$A,$B$137,'caseload data'!$B:$B,"custody")</f>
        <v>0</v>
      </c>
      <c r="L137" s="98">
        <f>SUMIFS('caseload data'!M:M,'caseload data'!$D:$D,"PO",'caseload data'!$A:$A,$B$137,'caseload data'!$B:$B,"custody")</f>
        <v>0</v>
      </c>
      <c r="M137" s="98">
        <f>SUMIFS('caseload data'!N:N,'caseload data'!$D:$D,"PO",'caseload data'!$A:$A,$B$137,'caseload data'!$B:$B,"custody")</f>
        <v>0</v>
      </c>
      <c r="N137" s="98">
        <f>SUMIFS('caseload data'!O:O,'caseload data'!$D:$D,"PO",'caseload data'!$A:$A,$B$137,'caseload data'!$B:$B,"custody")</f>
        <v>0</v>
      </c>
      <c r="O137" s="98">
        <f>SUMIFS('caseload data'!P:P,'caseload data'!$D:$D,"PO",'caseload data'!$A:$A,$B$137,'caseload data'!$B:$B,"custody")</f>
        <v>0</v>
      </c>
      <c r="P137" s="98">
        <f>SUMIFS('caseload data'!Q:Q,'caseload data'!$D:$D,"PO",'caseload data'!$A:$A,$B$137,'caseload data'!$B:$B,"custody")</f>
        <v>0</v>
      </c>
      <c r="Q137" s="98">
        <f>SUMIFS('caseload data'!R:R,'caseload data'!$D:$D,"PO",'caseload data'!$A:$A,$B$137,'caseload data'!$B:$B,"custody")</f>
        <v>0</v>
      </c>
      <c r="R137" s="98">
        <f>SUMIFS('caseload data'!S:S,'caseload data'!$D:$D,"PO",'caseload data'!$A:$A,$B$137,'caseload data'!$B:$B,"custody")</f>
        <v>0</v>
      </c>
      <c r="S137" s="98">
        <f>SUMIFS('caseload data'!T:T,'caseload data'!$D:$D,"PO",'caseload data'!$A:$A,$B$137,'caseload data'!$B:$B,"custody")</f>
        <v>0</v>
      </c>
      <c r="T137" s="98">
        <f>SUMIFS('caseload data'!V:V,'caseload data'!D:D,"PO",'caseload data'!A:A,B137,'caseload data'!B:B,"custody")</f>
        <v>0</v>
      </c>
      <c r="U137" s="68"/>
      <c r="V137" s="68"/>
      <c r="W137" s="426" t="s">
        <v>27</v>
      </c>
      <c r="X137" s="132" t="s">
        <v>1166</v>
      </c>
      <c r="Y137" s="175" t="e">
        <f>SUM(D137)/SUM(D$137:D$140)</f>
        <v>#DIV/0!</v>
      </c>
      <c r="Z137" s="175" t="e">
        <f t="shared" ref="Z137:AN140" si="29">SUM(E137)/SUM(E$137:E$140)</f>
        <v>#DIV/0!</v>
      </c>
      <c r="AA137" s="175" t="e">
        <f t="shared" si="29"/>
        <v>#DIV/0!</v>
      </c>
      <c r="AB137" s="175" t="e">
        <f t="shared" si="29"/>
        <v>#DIV/0!</v>
      </c>
      <c r="AC137" s="175" t="e">
        <f t="shared" si="29"/>
        <v>#DIV/0!</v>
      </c>
      <c r="AD137" s="175" t="e">
        <f t="shared" si="29"/>
        <v>#DIV/0!</v>
      </c>
      <c r="AE137" s="175" t="e">
        <f t="shared" si="29"/>
        <v>#DIV/0!</v>
      </c>
      <c r="AF137" s="175" t="e">
        <f t="shared" si="29"/>
        <v>#DIV/0!</v>
      </c>
      <c r="AG137" s="175" t="e">
        <f t="shared" si="29"/>
        <v>#DIV/0!</v>
      </c>
      <c r="AH137" s="175" t="e">
        <f t="shared" si="29"/>
        <v>#DIV/0!</v>
      </c>
      <c r="AI137" s="175" t="e">
        <f t="shared" si="29"/>
        <v>#DIV/0!</v>
      </c>
      <c r="AJ137" s="175" t="e">
        <f t="shared" si="29"/>
        <v>#DIV/0!</v>
      </c>
      <c r="AK137" s="175" t="e">
        <f t="shared" si="29"/>
        <v>#DIV/0!</v>
      </c>
      <c r="AL137" s="175" t="e">
        <f t="shared" si="29"/>
        <v>#DIV/0!</v>
      </c>
      <c r="AM137" s="175" t="e">
        <f t="shared" si="29"/>
        <v>#DIV/0!</v>
      </c>
      <c r="AN137" s="175" t="e">
        <f t="shared" si="29"/>
        <v>#DIV/0!</v>
      </c>
    </row>
    <row r="138" spans="2:40" x14ac:dyDescent="0.15">
      <c r="B138" s="427"/>
      <c r="C138" s="133" t="s">
        <v>1172</v>
      </c>
      <c r="D138" s="98">
        <f>SUMIFS('caseload data'!E:E,'caseload data'!$D:$D,"PSO",'caseload data'!$A:$A,"London",'caseload data'!$B:$B,"custody")</f>
        <v>0</v>
      </c>
      <c r="E138" s="98">
        <f>SUMIFS('caseload data'!F:F,'caseload data'!$D:$D,"PSO",'caseload data'!$A:$A,"London",'caseload data'!$B:$B,"custody")</f>
        <v>0</v>
      </c>
      <c r="F138" s="98">
        <f>SUMIFS('caseload data'!G:G,'caseload data'!$D:$D,"PSO",'caseload data'!$A:$A,"London",'caseload data'!$B:$B,"custody")</f>
        <v>0</v>
      </c>
      <c r="G138" s="98">
        <f>SUMIFS('caseload data'!H:H,'caseload data'!$D:$D,"PSO",'caseload data'!$A:$A,"London",'caseload data'!$B:$B,"custody")</f>
        <v>0</v>
      </c>
      <c r="H138" s="98">
        <f>SUMIFS('caseload data'!I:I,'caseload data'!$D:$D,"PSO",'caseload data'!$A:$A,"London",'caseload data'!$B:$B,"custody")</f>
        <v>0</v>
      </c>
      <c r="I138" s="98">
        <f>SUMIFS('caseload data'!J:J,'caseload data'!$D:$D,"PSO",'caseload data'!$A:$A,"London",'caseload data'!$B:$B,"custody")</f>
        <v>0</v>
      </c>
      <c r="J138" s="98">
        <f>SUMIFS('caseload data'!K:K,'caseload data'!$D:$D,"PSO",'caseload data'!$A:$A,"London",'caseload data'!$B:$B,"custody")</f>
        <v>0</v>
      </c>
      <c r="K138" s="98">
        <f>SUMIFS('caseload data'!L:L,'caseload data'!$D:$D,"PSO",'caseload data'!$A:$A,"London",'caseload data'!$B:$B,"custody")</f>
        <v>0</v>
      </c>
      <c r="L138" s="98">
        <f>SUMIFS('caseload data'!M:M,'caseload data'!$D:$D,"PSO",'caseload data'!$A:$A,"London",'caseload data'!$B:$B,"custody")</f>
        <v>0</v>
      </c>
      <c r="M138" s="98">
        <f>SUMIFS('caseload data'!N:N,'caseload data'!$D:$D,"PSO",'caseload data'!$A:$A,"London",'caseload data'!$B:$B,"custody")</f>
        <v>0</v>
      </c>
      <c r="N138" s="98">
        <f>SUMIFS('caseload data'!O:O,'caseload data'!$D:$D,"PSO",'caseload data'!$A:$A,"London",'caseload data'!$B:$B,"custody")</f>
        <v>0</v>
      </c>
      <c r="O138" s="98">
        <f>SUMIFS('caseload data'!P:P,'caseload data'!$D:$D,"PSO",'caseload data'!$A:$A,"London",'caseload data'!$B:$B,"custody")</f>
        <v>0</v>
      </c>
      <c r="P138" s="98">
        <f>SUMIFS('caseload data'!Q:Q,'caseload data'!$D:$D,"PSO",'caseload data'!$A:$A,"London",'caseload data'!$B:$B,"custody")</f>
        <v>0</v>
      </c>
      <c r="Q138" s="98">
        <f>SUMIFS('caseload data'!R:R,'caseload data'!$D:$D,"PSO",'caseload data'!$A:$A,"London",'caseload data'!$B:$B,"custody")</f>
        <v>0</v>
      </c>
      <c r="R138" s="98">
        <f>SUMIFS('caseload data'!S:S,'caseload data'!$D:$D,"PSO",'caseload data'!$A:$A,"London",'caseload data'!$B:$B,"custody")</f>
        <v>0</v>
      </c>
      <c r="S138" s="98">
        <f>SUMIFS('caseload data'!T:T,'caseload data'!$D:$D,"PSO",'caseload data'!$A:$A,"London",'caseload data'!$B:$B,"custody")</f>
        <v>0</v>
      </c>
      <c r="T138" s="98">
        <f>SUMIFS('caseload data'!V:V,'caseload data'!D:D,"PSO",'caseload data'!A:A,"London",'caseload data'!B:B,"custody")</f>
        <v>0</v>
      </c>
      <c r="U138" s="68"/>
      <c r="V138" s="68"/>
      <c r="W138" s="427"/>
      <c r="X138" s="133" t="s">
        <v>1172</v>
      </c>
      <c r="Y138" s="175" t="e">
        <f>SUM(D138)/SUM(D$137:D$140)</f>
        <v>#DIV/0!</v>
      </c>
      <c r="Z138" s="175" t="e">
        <f t="shared" si="29"/>
        <v>#DIV/0!</v>
      </c>
      <c r="AA138" s="175" t="e">
        <f t="shared" si="29"/>
        <v>#DIV/0!</v>
      </c>
      <c r="AB138" s="175" t="e">
        <f t="shared" si="29"/>
        <v>#DIV/0!</v>
      </c>
      <c r="AC138" s="175" t="e">
        <f t="shared" si="29"/>
        <v>#DIV/0!</v>
      </c>
      <c r="AD138" s="175" t="e">
        <f t="shared" si="29"/>
        <v>#DIV/0!</v>
      </c>
      <c r="AE138" s="175" t="e">
        <f t="shared" si="29"/>
        <v>#DIV/0!</v>
      </c>
      <c r="AF138" s="175" t="e">
        <f t="shared" si="29"/>
        <v>#DIV/0!</v>
      </c>
      <c r="AG138" s="175" t="e">
        <f t="shared" si="29"/>
        <v>#DIV/0!</v>
      </c>
      <c r="AH138" s="175" t="e">
        <f t="shared" si="29"/>
        <v>#DIV/0!</v>
      </c>
      <c r="AI138" s="175" t="e">
        <f t="shared" si="29"/>
        <v>#DIV/0!</v>
      </c>
      <c r="AJ138" s="175" t="e">
        <f t="shared" si="29"/>
        <v>#DIV/0!</v>
      </c>
      <c r="AK138" s="175" t="e">
        <f t="shared" si="29"/>
        <v>#DIV/0!</v>
      </c>
      <c r="AL138" s="175" t="e">
        <f t="shared" si="29"/>
        <v>#DIV/0!</v>
      </c>
      <c r="AM138" s="175" t="e">
        <f t="shared" si="29"/>
        <v>#DIV/0!</v>
      </c>
      <c r="AN138" s="175" t="e">
        <f t="shared" si="29"/>
        <v>#DIV/0!</v>
      </c>
    </row>
    <row r="139" spans="2:40" x14ac:dyDescent="0.15">
      <c r="B139" s="427"/>
      <c r="C139" s="133" t="s">
        <v>1173</v>
      </c>
      <c r="D139" s="98">
        <f>SUMIFS('caseload data'!E:E,'caseload data'!$D:$D,"TPO",'caseload data'!$A:$A,"London",'caseload data'!$B:$B,"custody")</f>
        <v>0</v>
      </c>
      <c r="E139" s="98">
        <f>SUMIFS('caseload data'!F:F,'caseload data'!$D:$D,"TPO",'caseload data'!$A:$A,"London",'caseload data'!$B:$B,"custody")</f>
        <v>0</v>
      </c>
      <c r="F139" s="98">
        <f>SUMIFS('caseload data'!G:G,'caseload data'!$D:$D,"TPO",'caseload data'!$A:$A,"London",'caseload data'!$B:$B,"custody")</f>
        <v>0</v>
      </c>
      <c r="G139" s="98">
        <f>SUMIFS('caseload data'!H:H,'caseload data'!$D:$D,"TPO",'caseload data'!$A:$A,"London",'caseload data'!$B:$B,"custody")</f>
        <v>0</v>
      </c>
      <c r="H139" s="98">
        <f>SUMIFS('caseload data'!I:I,'caseload data'!$D:$D,"TPO",'caseload data'!$A:$A,"London",'caseload data'!$B:$B,"custody")</f>
        <v>0</v>
      </c>
      <c r="I139" s="98">
        <f>SUMIFS('caseload data'!J:J,'caseload data'!$D:$D,"TPO",'caseload data'!$A:$A,"London",'caseload data'!$B:$B,"custody")</f>
        <v>0</v>
      </c>
      <c r="J139" s="98">
        <f>SUMIFS('caseload data'!K:K,'caseload data'!$D:$D,"TPO",'caseload data'!$A:$A,"London",'caseload data'!$B:$B,"custody")</f>
        <v>0</v>
      </c>
      <c r="K139" s="98">
        <f>SUMIFS('caseload data'!L:L,'caseload data'!$D:$D,"TPO",'caseload data'!$A:$A,"London",'caseload data'!$B:$B,"custody")</f>
        <v>0</v>
      </c>
      <c r="L139" s="98">
        <f>SUMIFS('caseload data'!M:M,'caseload data'!$D:$D,"TPO",'caseload data'!$A:$A,"London",'caseload data'!$B:$B,"custody")</f>
        <v>0</v>
      </c>
      <c r="M139" s="98">
        <f>SUMIFS('caseload data'!N:N,'caseload data'!$D:$D,"TPO",'caseload data'!$A:$A,"London",'caseload data'!$B:$B,"custody")</f>
        <v>0</v>
      </c>
      <c r="N139" s="98">
        <f>SUMIFS('caseload data'!O:O,'caseload data'!$D:$D,"TPO",'caseload data'!$A:$A,"London",'caseload data'!$B:$B,"custody")</f>
        <v>0</v>
      </c>
      <c r="O139" s="98">
        <f>SUMIFS('caseload data'!P:P,'caseload data'!$D:$D,"TPO",'caseload data'!$A:$A,"London",'caseload data'!$B:$B,"custody")</f>
        <v>0</v>
      </c>
      <c r="P139" s="98">
        <f>SUMIFS('caseload data'!Q:Q,'caseload data'!$D:$D,"TPO",'caseload data'!$A:$A,"London",'caseload data'!$B:$B,"custody")</f>
        <v>0</v>
      </c>
      <c r="Q139" s="98">
        <f>SUMIFS('caseload data'!R:R,'caseload data'!$D:$D,"TPO",'caseload data'!$A:$A,"London",'caseload data'!$B:$B,"custody")</f>
        <v>0</v>
      </c>
      <c r="R139" s="98">
        <f>SUMIFS('caseload data'!S:S,'caseload data'!$D:$D,"TPO",'caseload data'!$A:$A,"London",'caseload data'!$B:$B,"custody")</f>
        <v>0</v>
      </c>
      <c r="S139" s="98">
        <f>SUMIFS('caseload data'!T:T,'caseload data'!$D:$D,"TPO",'caseload data'!$A:$A,"London",'caseload data'!$B:$B,"custody")</f>
        <v>0</v>
      </c>
      <c r="T139" s="98">
        <f>SUMIFS('caseload data'!V:V,'caseload data'!D:D,"TPO",'caseload data'!A:A,"London",'caseload data'!B:B,"custody")</f>
        <v>0</v>
      </c>
      <c r="U139" s="68"/>
      <c r="V139" s="68"/>
      <c r="W139" s="427"/>
      <c r="X139" s="133" t="s">
        <v>1173</v>
      </c>
      <c r="Y139" s="175" t="e">
        <f>SUM(D139)/SUM(D$137:D$140)</f>
        <v>#DIV/0!</v>
      </c>
      <c r="Z139" s="175" t="e">
        <f t="shared" si="29"/>
        <v>#DIV/0!</v>
      </c>
      <c r="AA139" s="175" t="e">
        <f t="shared" si="29"/>
        <v>#DIV/0!</v>
      </c>
      <c r="AB139" s="175" t="e">
        <f t="shared" si="29"/>
        <v>#DIV/0!</v>
      </c>
      <c r="AC139" s="175" t="e">
        <f t="shared" si="29"/>
        <v>#DIV/0!</v>
      </c>
      <c r="AD139" s="175" t="e">
        <f t="shared" si="29"/>
        <v>#DIV/0!</v>
      </c>
      <c r="AE139" s="175" t="e">
        <f t="shared" si="29"/>
        <v>#DIV/0!</v>
      </c>
      <c r="AF139" s="175" t="e">
        <f t="shared" si="29"/>
        <v>#DIV/0!</v>
      </c>
      <c r="AG139" s="175" t="e">
        <f t="shared" si="29"/>
        <v>#DIV/0!</v>
      </c>
      <c r="AH139" s="175" t="e">
        <f t="shared" si="29"/>
        <v>#DIV/0!</v>
      </c>
      <c r="AI139" s="175" t="e">
        <f t="shared" si="29"/>
        <v>#DIV/0!</v>
      </c>
      <c r="AJ139" s="175" t="e">
        <f t="shared" si="29"/>
        <v>#DIV/0!</v>
      </c>
      <c r="AK139" s="175" t="e">
        <f t="shared" si="29"/>
        <v>#DIV/0!</v>
      </c>
      <c r="AL139" s="175" t="e">
        <f t="shared" si="29"/>
        <v>#DIV/0!</v>
      </c>
      <c r="AM139" s="175" t="e">
        <f t="shared" si="29"/>
        <v>#DIV/0!</v>
      </c>
      <c r="AN139" s="175" t="e">
        <f t="shared" si="29"/>
        <v>#DIV/0!</v>
      </c>
    </row>
    <row r="140" spans="2:40" x14ac:dyDescent="0.15">
      <c r="B140" s="428"/>
      <c r="C140" s="134" t="s">
        <v>1174</v>
      </c>
      <c r="D140" s="98">
        <f>SUMIFS('caseload data'!E:E,'caseload data'!$D:$D,"SPO",'caseload data'!$A:$A,"London",'caseload data'!$B:$B,"custody")</f>
        <v>0</v>
      </c>
      <c r="E140" s="98">
        <f>SUMIFS('caseload data'!F:F,'caseload data'!$D:$D,"SPO",'caseload data'!$A:$A,"London",'caseload data'!$B:$B,"custody")</f>
        <v>0</v>
      </c>
      <c r="F140" s="98">
        <f>SUMIFS('caseload data'!G:G,'caseload data'!$D:$D,"SPO",'caseload data'!$A:$A,"London",'caseload data'!$B:$B,"custody")</f>
        <v>0</v>
      </c>
      <c r="G140" s="98">
        <f>SUMIFS('caseload data'!H:H,'caseload data'!$D:$D,"SPO",'caseload data'!$A:$A,"London",'caseload data'!$B:$B,"custody")</f>
        <v>0</v>
      </c>
      <c r="H140" s="98">
        <f>SUMIFS('caseload data'!I:I,'caseload data'!$D:$D,"SPO",'caseload data'!$A:$A,"London",'caseload data'!$B:$B,"custody")</f>
        <v>0</v>
      </c>
      <c r="I140" s="98">
        <f>SUMIFS('caseload data'!J:J,'caseload data'!$D:$D,"SPO",'caseload data'!$A:$A,"London",'caseload data'!$B:$B,"custody")</f>
        <v>0</v>
      </c>
      <c r="J140" s="98">
        <f>SUMIFS('caseload data'!K:K,'caseload data'!$D:$D,"SPO",'caseload data'!$A:$A,"London",'caseload data'!$B:$B,"custody")</f>
        <v>0</v>
      </c>
      <c r="K140" s="98">
        <f>SUMIFS('caseload data'!L:L,'caseload data'!$D:$D,"SPO",'caseload data'!$A:$A,"London",'caseload data'!$B:$B,"custody")</f>
        <v>0</v>
      </c>
      <c r="L140" s="98">
        <f>SUMIFS('caseload data'!M:M,'caseload data'!$D:$D,"SPO",'caseload data'!$A:$A,"London",'caseload data'!$B:$B,"custody")</f>
        <v>0</v>
      </c>
      <c r="M140" s="98">
        <f>SUMIFS('caseload data'!N:N,'caseload data'!$D:$D,"SPO",'caseload data'!$A:$A,"London",'caseload data'!$B:$B,"custody")</f>
        <v>0</v>
      </c>
      <c r="N140" s="98">
        <f>SUMIFS('caseload data'!O:O,'caseload data'!$D:$D,"SPO",'caseload data'!$A:$A,"London",'caseload data'!$B:$B,"custody")</f>
        <v>0</v>
      </c>
      <c r="O140" s="98">
        <f>SUMIFS('caseload data'!P:P,'caseload data'!$D:$D,"SPO",'caseload data'!$A:$A,"London",'caseload data'!$B:$B,"custody")</f>
        <v>0</v>
      </c>
      <c r="P140" s="98">
        <f>SUMIFS('caseload data'!Q:Q,'caseload data'!$D:$D,"SPO",'caseload data'!$A:$A,"London",'caseload data'!$B:$B,"custody")</f>
        <v>0</v>
      </c>
      <c r="Q140" s="98">
        <f>SUMIFS('caseload data'!R:R,'caseload data'!$D:$D,"SPO",'caseload data'!$A:$A,"London",'caseload data'!$B:$B,"custody")</f>
        <v>0</v>
      </c>
      <c r="R140" s="98">
        <f>SUMIFS('caseload data'!S:S,'caseload data'!$D:$D,"SPO",'caseload data'!$A:$A,"London",'caseload data'!$B:$B,"custody")</f>
        <v>0</v>
      </c>
      <c r="S140" s="98">
        <f>SUMIFS('caseload data'!T:T,'caseload data'!$D:$D,"SPO",'caseload data'!$A:$A,"London",'caseload data'!$B:$B,"custody")</f>
        <v>0</v>
      </c>
      <c r="T140" s="98">
        <f>SUMIFS('caseload data'!V:V,'caseload data'!$D:$D,"SPO",'caseload data'!$A:$A,"London",'caseload data'!$B:$B,"custody")</f>
        <v>0</v>
      </c>
      <c r="U140" s="68"/>
      <c r="V140" s="68"/>
      <c r="W140" s="428"/>
      <c r="X140" s="134" t="s">
        <v>1174</v>
      </c>
      <c r="Y140" s="175" t="e">
        <f>SUM(D140)/SUM(D$137:D$140)</f>
        <v>#DIV/0!</v>
      </c>
      <c r="Z140" s="175" t="e">
        <f t="shared" si="29"/>
        <v>#DIV/0!</v>
      </c>
      <c r="AA140" s="175" t="e">
        <f t="shared" si="29"/>
        <v>#DIV/0!</v>
      </c>
      <c r="AB140" s="175" t="e">
        <f t="shared" si="29"/>
        <v>#DIV/0!</v>
      </c>
      <c r="AC140" s="175" t="e">
        <f t="shared" si="29"/>
        <v>#DIV/0!</v>
      </c>
      <c r="AD140" s="175" t="e">
        <f t="shared" si="29"/>
        <v>#DIV/0!</v>
      </c>
      <c r="AE140" s="175" t="e">
        <f t="shared" si="29"/>
        <v>#DIV/0!</v>
      </c>
      <c r="AF140" s="175" t="e">
        <f t="shared" si="29"/>
        <v>#DIV/0!</v>
      </c>
      <c r="AG140" s="175" t="e">
        <f t="shared" si="29"/>
        <v>#DIV/0!</v>
      </c>
      <c r="AH140" s="175" t="e">
        <f t="shared" si="29"/>
        <v>#DIV/0!</v>
      </c>
      <c r="AI140" s="175" t="e">
        <f t="shared" si="29"/>
        <v>#DIV/0!</v>
      </c>
      <c r="AJ140" s="175" t="e">
        <f t="shared" si="29"/>
        <v>#DIV/0!</v>
      </c>
      <c r="AK140" s="175" t="e">
        <f t="shared" si="29"/>
        <v>#DIV/0!</v>
      </c>
      <c r="AL140" s="175" t="e">
        <f t="shared" si="29"/>
        <v>#DIV/0!</v>
      </c>
      <c r="AM140" s="175" t="e">
        <f t="shared" si="29"/>
        <v>#DIV/0!</v>
      </c>
      <c r="AN140" s="175" t="e">
        <f t="shared" si="29"/>
        <v>#DIV/0!</v>
      </c>
    </row>
    <row r="141" spans="2:40" x14ac:dyDescent="0.15">
      <c r="B141" s="423" t="s">
        <v>28</v>
      </c>
      <c r="C141" s="132" t="s">
        <v>1166</v>
      </c>
      <c r="D141" s="98">
        <f>SUMIFS('caseload data'!E:E,'caseload data'!$D:$D,"PO",'caseload data'!$A:$A,'national caseload'!$B$141:$B$143,'caseload data'!$B:$B,"custody")</f>
        <v>0</v>
      </c>
      <c r="E141" s="98">
        <f>SUMIFS('caseload data'!F:F,'caseload data'!$D:$D,"PO",'caseload data'!$A:$A,'national caseload'!$B$141:$B$143,'caseload data'!$B:$B,"custody")</f>
        <v>0</v>
      </c>
      <c r="F141" s="98">
        <f>SUMIFS('caseload data'!G:G,'caseload data'!$D:$D,"PO",'caseload data'!$A:$A,'national caseload'!$B$141:$B$143,'caseload data'!$B:$B,"custody")</f>
        <v>0</v>
      </c>
      <c r="G141" s="98">
        <f>SUMIFS('caseload data'!H:H,'caseload data'!$D:$D,"PO",'caseload data'!$A:$A,'national caseload'!$B$141:$B$143,'caseload data'!$B:$B,"custody")</f>
        <v>0</v>
      </c>
      <c r="H141" s="98">
        <f>SUMIFS('caseload data'!I:I,'caseload data'!$D:$D,"PO",'caseload data'!$A:$A,'national caseload'!$B$141:$B$143,'caseload data'!$B:$B,"custody")</f>
        <v>0</v>
      </c>
      <c r="I141" s="98">
        <f>SUMIFS('caseload data'!J:J,'caseload data'!$D:$D,"PO",'caseload data'!$A:$A,'national caseload'!$B$141:$B$143,'caseload data'!$B:$B,"custody")</f>
        <v>0</v>
      </c>
      <c r="J141" s="98">
        <f>SUMIFS('caseload data'!K:K,'caseload data'!$D:$D,"PO",'caseload data'!$A:$A,'national caseload'!$B$141:$B$143,'caseload data'!$B:$B,"custody")</f>
        <v>0</v>
      </c>
      <c r="K141" s="98">
        <f>SUMIFS('caseload data'!L:L,'caseload data'!$D:$D,"PO",'caseload data'!$A:$A,'national caseload'!$B$141:$B$143,'caseload data'!$B:$B,"custody")</f>
        <v>0</v>
      </c>
      <c r="L141" s="98">
        <f>SUMIFS('caseload data'!M:M,'caseload data'!$D:$D,"PO",'caseload data'!$A:$A,'national caseload'!$B$141:$B$143,'caseload data'!$B:$B,"custody")</f>
        <v>0</v>
      </c>
      <c r="M141" s="98">
        <f>SUMIFS('caseload data'!N:N,'caseload data'!$D:$D,"PO",'caseload data'!$A:$A,'national caseload'!$B$141:$B$143,'caseload data'!$B:$B,"custody")</f>
        <v>0</v>
      </c>
      <c r="N141" s="98">
        <f>SUMIFS('caseload data'!O:O,'caseload data'!$D:$D,"PO",'caseload data'!$A:$A,'national caseload'!$B$141:$B$143,'caseload data'!$B:$B,"custody")</f>
        <v>0</v>
      </c>
      <c r="O141" s="98">
        <f>SUMIFS('caseload data'!P:P,'caseload data'!$D:$D,"PO",'caseload data'!$A:$A,'national caseload'!$B$141:$B$143,'caseload data'!$B:$B,"custody")</f>
        <v>0</v>
      </c>
      <c r="P141" s="98">
        <f>SUMIFS('caseload data'!Q:Q,'caseload data'!$D:$D,"PO",'caseload data'!$A:$A,'national caseload'!$B$141:$B$143,'caseload data'!$B:$B,"custody")</f>
        <v>0</v>
      </c>
      <c r="Q141" s="98">
        <f>SUMIFS('caseload data'!R:R,'caseload data'!$D:$D,"PO",'caseload data'!$A:$A,'national caseload'!$B$141:$B$143,'caseload data'!$B:$B,"custody")</f>
        <v>0</v>
      </c>
      <c r="R141" s="98">
        <f>SUMIFS('caseload data'!S:S,'caseload data'!$D:$D,"PO",'caseload data'!$A:$A,'national caseload'!$B$141:$B$143,'caseload data'!$B:$B,"custody")</f>
        <v>0</v>
      </c>
      <c r="S141" s="98">
        <f>SUMIFS('caseload data'!T:T,'caseload data'!$D:$D,"PO",'caseload data'!$A:$A,'national caseload'!$B$141:$B$143,'caseload data'!$B:$B,"custody")</f>
        <v>0</v>
      </c>
      <c r="T141" s="98">
        <f>SUMIFS('caseload data'!V:V,'caseload data'!D:D,"PO",'caseload data'!A:A,'national caseload'!B141:B143,'caseload data'!B:B,"custody")</f>
        <v>0</v>
      </c>
      <c r="U141" s="68"/>
      <c r="V141" s="68"/>
      <c r="W141" s="423" t="s">
        <v>28</v>
      </c>
      <c r="X141" s="132" t="s">
        <v>1166</v>
      </c>
      <c r="Y141" s="175" t="e">
        <f>SUM(D141)/SUM(D$141:D$144)</f>
        <v>#DIV/0!</v>
      </c>
      <c r="Z141" s="175" t="e">
        <f t="shared" ref="Z141:AN144" si="30">SUM(E141)/SUM(E$141:E$144)</f>
        <v>#DIV/0!</v>
      </c>
      <c r="AA141" s="175" t="e">
        <f t="shared" si="30"/>
        <v>#DIV/0!</v>
      </c>
      <c r="AB141" s="175" t="e">
        <f t="shared" si="30"/>
        <v>#DIV/0!</v>
      </c>
      <c r="AC141" s="175" t="e">
        <f t="shared" si="30"/>
        <v>#DIV/0!</v>
      </c>
      <c r="AD141" s="175" t="e">
        <f t="shared" si="30"/>
        <v>#DIV/0!</v>
      </c>
      <c r="AE141" s="175" t="e">
        <f t="shared" si="30"/>
        <v>#DIV/0!</v>
      </c>
      <c r="AF141" s="175" t="e">
        <f t="shared" si="30"/>
        <v>#DIV/0!</v>
      </c>
      <c r="AG141" s="175" t="e">
        <f t="shared" si="30"/>
        <v>#DIV/0!</v>
      </c>
      <c r="AH141" s="175" t="e">
        <f t="shared" si="30"/>
        <v>#DIV/0!</v>
      </c>
      <c r="AI141" s="175" t="e">
        <f t="shared" si="30"/>
        <v>#DIV/0!</v>
      </c>
      <c r="AJ141" s="175" t="e">
        <f t="shared" si="30"/>
        <v>#DIV/0!</v>
      </c>
      <c r="AK141" s="175" t="e">
        <f t="shared" si="30"/>
        <v>#DIV/0!</v>
      </c>
      <c r="AL141" s="175" t="e">
        <f t="shared" si="30"/>
        <v>#DIV/0!</v>
      </c>
      <c r="AM141" s="175" t="e">
        <f t="shared" si="30"/>
        <v>#DIV/0!</v>
      </c>
      <c r="AN141" s="175" t="e">
        <f t="shared" si="30"/>
        <v>#DIV/0!</v>
      </c>
    </row>
    <row r="142" spans="2:40" x14ac:dyDescent="0.15">
      <c r="B142" s="424"/>
      <c r="C142" s="133" t="s">
        <v>1172</v>
      </c>
      <c r="D142" s="98">
        <f>SUMIFS('caseload data'!E:E,'caseload data'!$D:$D,"PSO",'caseload data'!$A:$A,"North East Region",'caseload data'!$B:$B,"custody")</f>
        <v>0</v>
      </c>
      <c r="E142" s="98">
        <f>SUMIFS('caseload data'!F:F,'caseload data'!$D:$D,"PSO",'caseload data'!$A:$A,"North East Region",'caseload data'!$B:$B,"custody")</f>
        <v>0</v>
      </c>
      <c r="F142" s="98">
        <f>SUMIFS('caseload data'!G:G,'caseload data'!$D:$D,"PSO",'caseload data'!$A:$A,"North East Region",'caseload data'!$B:$B,"custody")</f>
        <v>0</v>
      </c>
      <c r="G142" s="98">
        <f>SUMIFS('caseload data'!H:H,'caseload data'!$D:$D,"PSO",'caseload data'!$A:$A,"North East Region",'caseload data'!$B:$B,"custody")</f>
        <v>0</v>
      </c>
      <c r="H142" s="98">
        <f>SUMIFS('caseload data'!I:I,'caseload data'!$D:$D,"PSO",'caseload data'!$A:$A,"North East Region",'caseload data'!$B:$B,"custody")</f>
        <v>0</v>
      </c>
      <c r="I142" s="98">
        <f>SUMIFS('caseload data'!J:J,'caseload data'!$D:$D,"PSO",'caseload data'!$A:$A,"North East Region",'caseload data'!$B:$B,"custody")</f>
        <v>0</v>
      </c>
      <c r="J142" s="98">
        <f>SUMIFS('caseload data'!K:K,'caseload data'!$D:$D,"PSO",'caseload data'!$A:$A,"North East Region",'caseload data'!$B:$B,"custody")</f>
        <v>0</v>
      </c>
      <c r="K142" s="98">
        <f>SUMIFS('caseload data'!L:L,'caseload data'!$D:$D,"PSO",'caseload data'!$A:$A,"North East Region",'caseload data'!$B:$B,"custody")</f>
        <v>0</v>
      </c>
      <c r="L142" s="98">
        <f>SUMIFS('caseload data'!M:M,'caseload data'!$D:$D,"PSO",'caseload data'!$A:$A,"North East Region",'caseload data'!$B:$B,"custody")</f>
        <v>0</v>
      </c>
      <c r="M142" s="98">
        <f>SUMIFS('caseload data'!N:N,'caseload data'!$D:$D,"PSO",'caseload data'!$A:$A,"North East Region",'caseload data'!$B:$B,"custody")</f>
        <v>0</v>
      </c>
      <c r="N142" s="98">
        <f>SUMIFS('caseload data'!O:O,'caseload data'!$D:$D,"PSO",'caseload data'!$A:$A,"North East Region",'caseload data'!$B:$B,"custody")</f>
        <v>0</v>
      </c>
      <c r="O142" s="98">
        <f>SUMIFS('caseload data'!P:P,'caseload data'!$D:$D,"PSO",'caseload data'!$A:$A,"North East Region",'caseload data'!$B:$B,"custody")</f>
        <v>0</v>
      </c>
      <c r="P142" s="98">
        <f>SUMIFS('caseload data'!Q:Q,'caseload data'!$D:$D,"PSO",'caseload data'!$A:$A,"North East Region",'caseload data'!$B:$B,"custody")</f>
        <v>0</v>
      </c>
      <c r="Q142" s="98">
        <f>SUMIFS('caseload data'!R:R,'caseload data'!$D:$D,"PSO",'caseload data'!$A:$A,"North East Region",'caseload data'!$B:$B,"custody")</f>
        <v>0</v>
      </c>
      <c r="R142" s="98">
        <f>SUMIFS('caseload data'!S:S,'caseload data'!$D:$D,"PSO",'caseload data'!$A:$A,"North East Region",'caseload data'!$B:$B,"custody")</f>
        <v>0</v>
      </c>
      <c r="S142" s="98">
        <f>SUMIFS('caseload data'!T:T,'caseload data'!$D:$D,"PSO",'caseload data'!$A:$A,"North East Region",'caseload data'!$B:$B,"custody")</f>
        <v>0</v>
      </c>
      <c r="T142" s="98">
        <f>SUMIFS('caseload data'!V:V,'caseload data'!D:D,"PSO",'caseload data'!A:A,"North East Region",'caseload data'!B:B,"custody")</f>
        <v>0</v>
      </c>
      <c r="U142" s="68"/>
      <c r="V142" s="68"/>
      <c r="W142" s="424"/>
      <c r="X142" s="133" t="s">
        <v>1172</v>
      </c>
      <c r="Y142" s="175" t="e">
        <f>SUM(D142)/SUM(D$141:D$144)</f>
        <v>#DIV/0!</v>
      </c>
      <c r="Z142" s="175" t="e">
        <f t="shared" si="30"/>
        <v>#DIV/0!</v>
      </c>
      <c r="AA142" s="175" t="e">
        <f t="shared" si="30"/>
        <v>#DIV/0!</v>
      </c>
      <c r="AB142" s="175" t="e">
        <f t="shared" si="30"/>
        <v>#DIV/0!</v>
      </c>
      <c r="AC142" s="175" t="e">
        <f t="shared" si="30"/>
        <v>#DIV/0!</v>
      </c>
      <c r="AD142" s="175" t="e">
        <f t="shared" si="30"/>
        <v>#DIV/0!</v>
      </c>
      <c r="AE142" s="175" t="e">
        <f t="shared" si="30"/>
        <v>#DIV/0!</v>
      </c>
      <c r="AF142" s="175" t="e">
        <f t="shared" si="30"/>
        <v>#DIV/0!</v>
      </c>
      <c r="AG142" s="175" t="e">
        <f t="shared" si="30"/>
        <v>#DIV/0!</v>
      </c>
      <c r="AH142" s="175" t="e">
        <f t="shared" si="30"/>
        <v>#DIV/0!</v>
      </c>
      <c r="AI142" s="175" t="e">
        <f t="shared" si="30"/>
        <v>#DIV/0!</v>
      </c>
      <c r="AJ142" s="175" t="e">
        <f t="shared" si="30"/>
        <v>#DIV/0!</v>
      </c>
      <c r="AK142" s="175" t="e">
        <f t="shared" si="30"/>
        <v>#DIV/0!</v>
      </c>
      <c r="AL142" s="175" t="e">
        <f t="shared" si="30"/>
        <v>#DIV/0!</v>
      </c>
      <c r="AM142" s="175" t="e">
        <f t="shared" si="30"/>
        <v>#DIV/0!</v>
      </c>
      <c r="AN142" s="175" t="e">
        <f t="shared" si="30"/>
        <v>#DIV/0!</v>
      </c>
    </row>
    <row r="143" spans="2:40" x14ac:dyDescent="0.15">
      <c r="B143" s="424"/>
      <c r="C143" s="133" t="s">
        <v>1173</v>
      </c>
      <c r="D143" s="98">
        <f>SUMIFS('caseload data'!E:E,'caseload data'!$D:$D,"TPO",'caseload data'!$A:$A,"North East Region",'caseload data'!$B:$B,"custody")</f>
        <v>0</v>
      </c>
      <c r="E143" s="98">
        <f>SUMIFS('caseload data'!F:F,'caseload data'!$D:$D,"TPO",'caseload data'!$A:$A,"North East Region",'caseload data'!$B:$B,"custody")</f>
        <v>0</v>
      </c>
      <c r="F143" s="98">
        <f>SUMIFS('caseload data'!G:G,'caseload data'!$D:$D,"TPO",'caseload data'!$A:$A,"North East Region",'caseload data'!$B:$B,"custody")</f>
        <v>0</v>
      </c>
      <c r="G143" s="98">
        <f>SUMIFS('caseload data'!H:H,'caseload data'!$D:$D,"TPO",'caseload data'!$A:$A,"North East Region",'caseload data'!$B:$B,"custody")</f>
        <v>0</v>
      </c>
      <c r="H143" s="98">
        <f>SUMIFS('caseload data'!I:I,'caseload data'!$D:$D,"TPO",'caseload data'!$A:$A,"North East Region",'caseload data'!$B:$B,"custody")</f>
        <v>0</v>
      </c>
      <c r="I143" s="98">
        <f>SUMIFS('caseload data'!J:J,'caseload data'!$D:$D,"TPO",'caseload data'!$A:$A,"North East Region",'caseload data'!$B:$B,"custody")</f>
        <v>0</v>
      </c>
      <c r="J143" s="98">
        <f>SUMIFS('caseload data'!K:K,'caseload data'!$D:$D,"TPO",'caseload data'!$A:$A,"North East Region",'caseload data'!$B:$B,"custody")</f>
        <v>0</v>
      </c>
      <c r="K143" s="98">
        <f>SUMIFS('caseload data'!L:L,'caseload data'!$D:$D,"TPO",'caseload data'!$A:$A,"North East Region",'caseload data'!$B:$B,"custody")</f>
        <v>0</v>
      </c>
      <c r="L143" s="98">
        <f>SUMIFS('caseload data'!M:M,'caseload data'!$D:$D,"TPO",'caseload data'!$A:$A,"North East Region",'caseload data'!$B:$B,"custody")</f>
        <v>0</v>
      </c>
      <c r="M143" s="98">
        <f>SUMIFS('caseload data'!N:N,'caseload data'!$D:$D,"TPO",'caseload data'!$A:$A,"North East Region",'caseload data'!$B:$B,"custody")</f>
        <v>0</v>
      </c>
      <c r="N143" s="98">
        <f>SUMIFS('caseload data'!O:O,'caseload data'!$D:$D,"TPO",'caseload data'!$A:$A,"North East Region",'caseload data'!$B:$B,"custody")</f>
        <v>0</v>
      </c>
      <c r="O143" s="98">
        <f>SUMIFS('caseload data'!P:P,'caseload data'!$D:$D,"TPO",'caseload data'!$A:$A,"North East Region",'caseload data'!$B:$B,"custody")</f>
        <v>0</v>
      </c>
      <c r="P143" s="98">
        <f>SUMIFS('caseload data'!Q:Q,'caseload data'!$D:$D,"TPO",'caseload data'!$A:$A,"North East Region",'caseload data'!$B:$B,"custody")</f>
        <v>0</v>
      </c>
      <c r="Q143" s="98">
        <f>SUMIFS('caseload data'!R:R,'caseload data'!$D:$D,"TPO",'caseload data'!$A:$A,"North East Region",'caseload data'!$B:$B,"custody")</f>
        <v>0</v>
      </c>
      <c r="R143" s="98">
        <f>SUMIFS('caseload data'!S:S,'caseload data'!$D:$D,"TPO",'caseload data'!$A:$A,"North East Region",'caseload data'!$B:$B,"custody")</f>
        <v>0</v>
      </c>
      <c r="S143" s="98">
        <f>SUMIFS('caseload data'!T:T,'caseload data'!$D:$D,"TPO",'caseload data'!$A:$A,"North East Region",'caseload data'!$B:$B,"custody")</f>
        <v>0</v>
      </c>
      <c r="T143" s="98">
        <f>SUMIFS('caseload data'!V:V,'caseload data'!D:D,"TPO",'caseload data'!A:A,"North East Region",'caseload data'!B:B,"custody")</f>
        <v>0</v>
      </c>
      <c r="U143" s="68"/>
      <c r="V143" s="68"/>
      <c r="W143" s="424"/>
      <c r="X143" s="133" t="s">
        <v>1173</v>
      </c>
      <c r="Y143" s="175" t="e">
        <f>SUM(D143)/SUM(D$141:D$144)</f>
        <v>#DIV/0!</v>
      </c>
      <c r="Z143" s="175" t="e">
        <f t="shared" si="30"/>
        <v>#DIV/0!</v>
      </c>
      <c r="AA143" s="175" t="e">
        <f t="shared" si="30"/>
        <v>#DIV/0!</v>
      </c>
      <c r="AB143" s="175" t="e">
        <f t="shared" si="30"/>
        <v>#DIV/0!</v>
      </c>
      <c r="AC143" s="175" t="e">
        <f t="shared" si="30"/>
        <v>#DIV/0!</v>
      </c>
      <c r="AD143" s="175" t="e">
        <f t="shared" si="30"/>
        <v>#DIV/0!</v>
      </c>
      <c r="AE143" s="175" t="e">
        <f t="shared" si="30"/>
        <v>#DIV/0!</v>
      </c>
      <c r="AF143" s="175" t="e">
        <f t="shared" si="30"/>
        <v>#DIV/0!</v>
      </c>
      <c r="AG143" s="175" t="e">
        <f t="shared" si="30"/>
        <v>#DIV/0!</v>
      </c>
      <c r="AH143" s="175" t="e">
        <f t="shared" si="30"/>
        <v>#DIV/0!</v>
      </c>
      <c r="AI143" s="175" t="e">
        <f t="shared" si="30"/>
        <v>#DIV/0!</v>
      </c>
      <c r="AJ143" s="175" t="e">
        <f t="shared" si="30"/>
        <v>#DIV/0!</v>
      </c>
      <c r="AK143" s="175" t="e">
        <f t="shared" si="30"/>
        <v>#DIV/0!</v>
      </c>
      <c r="AL143" s="175" t="e">
        <f t="shared" si="30"/>
        <v>#DIV/0!</v>
      </c>
      <c r="AM143" s="175" t="e">
        <f t="shared" si="30"/>
        <v>#DIV/0!</v>
      </c>
      <c r="AN143" s="175" t="e">
        <f t="shared" si="30"/>
        <v>#DIV/0!</v>
      </c>
    </row>
    <row r="144" spans="2:40" x14ac:dyDescent="0.15">
      <c r="B144" s="425"/>
      <c r="C144" s="134" t="s">
        <v>1174</v>
      </c>
      <c r="D144" s="98">
        <f>SUMIFS('caseload data'!E:E,'caseload data'!$D:$D,"SPO",'caseload data'!$A:$A,"North East Region",'caseload data'!$B:$B,"custody")</f>
        <v>0</v>
      </c>
      <c r="E144" s="98">
        <f>SUMIFS('caseload data'!F:F,'caseload data'!$D:$D,"SPO",'caseload data'!$A:$A,"North East Region",'caseload data'!$B:$B,"custody")</f>
        <v>0</v>
      </c>
      <c r="F144" s="98">
        <f>SUMIFS('caseload data'!G:G,'caseload data'!$D:$D,"SPO",'caseload data'!$A:$A,"North East Region",'caseload data'!$B:$B,"custody")</f>
        <v>0</v>
      </c>
      <c r="G144" s="98">
        <f>SUMIFS('caseload data'!H:H,'caseload data'!$D:$D,"SPO",'caseload data'!$A:$A,"North East Region",'caseload data'!$B:$B,"custody")</f>
        <v>0</v>
      </c>
      <c r="H144" s="98">
        <f>SUMIFS('caseload data'!I:I,'caseload data'!$D:$D,"SPO",'caseload data'!$A:$A,"North East Region",'caseload data'!$B:$B,"custody")</f>
        <v>0</v>
      </c>
      <c r="I144" s="98">
        <f>SUMIFS('caseload data'!J:J,'caseload data'!$D:$D,"SPO",'caseload data'!$A:$A,"North East Region",'caseload data'!$B:$B,"custody")</f>
        <v>0</v>
      </c>
      <c r="J144" s="98">
        <f>SUMIFS('caseload data'!K:K,'caseload data'!$D:$D,"SPO",'caseload data'!$A:$A,"North East Region",'caseload data'!$B:$B,"custody")</f>
        <v>0</v>
      </c>
      <c r="K144" s="98">
        <f>SUMIFS('caseload data'!L:L,'caseload data'!$D:$D,"SPO",'caseload data'!$A:$A,"North East Region",'caseload data'!$B:$B,"custody")</f>
        <v>0</v>
      </c>
      <c r="L144" s="98">
        <f>SUMIFS('caseload data'!M:M,'caseload data'!$D:$D,"SPO",'caseload data'!$A:$A,"North East Region",'caseload data'!$B:$B,"custody")</f>
        <v>0</v>
      </c>
      <c r="M144" s="98">
        <f>SUMIFS('caseload data'!N:N,'caseload data'!$D:$D,"SPO",'caseload data'!$A:$A,"North East Region",'caseload data'!$B:$B,"custody")</f>
        <v>0</v>
      </c>
      <c r="N144" s="98">
        <f>SUMIFS('caseload data'!O:O,'caseload data'!$D:$D,"SPO",'caseload data'!$A:$A,"North East Region",'caseload data'!$B:$B,"custody")</f>
        <v>0</v>
      </c>
      <c r="O144" s="98">
        <f>SUMIFS('caseload data'!P:P,'caseload data'!$D:$D,"SPO",'caseload data'!$A:$A,"North East Region",'caseload data'!$B:$B,"custody")</f>
        <v>0</v>
      </c>
      <c r="P144" s="98">
        <f>SUMIFS('caseload data'!Q:Q,'caseload data'!$D:$D,"SPO",'caseload data'!$A:$A,"North East Region",'caseload data'!$B:$B,"custody")</f>
        <v>0</v>
      </c>
      <c r="Q144" s="98">
        <f>SUMIFS('caseload data'!R:R,'caseload data'!$D:$D,"SPO",'caseload data'!$A:$A,"North East Region",'caseload data'!$B:$B,"custody")</f>
        <v>0</v>
      </c>
      <c r="R144" s="98">
        <f>SUMIFS('caseload data'!S:S,'caseload data'!$D:$D,"SPO",'caseload data'!$A:$A,"North East Region",'caseload data'!$B:$B,"custody")</f>
        <v>0</v>
      </c>
      <c r="S144" s="98">
        <f>SUMIFS('caseload data'!T:T,'caseload data'!$D:$D,"SPO",'caseload data'!$A:$A,"North East Region",'caseload data'!$B:$B,"custody")</f>
        <v>0</v>
      </c>
      <c r="T144" s="98">
        <f>SUMIFS('caseload data'!V:V,'caseload data'!$D:$D,"SPO",'caseload data'!$A:$A,"North East Region",'caseload data'!$B:$B,"custody")</f>
        <v>0</v>
      </c>
      <c r="U144" s="68"/>
      <c r="V144" s="68"/>
      <c r="W144" s="425"/>
      <c r="X144" s="134" t="s">
        <v>1174</v>
      </c>
      <c r="Y144" s="175" t="e">
        <f>SUM(D144)/SUM(D$141:D$144)</f>
        <v>#DIV/0!</v>
      </c>
      <c r="Z144" s="175" t="e">
        <f t="shared" si="30"/>
        <v>#DIV/0!</v>
      </c>
      <c r="AA144" s="175" t="e">
        <f t="shared" si="30"/>
        <v>#DIV/0!</v>
      </c>
      <c r="AB144" s="175" t="e">
        <f t="shared" si="30"/>
        <v>#DIV/0!</v>
      </c>
      <c r="AC144" s="175" t="e">
        <f t="shared" si="30"/>
        <v>#DIV/0!</v>
      </c>
      <c r="AD144" s="175" t="e">
        <f t="shared" si="30"/>
        <v>#DIV/0!</v>
      </c>
      <c r="AE144" s="175" t="e">
        <f t="shared" si="30"/>
        <v>#DIV/0!</v>
      </c>
      <c r="AF144" s="175" t="e">
        <f t="shared" si="30"/>
        <v>#DIV/0!</v>
      </c>
      <c r="AG144" s="175" t="e">
        <f t="shared" si="30"/>
        <v>#DIV/0!</v>
      </c>
      <c r="AH144" s="175" t="e">
        <f t="shared" si="30"/>
        <v>#DIV/0!</v>
      </c>
      <c r="AI144" s="175" t="e">
        <f t="shared" si="30"/>
        <v>#DIV/0!</v>
      </c>
      <c r="AJ144" s="175" t="e">
        <f t="shared" si="30"/>
        <v>#DIV/0!</v>
      </c>
      <c r="AK144" s="175" t="e">
        <f t="shared" si="30"/>
        <v>#DIV/0!</v>
      </c>
      <c r="AL144" s="175" t="e">
        <f t="shared" si="30"/>
        <v>#DIV/0!</v>
      </c>
      <c r="AM144" s="175" t="e">
        <f t="shared" si="30"/>
        <v>#DIV/0!</v>
      </c>
      <c r="AN144" s="175" t="e">
        <f t="shared" si="30"/>
        <v>#DIV/0!</v>
      </c>
    </row>
    <row r="145" spans="2:40" x14ac:dyDescent="0.15">
      <c r="B145" s="423" t="s">
        <v>29</v>
      </c>
      <c r="C145" s="132" t="s">
        <v>1166</v>
      </c>
      <c r="D145" s="98">
        <f>SUMIFS('caseload data'!E:E,'caseload data'!$D:$D,"PO",'caseload data'!$A:$A,'national caseload'!$B$145:$B$147,'caseload data'!$B:$B,"custody")</f>
        <v>0</v>
      </c>
      <c r="E145" s="98">
        <f>SUMIFS('caseload data'!F:F,'caseload data'!$D:$D,"PO",'caseload data'!$A:$A,'national caseload'!$B$145:$B$147,'caseload data'!$B:$B,"custody")</f>
        <v>0</v>
      </c>
      <c r="F145" s="98">
        <f>SUMIFS('caseload data'!G:G,'caseload data'!$D:$D,"PO",'caseload data'!$A:$A,'national caseload'!$B$145:$B$147,'caseload data'!$B:$B,"custody")</f>
        <v>0</v>
      </c>
      <c r="G145" s="98">
        <f>SUMIFS('caseload data'!H:H,'caseload data'!$D:$D,"PO",'caseload data'!$A:$A,'national caseload'!$B$145:$B$147,'caseload data'!$B:$B,"custody")</f>
        <v>0</v>
      </c>
      <c r="H145" s="98">
        <f>SUMIFS('caseload data'!I:I,'caseload data'!$D:$D,"PO",'caseload data'!$A:$A,'national caseload'!$B$145:$B$147,'caseload data'!$B:$B,"custody")</f>
        <v>0</v>
      </c>
      <c r="I145" s="98">
        <f>SUMIFS('caseload data'!J:J,'caseload data'!$D:$D,"PO",'caseload data'!$A:$A,'national caseload'!$B$145:$B$147,'caseload data'!$B:$B,"custody")</f>
        <v>0</v>
      </c>
      <c r="J145" s="98">
        <f>SUMIFS('caseload data'!K:K,'caseload data'!$D:$D,"PO",'caseload data'!$A:$A,'national caseload'!$B$145:$B$147,'caseload data'!$B:$B,"custody")</f>
        <v>0</v>
      </c>
      <c r="K145" s="98">
        <f>SUMIFS('caseload data'!L:L,'caseload data'!$D:$D,"PO",'caseload data'!$A:$A,'national caseload'!$B$145:$B$147,'caseload data'!$B:$B,"custody")</f>
        <v>0</v>
      </c>
      <c r="L145" s="98">
        <f>SUMIFS('caseload data'!M:M,'caseload data'!$D:$D,"PO",'caseload data'!$A:$A,'national caseload'!$B$145:$B$147,'caseload data'!$B:$B,"custody")</f>
        <v>0</v>
      </c>
      <c r="M145" s="98">
        <f>SUMIFS('caseload data'!N:N,'caseload data'!$D:$D,"PO",'caseload data'!$A:$A,'national caseload'!$B$145:$B$147,'caseload data'!$B:$B,"custody")</f>
        <v>0</v>
      </c>
      <c r="N145" s="98">
        <f>SUMIFS('caseload data'!O:O,'caseload data'!$D:$D,"PO",'caseload data'!$A:$A,'national caseload'!$B$145:$B$147,'caseload data'!$B:$B,"custody")</f>
        <v>0</v>
      </c>
      <c r="O145" s="98">
        <f>SUMIFS('caseload data'!P:P,'caseload data'!$D:$D,"PO",'caseload data'!$A:$A,'national caseload'!$B$145:$B$147,'caseload data'!$B:$B,"custody")</f>
        <v>0</v>
      </c>
      <c r="P145" s="98">
        <f>SUMIFS('caseload data'!Q:Q,'caseload data'!$D:$D,"PO",'caseload data'!$A:$A,'national caseload'!$B$145:$B$147,'caseload data'!$B:$B,"custody")</f>
        <v>0</v>
      </c>
      <c r="Q145" s="98">
        <f>SUMIFS('caseload data'!R:R,'caseload data'!$D:$D,"PO",'caseload data'!$A:$A,'national caseload'!$B$145:$B$147,'caseload data'!$B:$B,"custody")</f>
        <v>0</v>
      </c>
      <c r="R145" s="98">
        <f>SUMIFS('caseload data'!S:S,'caseload data'!$D:$D,"PO",'caseload data'!$A:$A,'national caseload'!$B$145:$B$147,'caseload data'!$B:$B,"custody")</f>
        <v>0</v>
      </c>
      <c r="S145" s="98">
        <f>SUMIFS('caseload data'!T:T,'caseload data'!$D:$D,"PO",'caseload data'!$A:$A,'national caseload'!$B$145:$B$147,'caseload data'!$B:$B,"custody")</f>
        <v>0</v>
      </c>
      <c r="T145" s="98">
        <f>SUMIFS('caseload data'!V:V,'caseload data'!D:D,"PO",'caseload data'!A:A,'national caseload'!B145:B147,'caseload data'!B:B,"custody")</f>
        <v>0</v>
      </c>
      <c r="U145" s="68"/>
      <c r="V145" s="68"/>
      <c r="W145" s="423" t="s">
        <v>29</v>
      </c>
      <c r="X145" s="132" t="s">
        <v>1166</v>
      </c>
      <c r="Y145" s="175" t="e">
        <f>SUM(D145)/SUM(D$145:D$148)</f>
        <v>#DIV/0!</v>
      </c>
      <c r="Z145" s="175" t="e">
        <f t="shared" ref="Z145:AN148" si="31">SUM(E145)/SUM(E$145:E$148)</f>
        <v>#DIV/0!</v>
      </c>
      <c r="AA145" s="175" t="e">
        <f t="shared" si="31"/>
        <v>#DIV/0!</v>
      </c>
      <c r="AB145" s="175" t="e">
        <f t="shared" si="31"/>
        <v>#DIV/0!</v>
      </c>
      <c r="AC145" s="175" t="e">
        <f t="shared" si="31"/>
        <v>#DIV/0!</v>
      </c>
      <c r="AD145" s="175" t="e">
        <f t="shared" si="31"/>
        <v>#DIV/0!</v>
      </c>
      <c r="AE145" s="175" t="e">
        <f t="shared" si="31"/>
        <v>#DIV/0!</v>
      </c>
      <c r="AF145" s="175" t="e">
        <f t="shared" si="31"/>
        <v>#DIV/0!</v>
      </c>
      <c r="AG145" s="175" t="e">
        <f t="shared" si="31"/>
        <v>#DIV/0!</v>
      </c>
      <c r="AH145" s="175" t="e">
        <f t="shared" si="31"/>
        <v>#DIV/0!</v>
      </c>
      <c r="AI145" s="175" t="e">
        <f t="shared" si="31"/>
        <v>#DIV/0!</v>
      </c>
      <c r="AJ145" s="175" t="e">
        <f t="shared" si="31"/>
        <v>#DIV/0!</v>
      </c>
      <c r="AK145" s="175" t="e">
        <f t="shared" si="31"/>
        <v>#DIV/0!</v>
      </c>
      <c r="AL145" s="175" t="e">
        <f t="shared" si="31"/>
        <v>#DIV/0!</v>
      </c>
      <c r="AM145" s="175" t="e">
        <f t="shared" si="31"/>
        <v>#DIV/0!</v>
      </c>
      <c r="AN145" s="175" t="e">
        <f t="shared" si="31"/>
        <v>#DIV/0!</v>
      </c>
    </row>
    <row r="146" spans="2:40" x14ac:dyDescent="0.15">
      <c r="B146" s="424"/>
      <c r="C146" s="133" t="s">
        <v>1172</v>
      </c>
      <c r="D146" s="98">
        <f>SUMIFS('caseload data'!E:E,'caseload data'!$D:$D,"PSO",'caseload data'!$A:$A,"North West Region",'caseload data'!$B:$B,"custody")</f>
        <v>0</v>
      </c>
      <c r="E146" s="98">
        <f>SUMIFS('caseload data'!F:F,'caseload data'!$D:$D,"PSO",'caseload data'!$A:$A,"North West Region",'caseload data'!$B:$B,"custody")</f>
        <v>0</v>
      </c>
      <c r="F146" s="98">
        <f>SUMIFS('caseload data'!G:G,'caseload data'!$D:$D,"PSO",'caseload data'!$A:$A,"North West Region",'caseload data'!$B:$B,"custody")</f>
        <v>0</v>
      </c>
      <c r="G146" s="98">
        <f>SUMIFS('caseload data'!H:H,'caseload data'!$D:$D,"PSO",'caseload data'!$A:$A,"North West Region",'caseload data'!$B:$B,"custody")</f>
        <v>0</v>
      </c>
      <c r="H146" s="98">
        <f>SUMIFS('caseload data'!I:I,'caseload data'!$D:$D,"PSO",'caseload data'!$A:$A,"North West Region",'caseload data'!$B:$B,"custody")</f>
        <v>0</v>
      </c>
      <c r="I146" s="98">
        <f>SUMIFS('caseload data'!J:J,'caseload data'!$D:$D,"PSO",'caseload data'!$A:$A,"North West Region",'caseload data'!$B:$B,"custody")</f>
        <v>0</v>
      </c>
      <c r="J146" s="98">
        <f>SUMIFS('caseload data'!K:K,'caseload data'!$D:$D,"PSO",'caseload data'!$A:$A,"North West Region",'caseload data'!$B:$B,"custody")</f>
        <v>0</v>
      </c>
      <c r="K146" s="98">
        <f>SUMIFS('caseload data'!L:L,'caseload data'!$D:$D,"PSO",'caseload data'!$A:$A,"North West Region",'caseload data'!$B:$B,"custody")</f>
        <v>0</v>
      </c>
      <c r="L146" s="98">
        <f>SUMIFS('caseload data'!M:M,'caseload data'!$D:$D,"PSO",'caseload data'!$A:$A,"North West Region",'caseload data'!$B:$B,"custody")</f>
        <v>0</v>
      </c>
      <c r="M146" s="98">
        <f>SUMIFS('caseload data'!N:N,'caseload data'!$D:$D,"PSO",'caseload data'!$A:$A,"North West Region",'caseload data'!$B:$B,"custody")</f>
        <v>0</v>
      </c>
      <c r="N146" s="98">
        <f>SUMIFS('caseload data'!O:O,'caseload data'!$D:$D,"PSO",'caseload data'!$A:$A,"North West Region",'caseload data'!$B:$B,"custody")</f>
        <v>0</v>
      </c>
      <c r="O146" s="98">
        <f>SUMIFS('caseload data'!P:P,'caseload data'!$D:$D,"PSO",'caseload data'!$A:$A,"North West Region",'caseload data'!$B:$B,"custody")</f>
        <v>0</v>
      </c>
      <c r="P146" s="98">
        <f>SUMIFS('caseload data'!Q:Q,'caseload data'!$D:$D,"PSO",'caseload data'!$A:$A,"North West Region",'caseload data'!$B:$B,"custody")</f>
        <v>0</v>
      </c>
      <c r="Q146" s="98">
        <f>SUMIFS('caseload data'!R:R,'caseload data'!$D:$D,"PSO",'caseload data'!$A:$A,"North West Region",'caseload data'!$B:$B,"custody")</f>
        <v>0</v>
      </c>
      <c r="R146" s="98">
        <f>SUMIFS('caseload data'!S:S,'caseload data'!$D:$D,"PSO",'caseload data'!$A:$A,"North West Region",'caseload data'!$B:$B,"custody")</f>
        <v>0</v>
      </c>
      <c r="S146" s="98">
        <f>SUMIFS('caseload data'!T:T,'caseload data'!$D:$D,"PSO",'caseload data'!$A:$A,"North West Region",'caseload data'!$B:$B,"custody")</f>
        <v>0</v>
      </c>
      <c r="T146" s="98">
        <f>SUMIFS('caseload data'!V:V,'caseload data'!D:D,"PSO",'caseload data'!A:A,"North West Region",'caseload data'!B:B,"custody")</f>
        <v>0</v>
      </c>
      <c r="U146" s="68"/>
      <c r="V146" s="68"/>
      <c r="W146" s="424"/>
      <c r="X146" s="133" t="s">
        <v>1172</v>
      </c>
      <c r="Y146" s="175" t="e">
        <f>SUM(D146)/SUM(D$145:D$148)</f>
        <v>#DIV/0!</v>
      </c>
      <c r="Z146" s="175" t="e">
        <f t="shared" si="31"/>
        <v>#DIV/0!</v>
      </c>
      <c r="AA146" s="175" t="e">
        <f t="shared" si="31"/>
        <v>#DIV/0!</v>
      </c>
      <c r="AB146" s="175" t="e">
        <f t="shared" si="31"/>
        <v>#DIV/0!</v>
      </c>
      <c r="AC146" s="175" t="e">
        <f t="shared" si="31"/>
        <v>#DIV/0!</v>
      </c>
      <c r="AD146" s="175" t="e">
        <f t="shared" si="31"/>
        <v>#DIV/0!</v>
      </c>
      <c r="AE146" s="175" t="e">
        <f t="shared" si="31"/>
        <v>#DIV/0!</v>
      </c>
      <c r="AF146" s="175" t="e">
        <f t="shared" si="31"/>
        <v>#DIV/0!</v>
      </c>
      <c r="AG146" s="175" t="e">
        <f t="shared" si="31"/>
        <v>#DIV/0!</v>
      </c>
      <c r="AH146" s="175" t="e">
        <f t="shared" si="31"/>
        <v>#DIV/0!</v>
      </c>
      <c r="AI146" s="175" t="e">
        <f t="shared" si="31"/>
        <v>#DIV/0!</v>
      </c>
      <c r="AJ146" s="175" t="e">
        <f t="shared" si="31"/>
        <v>#DIV/0!</v>
      </c>
      <c r="AK146" s="175" t="e">
        <f t="shared" si="31"/>
        <v>#DIV/0!</v>
      </c>
      <c r="AL146" s="175" t="e">
        <f t="shared" si="31"/>
        <v>#DIV/0!</v>
      </c>
      <c r="AM146" s="175" t="e">
        <f t="shared" si="31"/>
        <v>#DIV/0!</v>
      </c>
      <c r="AN146" s="175" t="e">
        <f t="shared" si="31"/>
        <v>#DIV/0!</v>
      </c>
    </row>
    <row r="147" spans="2:40" x14ac:dyDescent="0.15">
      <c r="B147" s="424"/>
      <c r="C147" s="133" t="s">
        <v>1173</v>
      </c>
      <c r="D147" s="98">
        <f>SUMIFS('caseload data'!E:E,'caseload data'!$D:$D,"TPO",'caseload data'!$A:$A,"North West Region",'caseload data'!$B:$B,"custody")</f>
        <v>0</v>
      </c>
      <c r="E147" s="98">
        <f>SUMIFS('caseload data'!F:F,'caseload data'!$D:$D,"TPO",'caseload data'!$A:$A,"North West Region",'caseload data'!$B:$B,"custody")</f>
        <v>0</v>
      </c>
      <c r="F147" s="98">
        <f>SUMIFS('caseload data'!G:G,'caseload data'!$D:$D,"TPO",'caseload data'!$A:$A,"North West Region",'caseload data'!$B:$B,"custody")</f>
        <v>0</v>
      </c>
      <c r="G147" s="98">
        <f>SUMIFS('caseload data'!H:H,'caseload data'!$D:$D,"TPO",'caseload data'!$A:$A,"North West Region",'caseload data'!$B:$B,"custody")</f>
        <v>0</v>
      </c>
      <c r="H147" s="98">
        <f>SUMIFS('caseload data'!I:I,'caseload data'!$D:$D,"TPO",'caseload data'!$A:$A,"North West Region",'caseload data'!$B:$B,"custody")</f>
        <v>0</v>
      </c>
      <c r="I147" s="98">
        <f>SUMIFS('caseload data'!J:J,'caseload data'!$D:$D,"TPO",'caseload data'!$A:$A,"North West Region",'caseload data'!$B:$B,"custody")</f>
        <v>0</v>
      </c>
      <c r="J147" s="98">
        <f>SUMIFS('caseload data'!K:K,'caseload data'!$D:$D,"TPO",'caseload data'!$A:$A,"North West Region",'caseload data'!$B:$B,"custody")</f>
        <v>0</v>
      </c>
      <c r="K147" s="98">
        <f>SUMIFS('caseload data'!L:L,'caseload data'!$D:$D,"TPO",'caseload data'!$A:$A,"North West Region",'caseload data'!$B:$B,"custody")</f>
        <v>0</v>
      </c>
      <c r="L147" s="98">
        <f>SUMIFS('caseload data'!M:M,'caseload data'!$D:$D,"TPO",'caseload data'!$A:$A,"North West Region",'caseload data'!$B:$B,"custody")</f>
        <v>0</v>
      </c>
      <c r="M147" s="98">
        <f>SUMIFS('caseload data'!N:N,'caseload data'!$D:$D,"TPO",'caseload data'!$A:$A,"North West Region",'caseload data'!$B:$B,"custody")</f>
        <v>0</v>
      </c>
      <c r="N147" s="98">
        <f>SUMIFS('caseload data'!O:O,'caseload data'!$D:$D,"TPO",'caseload data'!$A:$A,"North West Region",'caseload data'!$B:$B,"custody")</f>
        <v>0</v>
      </c>
      <c r="O147" s="98">
        <f>SUMIFS('caseload data'!P:P,'caseload data'!$D:$D,"TPO",'caseload data'!$A:$A,"North West Region",'caseload data'!$B:$B,"custody")</f>
        <v>0</v>
      </c>
      <c r="P147" s="98">
        <f>SUMIFS('caseload data'!Q:Q,'caseload data'!$D:$D,"TPO",'caseload data'!$A:$A,"North West Region",'caseload data'!$B:$B,"custody")</f>
        <v>0</v>
      </c>
      <c r="Q147" s="98">
        <f>SUMIFS('caseload data'!R:R,'caseload data'!$D:$D,"TPO",'caseload data'!$A:$A,"North West Region",'caseload data'!$B:$B,"custody")</f>
        <v>0</v>
      </c>
      <c r="R147" s="98">
        <f>SUMIFS('caseload data'!S:S,'caseload data'!$D:$D,"TPO",'caseload data'!$A:$A,"North West Region",'caseload data'!$B:$B,"custody")</f>
        <v>0</v>
      </c>
      <c r="S147" s="98">
        <f>SUMIFS('caseload data'!T:T,'caseload data'!$D:$D,"TPO",'caseload data'!$A:$A,"North West Region",'caseload data'!$B:$B,"custody")</f>
        <v>0</v>
      </c>
      <c r="T147" s="98">
        <f>SUMIFS('caseload data'!V:V,'caseload data'!D:D,"TPO",'caseload data'!A:A,"North West Region",'caseload data'!B:B,"custody")</f>
        <v>0</v>
      </c>
      <c r="U147" s="68"/>
      <c r="V147" s="68"/>
      <c r="W147" s="424"/>
      <c r="X147" s="133" t="s">
        <v>1173</v>
      </c>
      <c r="Y147" s="175" t="e">
        <f>SUM(D147)/SUM(D$145:D$148)</f>
        <v>#DIV/0!</v>
      </c>
      <c r="Z147" s="175" t="e">
        <f t="shared" si="31"/>
        <v>#DIV/0!</v>
      </c>
      <c r="AA147" s="175" t="e">
        <f t="shared" si="31"/>
        <v>#DIV/0!</v>
      </c>
      <c r="AB147" s="175" t="e">
        <f t="shared" si="31"/>
        <v>#DIV/0!</v>
      </c>
      <c r="AC147" s="175" t="e">
        <f t="shared" si="31"/>
        <v>#DIV/0!</v>
      </c>
      <c r="AD147" s="175" t="e">
        <f t="shared" si="31"/>
        <v>#DIV/0!</v>
      </c>
      <c r="AE147" s="175" t="e">
        <f t="shared" si="31"/>
        <v>#DIV/0!</v>
      </c>
      <c r="AF147" s="175" t="e">
        <f t="shared" si="31"/>
        <v>#DIV/0!</v>
      </c>
      <c r="AG147" s="175" t="e">
        <f t="shared" si="31"/>
        <v>#DIV/0!</v>
      </c>
      <c r="AH147" s="175" t="e">
        <f t="shared" si="31"/>
        <v>#DIV/0!</v>
      </c>
      <c r="AI147" s="175" t="e">
        <f t="shared" si="31"/>
        <v>#DIV/0!</v>
      </c>
      <c r="AJ147" s="175" t="e">
        <f t="shared" si="31"/>
        <v>#DIV/0!</v>
      </c>
      <c r="AK147" s="175" t="e">
        <f t="shared" si="31"/>
        <v>#DIV/0!</v>
      </c>
      <c r="AL147" s="175" t="e">
        <f t="shared" si="31"/>
        <v>#DIV/0!</v>
      </c>
      <c r="AM147" s="175" t="e">
        <f t="shared" si="31"/>
        <v>#DIV/0!</v>
      </c>
      <c r="AN147" s="175" t="e">
        <f t="shared" si="31"/>
        <v>#DIV/0!</v>
      </c>
    </row>
    <row r="148" spans="2:40" x14ac:dyDescent="0.15">
      <c r="B148" s="425"/>
      <c r="C148" s="134" t="s">
        <v>1174</v>
      </c>
      <c r="D148" s="98">
        <f>SUMIFS('caseload data'!E:E,'caseload data'!$D:$D,"SPO",'caseload data'!$A:$A,"North West Region",'caseload data'!$B:$B,"custody")</f>
        <v>0</v>
      </c>
      <c r="E148" s="98">
        <f>SUMIFS('caseload data'!F:F,'caseload data'!$D:$D,"SPO",'caseload data'!$A:$A,"North West Region",'caseload data'!$B:$B,"custody")</f>
        <v>0</v>
      </c>
      <c r="F148" s="98">
        <f>SUMIFS('caseload data'!G:G,'caseload data'!$D:$D,"SPO",'caseload data'!$A:$A,"North West Region",'caseload data'!$B:$B,"custody")</f>
        <v>0</v>
      </c>
      <c r="G148" s="98">
        <f>SUMIFS('caseload data'!H:H,'caseload data'!$D:$D,"SPO",'caseload data'!$A:$A,"North West Region",'caseload data'!$B:$B,"custody")</f>
        <v>0</v>
      </c>
      <c r="H148" s="98">
        <f>SUMIFS('caseload data'!I:I,'caseload data'!$D:$D,"SPO",'caseload data'!$A:$A,"North West Region",'caseload data'!$B:$B,"custody")</f>
        <v>0</v>
      </c>
      <c r="I148" s="98">
        <f>SUMIFS('caseload data'!J:J,'caseload data'!$D:$D,"SPO",'caseload data'!$A:$A,"North West Region",'caseload data'!$B:$B,"custody")</f>
        <v>0</v>
      </c>
      <c r="J148" s="98">
        <f>SUMIFS('caseload data'!K:K,'caseload data'!$D:$D,"SPO",'caseload data'!$A:$A,"North West Region",'caseload data'!$B:$B,"custody")</f>
        <v>0</v>
      </c>
      <c r="K148" s="98">
        <f>SUMIFS('caseload data'!L:L,'caseload data'!$D:$D,"SPO",'caseload data'!$A:$A,"North West Region",'caseload data'!$B:$B,"custody")</f>
        <v>0</v>
      </c>
      <c r="L148" s="98">
        <f>SUMIFS('caseload data'!M:M,'caseload data'!$D:$D,"SPO",'caseload data'!$A:$A,"North West Region",'caseload data'!$B:$B,"custody")</f>
        <v>0</v>
      </c>
      <c r="M148" s="98">
        <f>SUMIFS('caseload data'!N:N,'caseload data'!$D:$D,"SPO",'caseload data'!$A:$A,"North West Region",'caseload data'!$B:$B,"custody")</f>
        <v>0</v>
      </c>
      <c r="N148" s="98">
        <f>SUMIFS('caseload data'!O:O,'caseload data'!$D:$D,"SPO",'caseload data'!$A:$A,"North West Region",'caseload data'!$B:$B,"custody")</f>
        <v>0</v>
      </c>
      <c r="O148" s="98">
        <f>SUMIFS('caseload data'!P:P,'caseload data'!$D:$D,"SPO",'caseload data'!$A:$A,"North West Region",'caseload data'!$B:$B,"custody")</f>
        <v>0</v>
      </c>
      <c r="P148" s="98">
        <f>SUMIFS('caseload data'!Q:Q,'caseload data'!$D:$D,"SPO",'caseload data'!$A:$A,"North West Region",'caseload data'!$B:$B,"custody")</f>
        <v>0</v>
      </c>
      <c r="Q148" s="98">
        <f>SUMIFS('caseload data'!R:R,'caseload data'!$D:$D,"SPO",'caseload data'!$A:$A,"North West Region",'caseload data'!$B:$B,"custody")</f>
        <v>0</v>
      </c>
      <c r="R148" s="98">
        <f>SUMIFS('caseload data'!S:S,'caseload data'!$D:$D,"SPO",'caseload data'!$A:$A,"North West Region",'caseload data'!$B:$B,"custody")</f>
        <v>0</v>
      </c>
      <c r="S148" s="98">
        <f>SUMIFS('caseload data'!T:T,'caseload data'!$D:$D,"SPO",'caseload data'!$A:$A,"North West Region",'caseload data'!$B:$B,"custody")</f>
        <v>0</v>
      </c>
      <c r="T148" s="98">
        <f>SUMIFS('caseload data'!V:V,'caseload data'!$D:$D,"SPO",'caseload data'!$A:$A,"North West Region",'caseload data'!$B:$B,"custody")</f>
        <v>0</v>
      </c>
      <c r="U148" s="68"/>
      <c r="V148" s="68"/>
      <c r="W148" s="425"/>
      <c r="X148" s="134" t="s">
        <v>1174</v>
      </c>
      <c r="Y148" s="175" t="e">
        <f>SUM(D148)/SUM(D$145:D$148)</f>
        <v>#DIV/0!</v>
      </c>
      <c r="Z148" s="175" t="e">
        <f t="shared" si="31"/>
        <v>#DIV/0!</v>
      </c>
      <c r="AA148" s="175" t="e">
        <f t="shared" si="31"/>
        <v>#DIV/0!</v>
      </c>
      <c r="AB148" s="175" t="e">
        <f t="shared" si="31"/>
        <v>#DIV/0!</v>
      </c>
      <c r="AC148" s="175" t="e">
        <f t="shared" si="31"/>
        <v>#DIV/0!</v>
      </c>
      <c r="AD148" s="175" t="e">
        <f t="shared" si="31"/>
        <v>#DIV/0!</v>
      </c>
      <c r="AE148" s="175" t="e">
        <f t="shared" si="31"/>
        <v>#DIV/0!</v>
      </c>
      <c r="AF148" s="175" t="e">
        <f t="shared" si="31"/>
        <v>#DIV/0!</v>
      </c>
      <c r="AG148" s="175" t="e">
        <f t="shared" si="31"/>
        <v>#DIV/0!</v>
      </c>
      <c r="AH148" s="175" t="e">
        <f t="shared" si="31"/>
        <v>#DIV/0!</v>
      </c>
      <c r="AI148" s="175" t="e">
        <f t="shared" si="31"/>
        <v>#DIV/0!</v>
      </c>
      <c r="AJ148" s="175" t="e">
        <f t="shared" si="31"/>
        <v>#DIV/0!</v>
      </c>
      <c r="AK148" s="175" t="e">
        <f t="shared" si="31"/>
        <v>#DIV/0!</v>
      </c>
      <c r="AL148" s="175" t="e">
        <f t="shared" si="31"/>
        <v>#DIV/0!</v>
      </c>
      <c r="AM148" s="175" t="e">
        <f t="shared" si="31"/>
        <v>#DIV/0!</v>
      </c>
      <c r="AN148" s="175" t="e">
        <f t="shared" si="31"/>
        <v>#DIV/0!</v>
      </c>
    </row>
    <row r="149" spans="2:40" x14ac:dyDescent="0.15">
      <c r="B149" s="423" t="s">
        <v>30</v>
      </c>
      <c r="C149" s="132" t="s">
        <v>1166</v>
      </c>
      <c r="D149" s="98">
        <f>SUMIFS('caseload data'!E:E,'caseload data'!$D:$D,"PO",'caseload data'!$A:$A,'national caseload'!$B$149:$B$151,'caseload data'!$B:$B,"custody")</f>
        <v>0</v>
      </c>
      <c r="E149" s="98">
        <f>SUMIFS('caseload data'!F:F,'caseload data'!$D:$D,"PO",'caseload data'!$A:$A,'national caseload'!$B$149:$B$151,'caseload data'!$B:$B,"custody")</f>
        <v>0</v>
      </c>
      <c r="F149" s="98">
        <f>SUMIFS('caseload data'!G:G,'caseload data'!$D:$D,"PO",'caseload data'!$A:$A,'national caseload'!$B$149:$B$151,'caseload data'!$B:$B,"custody")</f>
        <v>0</v>
      </c>
      <c r="G149" s="98">
        <f>SUMIFS('caseload data'!H:H,'caseload data'!$D:$D,"PO",'caseload data'!$A:$A,'national caseload'!$B$149:$B$151,'caseload data'!$B:$B,"custody")</f>
        <v>0</v>
      </c>
      <c r="H149" s="98">
        <f>SUMIFS('caseload data'!I:I,'caseload data'!$D:$D,"PO",'caseload data'!$A:$A,'national caseload'!$B$149:$B$151,'caseload data'!$B:$B,"custody")</f>
        <v>0</v>
      </c>
      <c r="I149" s="98">
        <f>SUMIFS('caseload data'!J:J,'caseload data'!$D:$D,"PO",'caseload data'!$A:$A,'national caseload'!$B$149:$B$151,'caseload data'!$B:$B,"custody")</f>
        <v>0</v>
      </c>
      <c r="J149" s="98">
        <f>SUMIFS('caseload data'!K:K,'caseload data'!$D:$D,"PO",'caseload data'!$A:$A,'national caseload'!$B$149:$B$151,'caseload data'!$B:$B,"custody")</f>
        <v>0</v>
      </c>
      <c r="K149" s="98">
        <f>SUMIFS('caseload data'!L:L,'caseload data'!$D:$D,"PO",'caseload data'!$A:$A,'national caseload'!$B$149:$B$151,'caseload data'!$B:$B,"custody")</f>
        <v>0</v>
      </c>
      <c r="L149" s="98">
        <f>SUMIFS('caseload data'!M:M,'caseload data'!$D:$D,"PO",'caseload data'!$A:$A,'national caseload'!$B$149:$B$151,'caseload data'!$B:$B,"custody")</f>
        <v>0</v>
      </c>
      <c r="M149" s="98">
        <f>SUMIFS('caseload data'!N:N,'caseload data'!$D:$D,"PO",'caseload data'!$A:$A,'national caseload'!$B$149:$B$151,'caseload data'!$B:$B,"custody")</f>
        <v>0</v>
      </c>
      <c r="N149" s="98">
        <f>SUMIFS('caseload data'!O:O,'caseload data'!$D:$D,"PO",'caseload data'!$A:$A,'national caseload'!$B$149:$B$151,'caseload data'!$B:$B,"custody")</f>
        <v>0</v>
      </c>
      <c r="O149" s="98">
        <f>SUMIFS('caseload data'!P:P,'caseload data'!$D:$D,"PO",'caseload data'!$A:$A,'national caseload'!$B$149:$B$151,'caseload data'!$B:$B,"custody")</f>
        <v>0</v>
      </c>
      <c r="P149" s="98">
        <f>SUMIFS('caseload data'!Q:Q,'caseload data'!$D:$D,"PO",'caseload data'!$A:$A,'national caseload'!$B$149:$B$151,'caseload data'!$B:$B,"custody")</f>
        <v>0</v>
      </c>
      <c r="Q149" s="98">
        <f>SUMIFS('caseload data'!R:R,'caseload data'!$D:$D,"PO",'caseload data'!$A:$A,'national caseload'!$B$149:$B$151,'caseload data'!$B:$B,"custody")</f>
        <v>0</v>
      </c>
      <c r="R149" s="98">
        <f>SUMIFS('caseload data'!S:S,'caseload data'!$D:$D,"PO",'caseload data'!$A:$A,'national caseload'!$B$149:$B$151,'caseload data'!$B:$B,"custody")</f>
        <v>0</v>
      </c>
      <c r="S149" s="98">
        <f>SUMIFS('caseload data'!T:T,'caseload data'!$D:$D,"PO",'caseload data'!$A:$A,'national caseload'!$B$149:$B$151,'caseload data'!$B:$B,"custody")</f>
        <v>0</v>
      </c>
      <c r="T149" s="98">
        <f>SUMIFS('caseload data'!V:V,'caseload data'!D:D,"PO",'caseload data'!A:A,'national caseload'!B149:B151,'caseload data'!B:B,"custody")</f>
        <v>0</v>
      </c>
      <c r="U149" s="68"/>
      <c r="V149" s="68"/>
      <c r="W149" s="423" t="s">
        <v>30</v>
      </c>
      <c r="X149" s="132" t="s">
        <v>1166</v>
      </c>
      <c r="Y149" s="175" t="e">
        <f>SUM(D149)/SUM(D$149:D$151)</f>
        <v>#DIV/0!</v>
      </c>
      <c r="Z149" s="175" t="e">
        <f t="shared" ref="Z149:AN152" si="32">SUM(E149)/SUM(E$149:E$151)</f>
        <v>#DIV/0!</v>
      </c>
      <c r="AA149" s="175" t="e">
        <f t="shared" si="32"/>
        <v>#DIV/0!</v>
      </c>
      <c r="AB149" s="175" t="e">
        <f t="shared" si="32"/>
        <v>#DIV/0!</v>
      </c>
      <c r="AC149" s="175" t="e">
        <f t="shared" si="32"/>
        <v>#DIV/0!</v>
      </c>
      <c r="AD149" s="175" t="e">
        <f t="shared" si="32"/>
        <v>#DIV/0!</v>
      </c>
      <c r="AE149" s="175" t="e">
        <f t="shared" si="32"/>
        <v>#DIV/0!</v>
      </c>
      <c r="AF149" s="175" t="e">
        <f t="shared" si="32"/>
        <v>#DIV/0!</v>
      </c>
      <c r="AG149" s="175" t="e">
        <f t="shared" si="32"/>
        <v>#DIV/0!</v>
      </c>
      <c r="AH149" s="175" t="e">
        <f t="shared" si="32"/>
        <v>#DIV/0!</v>
      </c>
      <c r="AI149" s="175" t="e">
        <f t="shared" si="32"/>
        <v>#DIV/0!</v>
      </c>
      <c r="AJ149" s="175" t="e">
        <f t="shared" si="32"/>
        <v>#DIV/0!</v>
      </c>
      <c r="AK149" s="175" t="e">
        <f t="shared" si="32"/>
        <v>#DIV/0!</v>
      </c>
      <c r="AL149" s="175" t="e">
        <f t="shared" si="32"/>
        <v>#DIV/0!</v>
      </c>
      <c r="AM149" s="175" t="e">
        <f t="shared" si="32"/>
        <v>#DIV/0!</v>
      </c>
      <c r="AN149" s="175" t="e">
        <f t="shared" si="32"/>
        <v>#DIV/0!</v>
      </c>
    </row>
    <row r="150" spans="2:40" x14ac:dyDescent="0.15">
      <c r="B150" s="424"/>
      <c r="C150" s="133" t="s">
        <v>1172</v>
      </c>
      <c r="D150" s="98">
        <f>SUMIFS('caseload data'!E:E,'caseload data'!$D:$D,"PSO",'caseload data'!$A:$A,"South Central",'caseload data'!$B:$B,"custody")</f>
        <v>0</v>
      </c>
      <c r="E150" s="98">
        <f>SUMIFS('caseload data'!F:F,'caseload data'!$D:$D,"PSO",'caseload data'!$A:$A,"South Central",'caseload data'!$B:$B,"custody")</f>
        <v>0</v>
      </c>
      <c r="F150" s="98">
        <f>SUMIFS('caseload data'!G:G,'caseload data'!$D:$D,"PSO",'caseload data'!$A:$A,"South Central",'caseload data'!$B:$B,"custody")</f>
        <v>0</v>
      </c>
      <c r="G150" s="98">
        <f>SUMIFS('caseload data'!H:H,'caseload data'!$D:$D,"PSO",'caseload data'!$A:$A,"South Central",'caseload data'!$B:$B,"custody")</f>
        <v>0</v>
      </c>
      <c r="H150" s="98">
        <f>SUMIFS('caseload data'!I:I,'caseload data'!$D:$D,"PSO",'caseload data'!$A:$A,"South Central",'caseload data'!$B:$B,"custody")</f>
        <v>0</v>
      </c>
      <c r="I150" s="98">
        <f>SUMIFS('caseload data'!J:J,'caseload data'!$D:$D,"PSO",'caseload data'!$A:$A,"South Central",'caseload data'!$B:$B,"custody")</f>
        <v>0</v>
      </c>
      <c r="J150" s="98">
        <f>SUMIFS('caseload data'!K:K,'caseload data'!$D:$D,"PSO",'caseload data'!$A:$A,"South Central",'caseload data'!$B:$B,"custody")</f>
        <v>0</v>
      </c>
      <c r="K150" s="98">
        <f>SUMIFS('caseload data'!L:L,'caseload data'!$D:$D,"PSO",'caseload data'!$A:$A,"South Central",'caseload data'!$B:$B,"custody")</f>
        <v>0</v>
      </c>
      <c r="L150" s="98">
        <f>SUMIFS('caseload data'!M:M,'caseload data'!$D:$D,"PSO",'caseload data'!$A:$A,"South Central",'caseload data'!$B:$B,"custody")</f>
        <v>0</v>
      </c>
      <c r="M150" s="98">
        <f>SUMIFS('caseload data'!N:N,'caseload data'!$D:$D,"PSO",'caseload data'!$A:$A,"South Central",'caseload data'!$B:$B,"custody")</f>
        <v>0</v>
      </c>
      <c r="N150" s="98">
        <f>SUMIFS('caseload data'!O:O,'caseload data'!$D:$D,"PSO",'caseload data'!$A:$A,"South Central",'caseload data'!$B:$B,"custody")</f>
        <v>0</v>
      </c>
      <c r="O150" s="98">
        <f>SUMIFS('caseload data'!P:P,'caseload data'!$D:$D,"PSO",'caseload data'!$A:$A,"South Central",'caseload data'!$B:$B,"custody")</f>
        <v>0</v>
      </c>
      <c r="P150" s="98">
        <f>SUMIFS('caseload data'!Q:Q,'caseload data'!$D:$D,"PSO",'caseload data'!$A:$A,"South Central",'caseload data'!$B:$B,"custody")</f>
        <v>0</v>
      </c>
      <c r="Q150" s="98">
        <f>SUMIFS('caseload data'!R:R,'caseload data'!$D:$D,"PSO",'caseload data'!$A:$A,"South Central",'caseload data'!$B:$B,"custody")</f>
        <v>0</v>
      </c>
      <c r="R150" s="98">
        <f>SUMIFS('caseload data'!S:S,'caseload data'!$D:$D,"PSO",'caseload data'!$A:$A,"South Central",'caseload data'!$B:$B,"custody")</f>
        <v>0</v>
      </c>
      <c r="S150" s="98">
        <f>SUMIFS('caseload data'!T:T,'caseload data'!$D:$D,"PSO",'caseload data'!$A:$A,"South Central",'caseload data'!$B:$B,"custody")</f>
        <v>0</v>
      </c>
      <c r="T150" s="98">
        <f>SUMIFS('caseload data'!V:V,'caseload data'!D:D,"PSO",'caseload data'!A:A,"South Central",'caseload data'!B:B,"custody")</f>
        <v>0</v>
      </c>
      <c r="U150" s="68"/>
      <c r="V150" s="68"/>
      <c r="W150" s="424"/>
      <c r="X150" s="133" t="s">
        <v>1172</v>
      </c>
      <c r="Y150" s="175" t="e">
        <f>SUM(D150)/SUM(D$149:D$151)</f>
        <v>#DIV/0!</v>
      </c>
      <c r="Z150" s="175" t="e">
        <f t="shared" si="32"/>
        <v>#DIV/0!</v>
      </c>
      <c r="AA150" s="175" t="e">
        <f t="shared" si="32"/>
        <v>#DIV/0!</v>
      </c>
      <c r="AB150" s="175" t="e">
        <f t="shared" si="32"/>
        <v>#DIV/0!</v>
      </c>
      <c r="AC150" s="175" t="e">
        <f t="shared" si="32"/>
        <v>#DIV/0!</v>
      </c>
      <c r="AD150" s="175" t="e">
        <f t="shared" si="32"/>
        <v>#DIV/0!</v>
      </c>
      <c r="AE150" s="175" t="e">
        <f t="shared" si="32"/>
        <v>#DIV/0!</v>
      </c>
      <c r="AF150" s="175" t="e">
        <f t="shared" si="32"/>
        <v>#DIV/0!</v>
      </c>
      <c r="AG150" s="175" t="e">
        <f t="shared" si="32"/>
        <v>#DIV/0!</v>
      </c>
      <c r="AH150" s="175" t="e">
        <f t="shared" si="32"/>
        <v>#DIV/0!</v>
      </c>
      <c r="AI150" s="175" t="e">
        <f t="shared" si="32"/>
        <v>#DIV/0!</v>
      </c>
      <c r="AJ150" s="175" t="e">
        <f t="shared" si="32"/>
        <v>#DIV/0!</v>
      </c>
      <c r="AK150" s="175" t="e">
        <f t="shared" si="32"/>
        <v>#DIV/0!</v>
      </c>
      <c r="AL150" s="175" t="e">
        <f t="shared" si="32"/>
        <v>#DIV/0!</v>
      </c>
      <c r="AM150" s="175" t="e">
        <f t="shared" si="32"/>
        <v>#DIV/0!</v>
      </c>
      <c r="AN150" s="175" t="e">
        <f t="shared" si="32"/>
        <v>#DIV/0!</v>
      </c>
    </row>
    <row r="151" spans="2:40" x14ac:dyDescent="0.15">
      <c r="B151" s="424"/>
      <c r="C151" s="133" t="s">
        <v>1173</v>
      </c>
      <c r="D151" s="98">
        <f>SUMIFS('caseload data'!E:E,'caseload data'!$D:$D,"TPO",'caseload data'!$A:$A,"South Central",'caseload data'!$B:$B,"custody")</f>
        <v>0</v>
      </c>
      <c r="E151" s="98">
        <f>SUMIFS('caseload data'!F:F,'caseload data'!$D:$D,"TPO",'caseload data'!$A:$A,"South Central",'caseload data'!$B:$B,"custody")</f>
        <v>0</v>
      </c>
      <c r="F151" s="98">
        <f>SUMIFS('caseload data'!G:G,'caseload data'!$D:$D,"TPO",'caseload data'!$A:$A,"South Central",'caseload data'!$B:$B,"custody")</f>
        <v>0</v>
      </c>
      <c r="G151" s="98">
        <f>SUMIFS('caseload data'!H:H,'caseload data'!$D:$D,"TPO",'caseload data'!$A:$A,"South Central",'caseload data'!$B:$B,"custody")</f>
        <v>0</v>
      </c>
      <c r="H151" s="98">
        <f>SUMIFS('caseload data'!I:I,'caseload data'!$D:$D,"TPO",'caseload data'!$A:$A,"South Central",'caseload data'!$B:$B,"custody")</f>
        <v>0</v>
      </c>
      <c r="I151" s="98">
        <f>SUMIFS('caseload data'!J:J,'caseload data'!$D:$D,"TPO",'caseload data'!$A:$A,"South Central",'caseload data'!$B:$B,"custody")</f>
        <v>0</v>
      </c>
      <c r="J151" s="98">
        <f>SUMIFS('caseload data'!K:K,'caseload data'!$D:$D,"TPO",'caseload data'!$A:$A,"South Central",'caseload data'!$B:$B,"custody")</f>
        <v>0</v>
      </c>
      <c r="K151" s="98">
        <f>SUMIFS('caseload data'!L:L,'caseload data'!$D:$D,"TPO",'caseload data'!$A:$A,"South Central",'caseload data'!$B:$B,"custody")</f>
        <v>0</v>
      </c>
      <c r="L151" s="98">
        <f>SUMIFS('caseload data'!M:M,'caseload data'!$D:$D,"TPO",'caseload data'!$A:$A,"South Central",'caseload data'!$B:$B,"custody")</f>
        <v>0</v>
      </c>
      <c r="M151" s="98">
        <f>SUMIFS('caseload data'!N:N,'caseload data'!$D:$D,"TPO",'caseload data'!$A:$A,"South Central",'caseload data'!$B:$B,"custody")</f>
        <v>0</v>
      </c>
      <c r="N151" s="98">
        <f>SUMIFS('caseload data'!O:O,'caseload data'!$D:$D,"TPO",'caseload data'!$A:$A,"South Central",'caseload data'!$B:$B,"custody")</f>
        <v>0</v>
      </c>
      <c r="O151" s="98">
        <f>SUMIFS('caseload data'!P:P,'caseload data'!$D:$D,"TPO",'caseload data'!$A:$A,"South Central",'caseload data'!$B:$B,"custody")</f>
        <v>0</v>
      </c>
      <c r="P151" s="98">
        <f>SUMIFS('caseload data'!Q:Q,'caseload data'!$D:$D,"TPO",'caseload data'!$A:$A,"South Central",'caseload data'!$B:$B,"custody")</f>
        <v>0</v>
      </c>
      <c r="Q151" s="98">
        <f>SUMIFS('caseload data'!R:R,'caseload data'!$D:$D,"TPO",'caseload data'!$A:$A,"South Central",'caseload data'!$B:$B,"custody")</f>
        <v>0</v>
      </c>
      <c r="R151" s="98">
        <f>SUMIFS('caseload data'!S:S,'caseload data'!$D:$D,"TPO",'caseload data'!$A:$A,"South Central",'caseload data'!$B:$B,"custody")</f>
        <v>0</v>
      </c>
      <c r="S151" s="98">
        <f>SUMIFS('caseload data'!T:T,'caseload data'!$D:$D,"TPO",'caseload data'!$A:$A,"South Central",'caseload data'!$B:$B,"custody")</f>
        <v>0</v>
      </c>
      <c r="T151" s="98">
        <f>SUMIFS('caseload data'!V:V,'caseload data'!D:D,"TPO",'caseload data'!A:A,"South Central",'caseload data'!B:B,"custody")</f>
        <v>0</v>
      </c>
      <c r="U151" s="68"/>
      <c r="V151" s="68"/>
      <c r="W151" s="424"/>
      <c r="X151" s="133" t="s">
        <v>1173</v>
      </c>
      <c r="Y151" s="175" t="e">
        <f>SUM(D151)/SUM(D$149:D$151)</f>
        <v>#DIV/0!</v>
      </c>
      <c r="Z151" s="175" t="e">
        <f t="shared" si="32"/>
        <v>#DIV/0!</v>
      </c>
      <c r="AA151" s="175" t="e">
        <f t="shared" si="32"/>
        <v>#DIV/0!</v>
      </c>
      <c r="AB151" s="175" t="e">
        <f t="shared" si="32"/>
        <v>#DIV/0!</v>
      </c>
      <c r="AC151" s="175" t="e">
        <f t="shared" si="32"/>
        <v>#DIV/0!</v>
      </c>
      <c r="AD151" s="175" t="e">
        <f t="shared" si="32"/>
        <v>#DIV/0!</v>
      </c>
      <c r="AE151" s="175" t="e">
        <f t="shared" si="32"/>
        <v>#DIV/0!</v>
      </c>
      <c r="AF151" s="175" t="e">
        <f t="shared" si="32"/>
        <v>#DIV/0!</v>
      </c>
      <c r="AG151" s="175" t="e">
        <f t="shared" si="32"/>
        <v>#DIV/0!</v>
      </c>
      <c r="AH151" s="175" t="e">
        <f t="shared" si="32"/>
        <v>#DIV/0!</v>
      </c>
      <c r="AI151" s="175" t="e">
        <f t="shared" si="32"/>
        <v>#DIV/0!</v>
      </c>
      <c r="AJ151" s="175" t="e">
        <f t="shared" si="32"/>
        <v>#DIV/0!</v>
      </c>
      <c r="AK151" s="175" t="e">
        <f t="shared" si="32"/>
        <v>#DIV/0!</v>
      </c>
      <c r="AL151" s="175" t="e">
        <f t="shared" si="32"/>
        <v>#DIV/0!</v>
      </c>
      <c r="AM151" s="175" t="e">
        <f t="shared" si="32"/>
        <v>#DIV/0!</v>
      </c>
      <c r="AN151" s="175" t="e">
        <f t="shared" si="32"/>
        <v>#DIV/0!</v>
      </c>
    </row>
    <row r="152" spans="2:40" x14ac:dyDescent="0.15">
      <c r="B152" s="425"/>
      <c r="C152" s="134" t="s">
        <v>1174</v>
      </c>
      <c r="D152" s="98">
        <f>SUMIFS('caseload data'!E:E,'caseload data'!$D:$D,"SPO",'caseload data'!$A:$A,"South Central",'caseload data'!$B:$B,"custody")</f>
        <v>0</v>
      </c>
      <c r="E152" s="98">
        <f>SUMIFS('caseload data'!F:F,'caseload data'!$D:$D,"SPO",'caseload data'!$A:$A,"South Central",'caseload data'!$B:$B,"custody")</f>
        <v>0</v>
      </c>
      <c r="F152" s="98">
        <f>SUMIFS('caseload data'!G:G,'caseload data'!$D:$D,"SPO",'caseload data'!$A:$A,"South Central",'caseload data'!$B:$B,"custody")</f>
        <v>0</v>
      </c>
      <c r="G152" s="98">
        <f>SUMIFS('caseload data'!H:H,'caseload data'!$D:$D,"SPO",'caseload data'!$A:$A,"South Central",'caseload data'!$B:$B,"custody")</f>
        <v>0</v>
      </c>
      <c r="H152" s="98">
        <f>SUMIFS('caseload data'!I:I,'caseload data'!$D:$D,"SPO",'caseload data'!$A:$A,"South Central",'caseload data'!$B:$B,"custody")</f>
        <v>0</v>
      </c>
      <c r="I152" s="98">
        <f>SUMIFS('caseload data'!J:J,'caseload data'!$D:$D,"SPO",'caseload data'!$A:$A,"South Central",'caseload data'!$B:$B,"custody")</f>
        <v>0</v>
      </c>
      <c r="J152" s="98">
        <f>SUMIFS('caseload data'!K:K,'caseload data'!$D:$D,"SPO",'caseload data'!$A:$A,"South Central",'caseload data'!$B:$B,"custody")</f>
        <v>0</v>
      </c>
      <c r="K152" s="98">
        <f>SUMIFS('caseload data'!L:L,'caseload data'!$D:$D,"SPO",'caseload data'!$A:$A,"South Central",'caseload data'!$B:$B,"custody")</f>
        <v>0</v>
      </c>
      <c r="L152" s="98">
        <f>SUMIFS('caseload data'!M:M,'caseload data'!$D:$D,"SPO",'caseload data'!$A:$A,"South Central",'caseload data'!$B:$B,"custody")</f>
        <v>0</v>
      </c>
      <c r="M152" s="98">
        <f>SUMIFS('caseload data'!N:N,'caseload data'!$D:$D,"SPO",'caseload data'!$A:$A,"South Central",'caseload data'!$B:$B,"custody")</f>
        <v>0</v>
      </c>
      <c r="N152" s="98">
        <f>SUMIFS('caseload data'!O:O,'caseload data'!$D:$D,"SPO",'caseload data'!$A:$A,"South Central",'caseload data'!$B:$B,"custody")</f>
        <v>0</v>
      </c>
      <c r="O152" s="98">
        <f>SUMIFS('caseload data'!P:P,'caseload data'!$D:$D,"SPO",'caseload data'!$A:$A,"South Central",'caseload data'!$B:$B,"custody")</f>
        <v>0</v>
      </c>
      <c r="P152" s="98">
        <f>SUMIFS('caseload data'!Q:Q,'caseload data'!$D:$D,"SPO",'caseload data'!$A:$A,"South Central",'caseload data'!$B:$B,"custody")</f>
        <v>0</v>
      </c>
      <c r="Q152" s="98">
        <f>SUMIFS('caseload data'!R:R,'caseload data'!$D:$D,"SPO",'caseload data'!$A:$A,"South Central",'caseload data'!$B:$B,"custody")</f>
        <v>0</v>
      </c>
      <c r="R152" s="98">
        <f>SUMIFS('caseload data'!S:S,'caseload data'!$D:$D,"SPO",'caseload data'!$A:$A,"South Central",'caseload data'!$B:$B,"custody")</f>
        <v>0</v>
      </c>
      <c r="S152" s="98">
        <f>SUMIFS('caseload data'!T:T,'caseload data'!$D:$D,"SPO",'caseload data'!$A:$A,"South Central",'caseload data'!$B:$B,"custody")</f>
        <v>0</v>
      </c>
      <c r="T152" s="98">
        <f>SUMIFS('caseload data'!V:V,'caseload data'!$D:$D,"SPO",'caseload data'!$A:$A,"South Central",'caseload data'!$B:$B,"custody")</f>
        <v>0</v>
      </c>
      <c r="U152" s="68"/>
      <c r="V152" s="68"/>
      <c r="W152" s="425"/>
      <c r="X152" s="134" t="s">
        <v>1174</v>
      </c>
      <c r="Y152" s="175" t="e">
        <f>SUM(D152)/SUM(D$149:D$151)</f>
        <v>#DIV/0!</v>
      </c>
      <c r="Z152" s="175" t="e">
        <f t="shared" si="32"/>
        <v>#DIV/0!</v>
      </c>
      <c r="AA152" s="175" t="e">
        <f t="shared" si="32"/>
        <v>#DIV/0!</v>
      </c>
      <c r="AB152" s="175" t="e">
        <f t="shared" si="32"/>
        <v>#DIV/0!</v>
      </c>
      <c r="AC152" s="175" t="e">
        <f t="shared" si="32"/>
        <v>#DIV/0!</v>
      </c>
      <c r="AD152" s="175" t="e">
        <f t="shared" si="32"/>
        <v>#DIV/0!</v>
      </c>
      <c r="AE152" s="175" t="e">
        <f t="shared" si="32"/>
        <v>#DIV/0!</v>
      </c>
      <c r="AF152" s="175" t="e">
        <f t="shared" si="32"/>
        <v>#DIV/0!</v>
      </c>
      <c r="AG152" s="175" t="e">
        <f t="shared" si="32"/>
        <v>#DIV/0!</v>
      </c>
      <c r="AH152" s="175" t="e">
        <f t="shared" si="32"/>
        <v>#DIV/0!</v>
      </c>
      <c r="AI152" s="175" t="e">
        <f t="shared" si="32"/>
        <v>#DIV/0!</v>
      </c>
      <c r="AJ152" s="175" t="e">
        <f t="shared" si="32"/>
        <v>#DIV/0!</v>
      </c>
      <c r="AK152" s="175" t="e">
        <f t="shared" si="32"/>
        <v>#DIV/0!</v>
      </c>
      <c r="AL152" s="175" t="e">
        <f t="shared" si="32"/>
        <v>#DIV/0!</v>
      </c>
      <c r="AM152" s="175" t="e">
        <f t="shared" si="32"/>
        <v>#DIV/0!</v>
      </c>
      <c r="AN152" s="175" t="e">
        <f t="shared" si="32"/>
        <v>#DIV/0!</v>
      </c>
    </row>
    <row r="153" spans="2:40" x14ac:dyDescent="0.15">
      <c r="B153" s="423" t="s">
        <v>31</v>
      </c>
      <c r="C153" s="132" t="s">
        <v>1166</v>
      </c>
      <c r="D153" s="98">
        <f>SUMIFS('caseload data'!E:E,'caseload data'!$D:$D,"PO",'caseload data'!$A:$A,'national caseload'!$B$153:$B$155,'caseload data'!$B:$B,"custody")</f>
        <v>0</v>
      </c>
      <c r="E153" s="98">
        <f>SUMIFS('caseload data'!F:F,'caseload data'!$D:$D,"PO",'caseload data'!$A:$A,'national caseload'!$B$153:$B$155,'caseload data'!$B:$B,"custody")</f>
        <v>0</v>
      </c>
      <c r="F153" s="98">
        <f>SUMIFS('caseload data'!G:G,'caseload data'!$D:$D,"PO",'caseload data'!$A:$A,'national caseload'!$B$153:$B$155,'caseload data'!$B:$B,"custody")</f>
        <v>0</v>
      </c>
      <c r="G153" s="98">
        <f>SUMIFS('caseload data'!H:H,'caseload data'!$D:$D,"PO",'caseload data'!$A:$A,'national caseload'!$B$153:$B$155,'caseload data'!$B:$B,"custody")</f>
        <v>0</v>
      </c>
      <c r="H153" s="98">
        <f>SUMIFS('caseload data'!I:I,'caseload data'!$D:$D,"PO",'caseload data'!$A:$A,'national caseload'!$B$153:$B$155,'caseload data'!$B:$B,"custody")</f>
        <v>0</v>
      </c>
      <c r="I153" s="98">
        <f>SUMIFS('caseload data'!J:J,'caseload data'!$D:$D,"PO",'caseload data'!$A:$A,'national caseload'!$B$153:$B$155,'caseload data'!$B:$B,"custody")</f>
        <v>0</v>
      </c>
      <c r="J153" s="98">
        <f>SUMIFS('caseload data'!K:K,'caseload data'!$D:$D,"PO",'caseload data'!$A:$A,'national caseload'!$B$153:$B$155,'caseload data'!$B:$B,"custody")</f>
        <v>0</v>
      </c>
      <c r="K153" s="98">
        <f>SUMIFS('caseload data'!L:L,'caseload data'!$D:$D,"PO",'caseload data'!$A:$A,'national caseload'!$B$153:$B$155,'caseload data'!$B:$B,"custody")</f>
        <v>0</v>
      </c>
      <c r="L153" s="98">
        <f>SUMIFS('caseload data'!M:M,'caseload data'!$D:$D,"PO",'caseload data'!$A:$A,'national caseload'!$B$153:$B$155,'caseload data'!$B:$B,"custody")</f>
        <v>0</v>
      </c>
      <c r="M153" s="98">
        <f>SUMIFS('caseload data'!N:N,'caseload data'!$D:$D,"PO",'caseload data'!$A:$A,'national caseload'!$B$153:$B$155,'caseload data'!$B:$B,"custody")</f>
        <v>0</v>
      </c>
      <c r="N153" s="98">
        <f>SUMIFS('caseload data'!O:O,'caseload data'!$D:$D,"PO",'caseload data'!$A:$A,'national caseload'!$B$153:$B$155,'caseload data'!$B:$B,"custody")</f>
        <v>0</v>
      </c>
      <c r="O153" s="98">
        <f>SUMIFS('caseload data'!P:P,'caseload data'!$D:$D,"PO",'caseload data'!$A:$A,'national caseload'!$B$153:$B$155,'caseload data'!$B:$B,"custody")</f>
        <v>0</v>
      </c>
      <c r="P153" s="98">
        <f>SUMIFS('caseload data'!Q:Q,'caseload data'!$D:$D,"PO",'caseload data'!$A:$A,'national caseload'!$B$153:$B$155,'caseload data'!$B:$B,"custody")</f>
        <v>0</v>
      </c>
      <c r="Q153" s="98">
        <f>SUMIFS('caseload data'!R:R,'caseload data'!$D:$D,"PO",'caseload data'!$A:$A,'national caseload'!$B$153:$B$155,'caseload data'!$B:$B,"custody")</f>
        <v>0</v>
      </c>
      <c r="R153" s="98">
        <f>SUMIFS('caseload data'!S:S,'caseload data'!$D:$D,"PO",'caseload data'!$A:$A,'national caseload'!$B$153:$B$155,'caseload data'!$B:$B,"custody")</f>
        <v>0</v>
      </c>
      <c r="S153" s="98">
        <f>SUMIFS('caseload data'!T:T,'caseload data'!$D:$D,"PO",'caseload data'!$A:$A,'national caseload'!$B$153:$B$155,'caseload data'!$B:$B,"custody")</f>
        <v>0</v>
      </c>
      <c r="T153" s="98">
        <f>SUMIFS('caseload data'!V:V,'caseload data'!D:D,"PO",'caseload data'!A:A,'national caseload'!B153:B155,'caseload data'!B:B,"custody")</f>
        <v>0</v>
      </c>
      <c r="U153" s="68"/>
      <c r="V153" s="68"/>
      <c r="W153" s="423" t="s">
        <v>31</v>
      </c>
      <c r="X153" s="132" t="s">
        <v>1166</v>
      </c>
      <c r="Y153" s="175" t="e">
        <f>SUM(D153)/SUM(D$153:D$156)</f>
        <v>#DIV/0!</v>
      </c>
      <c r="Z153" s="175" t="e">
        <f t="shared" ref="Z153:AN156" si="33">SUM(E153)/SUM(E$153:E$156)</f>
        <v>#DIV/0!</v>
      </c>
      <c r="AA153" s="175" t="e">
        <f t="shared" si="33"/>
        <v>#DIV/0!</v>
      </c>
      <c r="AB153" s="175" t="e">
        <f t="shared" si="33"/>
        <v>#DIV/0!</v>
      </c>
      <c r="AC153" s="175" t="e">
        <f t="shared" si="33"/>
        <v>#DIV/0!</v>
      </c>
      <c r="AD153" s="175" t="e">
        <f t="shared" si="33"/>
        <v>#DIV/0!</v>
      </c>
      <c r="AE153" s="175" t="e">
        <f t="shared" si="33"/>
        <v>#DIV/0!</v>
      </c>
      <c r="AF153" s="175" t="e">
        <f t="shared" si="33"/>
        <v>#DIV/0!</v>
      </c>
      <c r="AG153" s="175" t="e">
        <f t="shared" si="33"/>
        <v>#DIV/0!</v>
      </c>
      <c r="AH153" s="175" t="e">
        <f t="shared" si="33"/>
        <v>#DIV/0!</v>
      </c>
      <c r="AI153" s="175" t="e">
        <f t="shared" si="33"/>
        <v>#DIV/0!</v>
      </c>
      <c r="AJ153" s="175" t="e">
        <f t="shared" si="33"/>
        <v>#DIV/0!</v>
      </c>
      <c r="AK153" s="175" t="e">
        <f t="shared" si="33"/>
        <v>#DIV/0!</v>
      </c>
      <c r="AL153" s="175" t="e">
        <f t="shared" si="33"/>
        <v>#DIV/0!</v>
      </c>
      <c r="AM153" s="175" t="e">
        <f t="shared" si="33"/>
        <v>#DIV/0!</v>
      </c>
      <c r="AN153" s="175" t="e">
        <f t="shared" si="33"/>
        <v>#DIV/0!</v>
      </c>
    </row>
    <row r="154" spans="2:40" x14ac:dyDescent="0.15">
      <c r="B154" s="424"/>
      <c r="C154" s="133" t="s">
        <v>1172</v>
      </c>
      <c r="D154" s="98">
        <f>SUMIFS('caseload data'!E:E,'caseload data'!$D:$D,"PSO",'caseload data'!$A:$A,"South West",'caseload data'!$B:$B,"custody")</f>
        <v>0</v>
      </c>
      <c r="E154" s="98">
        <f>SUMIFS('caseload data'!F:F,'caseload data'!$D:$D,"PSO",'caseload data'!$A:$A,"South West",'caseload data'!$B:$B,"custody")</f>
        <v>0</v>
      </c>
      <c r="F154" s="98">
        <f>SUMIFS('caseload data'!G:G,'caseload data'!$D:$D,"PSO",'caseload data'!$A:$A,"South West",'caseload data'!$B:$B,"custody")</f>
        <v>0</v>
      </c>
      <c r="G154" s="98">
        <f>SUMIFS('caseload data'!H:H,'caseload data'!$D:$D,"PSO",'caseload data'!$A:$A,"South West",'caseload data'!$B:$B,"custody")</f>
        <v>0</v>
      </c>
      <c r="H154" s="98">
        <f>SUMIFS('caseload data'!I:I,'caseload data'!$D:$D,"PSO",'caseload data'!$A:$A,"South West",'caseload data'!$B:$B,"custody")</f>
        <v>0</v>
      </c>
      <c r="I154" s="98">
        <f>SUMIFS('caseload data'!J:J,'caseload data'!$D:$D,"PSO",'caseload data'!$A:$A,"South West",'caseload data'!$B:$B,"custody")</f>
        <v>0</v>
      </c>
      <c r="J154" s="98">
        <f>SUMIFS('caseload data'!K:K,'caseload data'!$D:$D,"PSO",'caseload data'!$A:$A,"South West",'caseload data'!$B:$B,"custody")</f>
        <v>0</v>
      </c>
      <c r="K154" s="98">
        <f>SUMIFS('caseload data'!L:L,'caseload data'!$D:$D,"PSO",'caseload data'!$A:$A,"South West",'caseload data'!$B:$B,"custody")</f>
        <v>0</v>
      </c>
      <c r="L154" s="98">
        <f>SUMIFS('caseload data'!M:M,'caseload data'!$D:$D,"PSO",'caseload data'!$A:$A,"South West",'caseload data'!$B:$B,"custody")</f>
        <v>0</v>
      </c>
      <c r="M154" s="98">
        <f>SUMIFS('caseload data'!N:N,'caseload data'!$D:$D,"PSO",'caseload data'!$A:$A,"South West",'caseload data'!$B:$B,"custody")</f>
        <v>0</v>
      </c>
      <c r="N154" s="98">
        <f>SUMIFS('caseload data'!O:O,'caseload data'!$D:$D,"PSO",'caseload data'!$A:$A,"South West",'caseload data'!$B:$B,"custody")</f>
        <v>0</v>
      </c>
      <c r="O154" s="98">
        <f>SUMIFS('caseload data'!P:P,'caseload data'!$D:$D,"PSO",'caseload data'!$A:$A,"South West",'caseload data'!$B:$B,"custody")</f>
        <v>0</v>
      </c>
      <c r="P154" s="98">
        <f>SUMIFS('caseload data'!Q:Q,'caseload data'!$D:$D,"PSO",'caseload data'!$A:$A,"South West",'caseload data'!$B:$B,"custody")</f>
        <v>0</v>
      </c>
      <c r="Q154" s="98">
        <f>SUMIFS('caseload data'!R:R,'caseload data'!$D:$D,"PSO",'caseload data'!$A:$A,"South West",'caseload data'!$B:$B,"custody")</f>
        <v>0</v>
      </c>
      <c r="R154" s="98">
        <f>SUMIFS('caseload data'!S:S,'caseload data'!$D:$D,"PSO",'caseload data'!$A:$A,"South West",'caseload data'!$B:$B,"custody")</f>
        <v>0</v>
      </c>
      <c r="S154" s="98">
        <f>SUMIFS('caseload data'!T:T,'caseload data'!$D:$D,"PSO",'caseload data'!$A:$A,"South West",'caseload data'!$B:$B,"custody")</f>
        <v>0</v>
      </c>
      <c r="T154" s="98">
        <f>SUMIFS('caseload data'!V:V,'caseload data'!D:D,"PSO",'caseload data'!A:A,"South West",'caseload data'!B:B,"custody")</f>
        <v>0</v>
      </c>
      <c r="U154" s="68"/>
      <c r="V154" s="68"/>
      <c r="W154" s="424"/>
      <c r="X154" s="133" t="s">
        <v>1172</v>
      </c>
      <c r="Y154" s="175" t="e">
        <f>SUM(D154)/SUM(D$153:D$156)</f>
        <v>#DIV/0!</v>
      </c>
      <c r="Z154" s="175" t="e">
        <f t="shared" si="33"/>
        <v>#DIV/0!</v>
      </c>
      <c r="AA154" s="175" t="e">
        <f t="shared" si="33"/>
        <v>#DIV/0!</v>
      </c>
      <c r="AB154" s="175" t="e">
        <f t="shared" si="33"/>
        <v>#DIV/0!</v>
      </c>
      <c r="AC154" s="175" t="e">
        <f t="shared" si="33"/>
        <v>#DIV/0!</v>
      </c>
      <c r="AD154" s="175" t="e">
        <f t="shared" si="33"/>
        <v>#DIV/0!</v>
      </c>
      <c r="AE154" s="175" t="e">
        <f t="shared" si="33"/>
        <v>#DIV/0!</v>
      </c>
      <c r="AF154" s="175" t="e">
        <f t="shared" si="33"/>
        <v>#DIV/0!</v>
      </c>
      <c r="AG154" s="175" t="e">
        <f t="shared" si="33"/>
        <v>#DIV/0!</v>
      </c>
      <c r="AH154" s="175" t="e">
        <f t="shared" si="33"/>
        <v>#DIV/0!</v>
      </c>
      <c r="AI154" s="175" t="e">
        <f t="shared" si="33"/>
        <v>#DIV/0!</v>
      </c>
      <c r="AJ154" s="175" t="e">
        <f t="shared" si="33"/>
        <v>#DIV/0!</v>
      </c>
      <c r="AK154" s="175" t="e">
        <f t="shared" si="33"/>
        <v>#DIV/0!</v>
      </c>
      <c r="AL154" s="175" t="e">
        <f t="shared" si="33"/>
        <v>#DIV/0!</v>
      </c>
      <c r="AM154" s="175" t="e">
        <f t="shared" si="33"/>
        <v>#DIV/0!</v>
      </c>
      <c r="AN154" s="175" t="e">
        <f t="shared" si="33"/>
        <v>#DIV/0!</v>
      </c>
    </row>
    <row r="155" spans="2:40" x14ac:dyDescent="0.15">
      <c r="B155" s="424"/>
      <c r="C155" s="133" t="s">
        <v>1173</v>
      </c>
      <c r="D155" s="98">
        <f>SUMIFS('caseload data'!E:E,'caseload data'!$D:$D,"TPO",'caseload data'!$A:$A,"South West",'caseload data'!$B:$B,"custody")</f>
        <v>0</v>
      </c>
      <c r="E155" s="98">
        <f>SUMIFS('caseload data'!F:F,'caseload data'!$D:$D,"TPO",'caseload data'!$A:$A,"South West",'caseload data'!$B:$B,"custody")</f>
        <v>0</v>
      </c>
      <c r="F155" s="98">
        <f>SUMIFS('caseload data'!G:G,'caseload data'!$D:$D,"TPO",'caseload data'!$A:$A,"South West",'caseload data'!$B:$B,"custody")</f>
        <v>0</v>
      </c>
      <c r="G155" s="98">
        <f>SUMIFS('caseload data'!H:H,'caseload data'!$D:$D,"TPO",'caseload data'!$A:$A,"South West",'caseload data'!$B:$B,"custody")</f>
        <v>0</v>
      </c>
      <c r="H155" s="98">
        <f>SUMIFS('caseload data'!I:I,'caseload data'!$D:$D,"TPO",'caseload data'!$A:$A,"South West",'caseload data'!$B:$B,"custody")</f>
        <v>0</v>
      </c>
      <c r="I155" s="98">
        <f>SUMIFS('caseload data'!J:J,'caseload data'!$D:$D,"TPO",'caseload data'!$A:$A,"South West",'caseload data'!$B:$B,"custody")</f>
        <v>0</v>
      </c>
      <c r="J155" s="98">
        <f>SUMIFS('caseload data'!K:K,'caseload data'!$D:$D,"TPO",'caseload data'!$A:$A,"South West",'caseload data'!$B:$B,"custody")</f>
        <v>0</v>
      </c>
      <c r="K155" s="98">
        <f>SUMIFS('caseload data'!L:L,'caseload data'!$D:$D,"TPO",'caseload data'!$A:$A,"South West",'caseload data'!$B:$B,"custody")</f>
        <v>0</v>
      </c>
      <c r="L155" s="98">
        <f>SUMIFS('caseload data'!M:M,'caseload data'!$D:$D,"TPO",'caseload data'!$A:$A,"South West",'caseload data'!$B:$B,"custody")</f>
        <v>0</v>
      </c>
      <c r="M155" s="98">
        <f>SUMIFS('caseload data'!N:N,'caseload data'!$D:$D,"TPO",'caseload data'!$A:$A,"South West",'caseload data'!$B:$B,"custody")</f>
        <v>0</v>
      </c>
      <c r="N155" s="98">
        <f>SUMIFS('caseload data'!O:O,'caseload data'!$D:$D,"TPO",'caseload data'!$A:$A,"South West",'caseload data'!$B:$B,"custody")</f>
        <v>0</v>
      </c>
      <c r="O155" s="98">
        <f>SUMIFS('caseload data'!P:P,'caseload data'!$D:$D,"TPO",'caseload data'!$A:$A,"South West",'caseload data'!$B:$B,"custody")</f>
        <v>0</v>
      </c>
      <c r="P155" s="98">
        <f>SUMIFS('caseload data'!Q:Q,'caseload data'!$D:$D,"TPO",'caseload data'!$A:$A,"South West",'caseload data'!$B:$B,"custody")</f>
        <v>0</v>
      </c>
      <c r="Q155" s="98">
        <f>SUMIFS('caseload data'!R:R,'caseload data'!$D:$D,"TPO",'caseload data'!$A:$A,"South West",'caseload data'!$B:$B,"custody")</f>
        <v>0</v>
      </c>
      <c r="R155" s="98">
        <f>SUMIFS('caseload data'!S:S,'caseload data'!$D:$D,"TPO",'caseload data'!$A:$A,"South West",'caseload data'!$B:$B,"custody")</f>
        <v>0</v>
      </c>
      <c r="S155" s="98">
        <f>SUMIFS('caseload data'!T:T,'caseload data'!$D:$D,"TPO",'caseload data'!$A:$A,"South West",'caseload data'!$B:$B,"custody")</f>
        <v>0</v>
      </c>
      <c r="T155" s="98">
        <f>SUMIFS('caseload data'!V:V,'caseload data'!D:D,"TPO",'caseload data'!A:A,"South West",'caseload data'!B:B,"custody")</f>
        <v>0</v>
      </c>
      <c r="U155" s="68"/>
      <c r="V155" s="68"/>
      <c r="W155" s="424"/>
      <c r="X155" s="133" t="s">
        <v>1173</v>
      </c>
      <c r="Y155" s="175" t="e">
        <f>SUM(D155)/SUM(D$153:D$156)</f>
        <v>#DIV/0!</v>
      </c>
      <c r="Z155" s="175" t="e">
        <f t="shared" si="33"/>
        <v>#DIV/0!</v>
      </c>
      <c r="AA155" s="175" t="e">
        <f t="shared" si="33"/>
        <v>#DIV/0!</v>
      </c>
      <c r="AB155" s="175" t="e">
        <f t="shared" si="33"/>
        <v>#DIV/0!</v>
      </c>
      <c r="AC155" s="175" t="e">
        <f t="shared" si="33"/>
        <v>#DIV/0!</v>
      </c>
      <c r="AD155" s="175" t="e">
        <f t="shared" si="33"/>
        <v>#DIV/0!</v>
      </c>
      <c r="AE155" s="175" t="e">
        <f t="shared" si="33"/>
        <v>#DIV/0!</v>
      </c>
      <c r="AF155" s="175" t="e">
        <f t="shared" si="33"/>
        <v>#DIV/0!</v>
      </c>
      <c r="AG155" s="175" t="e">
        <f t="shared" si="33"/>
        <v>#DIV/0!</v>
      </c>
      <c r="AH155" s="175" t="e">
        <f t="shared" si="33"/>
        <v>#DIV/0!</v>
      </c>
      <c r="AI155" s="175" t="e">
        <f t="shared" si="33"/>
        <v>#DIV/0!</v>
      </c>
      <c r="AJ155" s="175" t="e">
        <f t="shared" si="33"/>
        <v>#DIV/0!</v>
      </c>
      <c r="AK155" s="175" t="e">
        <f t="shared" si="33"/>
        <v>#DIV/0!</v>
      </c>
      <c r="AL155" s="175" t="e">
        <f t="shared" si="33"/>
        <v>#DIV/0!</v>
      </c>
      <c r="AM155" s="175" t="e">
        <f t="shared" si="33"/>
        <v>#DIV/0!</v>
      </c>
      <c r="AN155" s="175" t="e">
        <f t="shared" si="33"/>
        <v>#DIV/0!</v>
      </c>
    </row>
    <row r="156" spans="2:40" x14ac:dyDescent="0.15">
      <c r="B156" s="425"/>
      <c r="C156" s="134" t="s">
        <v>1174</v>
      </c>
      <c r="D156" s="98">
        <f>SUMIFS('caseload data'!E:E,'caseload data'!$D:$D,"SPO",'caseload data'!$A:$A,"South West",'caseload data'!$B:$B,"custody")</f>
        <v>0</v>
      </c>
      <c r="E156" s="98">
        <f>SUMIFS('caseload data'!F:F,'caseload data'!$D:$D,"SPO",'caseload data'!$A:$A,"South West",'caseload data'!$B:$B,"custody")</f>
        <v>0</v>
      </c>
      <c r="F156" s="98">
        <f>SUMIFS('caseload data'!G:G,'caseload data'!$D:$D,"SPO",'caseload data'!$A:$A,"South West",'caseload data'!$B:$B,"custody")</f>
        <v>0</v>
      </c>
      <c r="G156" s="98">
        <f>SUMIFS('caseload data'!H:H,'caseload data'!$D:$D,"SPO",'caseload data'!$A:$A,"South West",'caseload data'!$B:$B,"custody")</f>
        <v>0</v>
      </c>
      <c r="H156" s="98">
        <f>SUMIFS('caseload data'!I:I,'caseload data'!$D:$D,"SPO",'caseload data'!$A:$A,"South West",'caseload data'!$B:$B,"custody")</f>
        <v>0</v>
      </c>
      <c r="I156" s="98">
        <f>SUMIFS('caseload data'!J:J,'caseload data'!$D:$D,"SPO",'caseload data'!$A:$A,"South West",'caseload data'!$B:$B,"custody")</f>
        <v>0</v>
      </c>
      <c r="J156" s="98">
        <f>SUMIFS('caseload data'!K:K,'caseload data'!$D:$D,"SPO",'caseload data'!$A:$A,"South West",'caseload data'!$B:$B,"custody")</f>
        <v>0</v>
      </c>
      <c r="K156" s="98">
        <f>SUMIFS('caseload data'!L:L,'caseload data'!$D:$D,"SPO",'caseload data'!$A:$A,"South West",'caseload data'!$B:$B,"custody")</f>
        <v>0</v>
      </c>
      <c r="L156" s="98">
        <f>SUMIFS('caseload data'!M:M,'caseload data'!$D:$D,"SPO",'caseload data'!$A:$A,"South West",'caseload data'!$B:$B,"custody")</f>
        <v>0</v>
      </c>
      <c r="M156" s="98">
        <f>SUMIFS('caseload data'!N:N,'caseload data'!$D:$D,"SPO",'caseload data'!$A:$A,"South West",'caseload data'!$B:$B,"custody")</f>
        <v>0</v>
      </c>
      <c r="N156" s="98">
        <f>SUMIFS('caseload data'!O:O,'caseload data'!$D:$D,"SPO",'caseload data'!$A:$A,"South West",'caseload data'!$B:$B,"custody")</f>
        <v>0</v>
      </c>
      <c r="O156" s="98">
        <f>SUMIFS('caseload data'!P:P,'caseload data'!$D:$D,"SPO",'caseload data'!$A:$A,"South West",'caseload data'!$B:$B,"custody")</f>
        <v>0</v>
      </c>
      <c r="P156" s="98">
        <f>SUMIFS('caseload data'!Q:Q,'caseload data'!$D:$D,"SPO",'caseload data'!$A:$A,"South West",'caseload data'!$B:$B,"custody")</f>
        <v>0</v>
      </c>
      <c r="Q156" s="98">
        <f>SUMIFS('caseload data'!R:R,'caseload data'!$D:$D,"SPO",'caseload data'!$A:$A,"South West",'caseload data'!$B:$B,"custody")</f>
        <v>0</v>
      </c>
      <c r="R156" s="98">
        <f>SUMIFS('caseload data'!S:S,'caseload data'!$D:$D,"SPO",'caseload data'!$A:$A,"South West",'caseload data'!$B:$B,"custody")</f>
        <v>0</v>
      </c>
      <c r="S156" s="98">
        <f>SUMIFS('caseload data'!T:T,'caseload data'!$D:$D,"SPO",'caseload data'!$A:$A,"South West",'caseload data'!$B:$B,"custody")</f>
        <v>0</v>
      </c>
      <c r="T156" s="98">
        <f>SUMIFS('caseload data'!V:V,'caseload data'!$D:$D,"SPO",'caseload data'!$A:$A,"South West",'caseload data'!$B:$B,"custody")</f>
        <v>0</v>
      </c>
      <c r="U156" s="68"/>
      <c r="V156" s="68"/>
      <c r="W156" s="425"/>
      <c r="X156" s="134" t="s">
        <v>1174</v>
      </c>
      <c r="Y156" s="175" t="e">
        <f>SUM(D156)/SUM(D$153:D$156)</f>
        <v>#DIV/0!</v>
      </c>
      <c r="Z156" s="175" t="e">
        <f t="shared" si="33"/>
        <v>#DIV/0!</v>
      </c>
      <c r="AA156" s="175" t="e">
        <f t="shared" si="33"/>
        <v>#DIV/0!</v>
      </c>
      <c r="AB156" s="175" t="e">
        <f t="shared" si="33"/>
        <v>#DIV/0!</v>
      </c>
      <c r="AC156" s="175" t="e">
        <f t="shared" si="33"/>
        <v>#DIV/0!</v>
      </c>
      <c r="AD156" s="175" t="e">
        <f t="shared" si="33"/>
        <v>#DIV/0!</v>
      </c>
      <c r="AE156" s="175" t="e">
        <f t="shared" si="33"/>
        <v>#DIV/0!</v>
      </c>
      <c r="AF156" s="175" t="e">
        <f t="shared" si="33"/>
        <v>#DIV/0!</v>
      </c>
      <c r="AG156" s="175" t="e">
        <f t="shared" si="33"/>
        <v>#DIV/0!</v>
      </c>
      <c r="AH156" s="175" t="e">
        <f t="shared" si="33"/>
        <v>#DIV/0!</v>
      </c>
      <c r="AI156" s="175" t="e">
        <f t="shared" si="33"/>
        <v>#DIV/0!</v>
      </c>
      <c r="AJ156" s="175" t="e">
        <f t="shared" si="33"/>
        <v>#DIV/0!</v>
      </c>
      <c r="AK156" s="175" t="e">
        <f t="shared" si="33"/>
        <v>#DIV/0!</v>
      </c>
      <c r="AL156" s="175" t="e">
        <f t="shared" si="33"/>
        <v>#DIV/0!</v>
      </c>
      <c r="AM156" s="175" t="e">
        <f t="shared" si="33"/>
        <v>#DIV/0!</v>
      </c>
      <c r="AN156" s="175" t="e">
        <f t="shared" si="33"/>
        <v>#DIV/0!</v>
      </c>
    </row>
    <row r="157" spans="2:40" x14ac:dyDescent="0.15">
      <c r="B157" s="423" t="s">
        <v>32</v>
      </c>
      <c r="C157" s="132" t="s">
        <v>1166</v>
      </c>
      <c r="D157" s="98">
        <f>SUMIFS('caseload data'!E:E,'caseload data'!$D:$D,"PO",'caseload data'!$A:$A,$B$157,'caseload data'!$B:$B,"custody")</f>
        <v>0</v>
      </c>
      <c r="E157" s="98">
        <f>SUMIFS('caseload data'!F:F,'caseload data'!$D:$D,"PO",'caseload data'!$A:$A,$B$157,'caseload data'!$B:$B,"custody")</f>
        <v>0</v>
      </c>
      <c r="F157" s="98">
        <f>SUMIFS('caseload data'!G:G,'caseload data'!$D:$D,"PO",'caseload data'!$A:$A,$B$157,'caseload data'!$B:$B,"custody")</f>
        <v>0</v>
      </c>
      <c r="G157" s="98">
        <f>SUMIFS('caseload data'!H:H,'caseload data'!$D:$D,"PO",'caseload data'!$A:$A,$B$157,'caseload data'!$B:$B,"custody")</f>
        <v>0</v>
      </c>
      <c r="H157" s="98">
        <f>SUMIFS('caseload data'!I:I,'caseload data'!$D:$D,"PO",'caseload data'!$A:$A,$B$157,'caseload data'!$B:$B,"custody")</f>
        <v>0</v>
      </c>
      <c r="I157" s="98">
        <f>SUMIFS('caseload data'!J:J,'caseload data'!$D:$D,"PO",'caseload data'!$A:$A,$B$157,'caseload data'!$B:$B,"custody")</f>
        <v>0</v>
      </c>
      <c r="J157" s="98">
        <f>SUMIFS('caseload data'!K:K,'caseload data'!$D:$D,"PO",'caseload data'!$A:$A,$B$157,'caseload data'!$B:$B,"custody")</f>
        <v>0</v>
      </c>
      <c r="K157" s="98">
        <f>SUMIFS('caseload data'!L:L,'caseload data'!$D:$D,"PO",'caseload data'!$A:$A,$B$157,'caseload data'!$B:$B,"custody")</f>
        <v>0</v>
      </c>
      <c r="L157" s="98">
        <f>SUMIFS('caseload data'!M:M,'caseload data'!$D:$D,"PO",'caseload data'!$A:$A,$B$157,'caseload data'!$B:$B,"custody")</f>
        <v>0</v>
      </c>
      <c r="M157" s="98">
        <f>SUMIFS('caseload data'!N:N,'caseload data'!$D:$D,"PO",'caseload data'!$A:$A,$B$157,'caseload data'!$B:$B,"custody")</f>
        <v>0</v>
      </c>
      <c r="N157" s="98">
        <f>SUMIFS('caseload data'!O:O,'caseload data'!$D:$D,"PO",'caseload data'!$A:$A,$B$157,'caseload data'!$B:$B,"custody")</f>
        <v>0</v>
      </c>
      <c r="O157" s="98">
        <f>SUMIFS('caseload data'!P:P,'caseload data'!$D:$D,"PO",'caseload data'!$A:$A,$B$157,'caseload data'!$B:$B,"custody")</f>
        <v>0</v>
      </c>
      <c r="P157" s="98">
        <f>SUMIFS('caseload data'!Q:Q,'caseload data'!$D:$D,"PO",'caseload data'!$A:$A,$B$157,'caseload data'!$B:$B,"custody")</f>
        <v>0</v>
      </c>
      <c r="Q157" s="98">
        <f>SUMIFS('caseload data'!R:R,'caseload data'!$D:$D,"PO",'caseload data'!$A:$A,$B$157,'caseload data'!$B:$B,"custody")</f>
        <v>0</v>
      </c>
      <c r="R157" s="98">
        <f>SUMIFS('caseload data'!S:S,'caseload data'!$D:$D,"PO",'caseload data'!$A:$A,$B$157,'caseload data'!$B:$B,"custody")</f>
        <v>0</v>
      </c>
      <c r="S157" s="98">
        <f>SUMIFS('caseload data'!T:T,'caseload data'!$D:$D,"PO",'caseload data'!$A:$A,$B$157,'caseload data'!$B:$B,"custody")</f>
        <v>0</v>
      </c>
      <c r="T157" s="98">
        <f>SUMIFS('caseload data'!V:V,'caseload data'!D:D,"PO",'caseload data'!A:A,B157,'caseload data'!B:B,"custody")</f>
        <v>0</v>
      </c>
      <c r="U157" s="68"/>
      <c r="V157" s="68"/>
      <c r="W157" s="423" t="s">
        <v>32</v>
      </c>
      <c r="X157" s="132" t="s">
        <v>1166</v>
      </c>
      <c r="Y157" s="175" t="e">
        <f>SUM(D157)/SUM(D$157:D$160)</f>
        <v>#DIV/0!</v>
      </c>
      <c r="Z157" s="175" t="e">
        <f t="shared" ref="Z157:AN160" si="34">SUM(E157)/SUM(E$157:E$160)</f>
        <v>#DIV/0!</v>
      </c>
      <c r="AA157" s="175" t="e">
        <f t="shared" si="34"/>
        <v>#DIV/0!</v>
      </c>
      <c r="AB157" s="175" t="e">
        <f t="shared" si="34"/>
        <v>#DIV/0!</v>
      </c>
      <c r="AC157" s="175" t="e">
        <f t="shared" si="34"/>
        <v>#DIV/0!</v>
      </c>
      <c r="AD157" s="175" t="e">
        <f t="shared" si="34"/>
        <v>#DIV/0!</v>
      </c>
      <c r="AE157" s="175" t="e">
        <f t="shared" si="34"/>
        <v>#DIV/0!</v>
      </c>
      <c r="AF157" s="175" t="e">
        <f t="shared" si="34"/>
        <v>#DIV/0!</v>
      </c>
      <c r="AG157" s="175" t="e">
        <f t="shared" si="34"/>
        <v>#DIV/0!</v>
      </c>
      <c r="AH157" s="175" t="e">
        <f t="shared" si="34"/>
        <v>#DIV/0!</v>
      </c>
      <c r="AI157" s="175" t="e">
        <f t="shared" si="34"/>
        <v>#DIV/0!</v>
      </c>
      <c r="AJ157" s="175" t="e">
        <f t="shared" si="34"/>
        <v>#DIV/0!</v>
      </c>
      <c r="AK157" s="175" t="e">
        <f t="shared" si="34"/>
        <v>#DIV/0!</v>
      </c>
      <c r="AL157" s="175" t="e">
        <f t="shared" si="34"/>
        <v>#DIV/0!</v>
      </c>
      <c r="AM157" s="175" t="e">
        <f t="shared" si="34"/>
        <v>#DIV/0!</v>
      </c>
      <c r="AN157" s="175" t="e">
        <f t="shared" si="34"/>
        <v>#DIV/0!</v>
      </c>
    </row>
    <row r="158" spans="2:40" x14ac:dyDescent="0.15">
      <c r="B158" s="424"/>
      <c r="C158" s="133" t="s">
        <v>1172</v>
      </c>
      <c r="D158" s="98">
        <f>SUMIFS('caseload data'!E:E,'caseload data'!$D:$D,"PSO",'caseload data'!$A:$A,"Wales",'caseload data'!$B:$B,"custody")</f>
        <v>0</v>
      </c>
      <c r="E158" s="98">
        <f>SUMIFS('caseload data'!F:F,'caseload data'!$D:$D,"PSO",'caseload data'!$A:$A,"Wales",'caseload data'!$B:$B,"custody")</f>
        <v>0</v>
      </c>
      <c r="F158" s="98">
        <f>SUMIFS('caseload data'!G:G,'caseload data'!$D:$D,"PSO",'caseload data'!$A:$A,"Wales",'caseload data'!$B:$B,"custody")</f>
        <v>0</v>
      </c>
      <c r="G158" s="98">
        <f>SUMIFS('caseload data'!H:H,'caseload data'!$D:$D,"PSO",'caseload data'!$A:$A,"Wales",'caseload data'!$B:$B,"custody")</f>
        <v>0</v>
      </c>
      <c r="H158" s="98">
        <f>SUMIFS('caseload data'!I:I,'caseload data'!$D:$D,"PSO",'caseload data'!$A:$A,"Wales",'caseload data'!$B:$B,"custody")</f>
        <v>0</v>
      </c>
      <c r="I158" s="98">
        <f>SUMIFS('caseload data'!J:J,'caseload data'!$D:$D,"PSO",'caseload data'!$A:$A,"Wales",'caseload data'!$B:$B,"custody")</f>
        <v>0</v>
      </c>
      <c r="J158" s="98">
        <f>SUMIFS('caseload data'!K:K,'caseload data'!$D:$D,"PSO",'caseload data'!$A:$A,"Wales",'caseload data'!$B:$B,"custody")</f>
        <v>0</v>
      </c>
      <c r="K158" s="98">
        <f>SUMIFS('caseload data'!L:L,'caseload data'!$D:$D,"PSO",'caseload data'!$A:$A,"Wales",'caseload data'!$B:$B,"custody")</f>
        <v>0</v>
      </c>
      <c r="L158" s="98">
        <f>SUMIFS('caseload data'!M:M,'caseload data'!$D:$D,"PSO",'caseload data'!$A:$A,"Wales",'caseload data'!$B:$B,"custody")</f>
        <v>0</v>
      </c>
      <c r="M158" s="98">
        <f>SUMIFS('caseload data'!N:N,'caseload data'!$D:$D,"PSO",'caseload data'!$A:$A,"Wales",'caseload data'!$B:$B,"custody")</f>
        <v>0</v>
      </c>
      <c r="N158" s="98">
        <f>SUMIFS('caseload data'!O:O,'caseload data'!$D:$D,"PSO",'caseload data'!$A:$A,"Wales",'caseload data'!$B:$B,"custody")</f>
        <v>0</v>
      </c>
      <c r="O158" s="98">
        <f>SUMIFS('caseload data'!P:P,'caseload data'!$D:$D,"PSO",'caseload data'!$A:$A,"Wales",'caseload data'!$B:$B,"custody")</f>
        <v>0</v>
      </c>
      <c r="P158" s="98">
        <f>SUMIFS('caseload data'!Q:Q,'caseload data'!$D:$D,"PSO",'caseload data'!$A:$A,"Wales",'caseload data'!$B:$B,"custody")</f>
        <v>0</v>
      </c>
      <c r="Q158" s="98">
        <f>SUMIFS('caseload data'!R:R,'caseload data'!$D:$D,"PSO",'caseload data'!$A:$A,"Wales",'caseload data'!$B:$B,"custody")</f>
        <v>0</v>
      </c>
      <c r="R158" s="98">
        <f>SUMIFS('caseload data'!S:S,'caseload data'!$D:$D,"PSO",'caseload data'!$A:$A,"Wales",'caseload data'!$B:$B,"custody")</f>
        <v>0</v>
      </c>
      <c r="S158" s="98">
        <f>SUMIFS('caseload data'!T:T,'caseload data'!$D:$D,"PSO",'caseload data'!$A:$A,"Wales",'caseload data'!$B:$B,"custody")</f>
        <v>0</v>
      </c>
      <c r="T158" s="98">
        <f>SUMIFS('caseload data'!V:V,'caseload data'!D:D,"PSO",'caseload data'!A:A,"Wales",'caseload data'!B:B,"custody")</f>
        <v>0</v>
      </c>
      <c r="U158" s="68"/>
      <c r="V158" s="68"/>
      <c r="W158" s="424"/>
      <c r="X158" s="133" t="s">
        <v>1172</v>
      </c>
      <c r="Y158" s="175" t="e">
        <f>SUM(D158)/SUM(D$157:D$160)</f>
        <v>#DIV/0!</v>
      </c>
      <c r="Z158" s="175" t="e">
        <f t="shared" si="34"/>
        <v>#DIV/0!</v>
      </c>
      <c r="AA158" s="175" t="e">
        <f t="shared" si="34"/>
        <v>#DIV/0!</v>
      </c>
      <c r="AB158" s="175" t="e">
        <f t="shared" si="34"/>
        <v>#DIV/0!</v>
      </c>
      <c r="AC158" s="175" t="e">
        <f t="shared" si="34"/>
        <v>#DIV/0!</v>
      </c>
      <c r="AD158" s="175" t="e">
        <f t="shared" si="34"/>
        <v>#DIV/0!</v>
      </c>
      <c r="AE158" s="175" t="e">
        <f t="shared" si="34"/>
        <v>#DIV/0!</v>
      </c>
      <c r="AF158" s="175" t="e">
        <f t="shared" si="34"/>
        <v>#DIV/0!</v>
      </c>
      <c r="AG158" s="175" t="e">
        <f t="shared" si="34"/>
        <v>#DIV/0!</v>
      </c>
      <c r="AH158" s="175" t="e">
        <f t="shared" si="34"/>
        <v>#DIV/0!</v>
      </c>
      <c r="AI158" s="175" t="e">
        <f t="shared" si="34"/>
        <v>#DIV/0!</v>
      </c>
      <c r="AJ158" s="175" t="e">
        <f t="shared" si="34"/>
        <v>#DIV/0!</v>
      </c>
      <c r="AK158" s="175" t="e">
        <f t="shared" si="34"/>
        <v>#DIV/0!</v>
      </c>
      <c r="AL158" s="175" t="e">
        <f t="shared" si="34"/>
        <v>#DIV/0!</v>
      </c>
      <c r="AM158" s="175" t="e">
        <f t="shared" si="34"/>
        <v>#DIV/0!</v>
      </c>
      <c r="AN158" s="175" t="e">
        <f t="shared" si="34"/>
        <v>#DIV/0!</v>
      </c>
    </row>
    <row r="159" spans="2:40" x14ac:dyDescent="0.15">
      <c r="B159" s="424"/>
      <c r="C159" s="133" t="s">
        <v>1173</v>
      </c>
      <c r="D159" s="98">
        <f>SUMIFS('caseload data'!E:E,'caseload data'!$D:$D,"TPO",'caseload data'!$A:$A,"Wales",'caseload data'!$B:$B,"custody")</f>
        <v>0</v>
      </c>
      <c r="E159" s="98">
        <f>SUMIFS('caseload data'!F:F,'caseload data'!$D:$D,"TPO",'caseload data'!$A:$A,"Wales",'caseload data'!$B:$B,"custody")</f>
        <v>0</v>
      </c>
      <c r="F159" s="98">
        <f>SUMIFS('caseload data'!G:G,'caseload data'!$D:$D,"TPO",'caseload data'!$A:$A,"Wales",'caseload data'!$B:$B,"custody")</f>
        <v>0</v>
      </c>
      <c r="G159" s="98">
        <f>SUMIFS('caseload data'!H:H,'caseload data'!$D:$D,"TPO",'caseload data'!$A:$A,"Wales",'caseload data'!$B:$B,"custody")</f>
        <v>0</v>
      </c>
      <c r="H159" s="98">
        <f>SUMIFS('caseload data'!I:I,'caseload data'!$D:$D,"TPO",'caseload data'!$A:$A,"Wales",'caseload data'!$B:$B,"custody")</f>
        <v>0</v>
      </c>
      <c r="I159" s="98">
        <f>SUMIFS('caseload data'!J:J,'caseload data'!$D:$D,"TPO",'caseload data'!$A:$A,"Wales",'caseload data'!$B:$B,"custody")</f>
        <v>0</v>
      </c>
      <c r="J159" s="98">
        <f>SUMIFS('caseload data'!K:K,'caseload data'!$D:$D,"TPO",'caseload data'!$A:$A,"Wales",'caseload data'!$B:$B,"custody")</f>
        <v>0</v>
      </c>
      <c r="K159" s="98">
        <f>SUMIFS('caseload data'!L:L,'caseload data'!$D:$D,"TPO",'caseload data'!$A:$A,"Wales",'caseload data'!$B:$B,"custody")</f>
        <v>0</v>
      </c>
      <c r="L159" s="98">
        <f>SUMIFS('caseload data'!M:M,'caseload data'!$D:$D,"TPO",'caseload data'!$A:$A,"Wales",'caseload data'!$B:$B,"custody")</f>
        <v>0</v>
      </c>
      <c r="M159" s="98">
        <f>SUMIFS('caseload data'!N:N,'caseload data'!$D:$D,"TPO",'caseload data'!$A:$A,"Wales",'caseload data'!$B:$B,"custody")</f>
        <v>0</v>
      </c>
      <c r="N159" s="98">
        <f>SUMIFS('caseload data'!O:O,'caseload data'!$D:$D,"TPO",'caseload data'!$A:$A,"Wales",'caseload data'!$B:$B,"custody")</f>
        <v>0</v>
      </c>
      <c r="O159" s="98">
        <f>SUMIFS('caseload data'!P:P,'caseload data'!$D:$D,"TPO",'caseload data'!$A:$A,"Wales",'caseload data'!$B:$B,"custody")</f>
        <v>0</v>
      </c>
      <c r="P159" s="98">
        <f>SUMIFS('caseload data'!Q:Q,'caseload data'!$D:$D,"TPO",'caseload data'!$A:$A,"Wales",'caseload data'!$B:$B,"custody")</f>
        <v>0</v>
      </c>
      <c r="Q159" s="98">
        <f>SUMIFS('caseload data'!R:R,'caseload data'!$D:$D,"TPO",'caseload data'!$A:$A,"Wales",'caseload data'!$B:$B,"custody")</f>
        <v>0</v>
      </c>
      <c r="R159" s="98">
        <f>SUMIFS('caseload data'!S:S,'caseload data'!$D:$D,"TPO",'caseload data'!$A:$A,"Wales",'caseload data'!$B:$B,"custody")</f>
        <v>0</v>
      </c>
      <c r="S159" s="98">
        <f>SUMIFS('caseload data'!T:T,'caseload data'!$D:$D,"TPO",'caseload data'!$A:$A,"Wales",'caseload data'!$B:$B,"custody")</f>
        <v>0</v>
      </c>
      <c r="T159" s="98">
        <f>SUMIFS('caseload data'!V:V,'caseload data'!D:D,"TPO",'caseload data'!A:A,"Wales",'caseload data'!B:B,"custody")</f>
        <v>0</v>
      </c>
      <c r="U159" s="68"/>
      <c r="V159" s="68"/>
      <c r="W159" s="424"/>
      <c r="X159" s="133" t="s">
        <v>1173</v>
      </c>
      <c r="Y159" s="175" t="e">
        <f>SUM(D159)/SUM(D$157:D$160)</f>
        <v>#DIV/0!</v>
      </c>
      <c r="Z159" s="175" t="e">
        <f t="shared" si="34"/>
        <v>#DIV/0!</v>
      </c>
      <c r="AA159" s="175" t="e">
        <f t="shared" si="34"/>
        <v>#DIV/0!</v>
      </c>
      <c r="AB159" s="175" t="e">
        <f t="shared" si="34"/>
        <v>#DIV/0!</v>
      </c>
      <c r="AC159" s="175" t="e">
        <f t="shared" si="34"/>
        <v>#DIV/0!</v>
      </c>
      <c r="AD159" s="175" t="e">
        <f t="shared" si="34"/>
        <v>#DIV/0!</v>
      </c>
      <c r="AE159" s="175" t="e">
        <f t="shared" si="34"/>
        <v>#DIV/0!</v>
      </c>
      <c r="AF159" s="175" t="e">
        <f t="shared" si="34"/>
        <v>#DIV/0!</v>
      </c>
      <c r="AG159" s="175" t="e">
        <f t="shared" si="34"/>
        <v>#DIV/0!</v>
      </c>
      <c r="AH159" s="175" t="e">
        <f t="shared" si="34"/>
        <v>#DIV/0!</v>
      </c>
      <c r="AI159" s="175" t="e">
        <f t="shared" si="34"/>
        <v>#DIV/0!</v>
      </c>
      <c r="AJ159" s="175" t="e">
        <f t="shared" si="34"/>
        <v>#DIV/0!</v>
      </c>
      <c r="AK159" s="175" t="e">
        <f t="shared" si="34"/>
        <v>#DIV/0!</v>
      </c>
      <c r="AL159" s="175" t="e">
        <f t="shared" si="34"/>
        <v>#DIV/0!</v>
      </c>
      <c r="AM159" s="175" t="e">
        <f t="shared" si="34"/>
        <v>#DIV/0!</v>
      </c>
      <c r="AN159" s="175" t="e">
        <f t="shared" si="34"/>
        <v>#DIV/0!</v>
      </c>
    </row>
    <row r="160" spans="2:40" x14ac:dyDescent="0.15">
      <c r="B160" s="425"/>
      <c r="C160" s="134" t="s">
        <v>1174</v>
      </c>
      <c r="D160" s="98">
        <f>SUMIFS('caseload data'!E:E,'caseload data'!$D:$D,"SPO",'caseload data'!$A:$A,"Wales",'caseload data'!$B:$B,"custody")</f>
        <v>0</v>
      </c>
      <c r="E160" s="98">
        <f>SUMIFS('caseload data'!F:F,'caseload data'!$D:$D,"SPO",'caseload data'!$A:$A,"Wales",'caseload data'!$B:$B,"custody")</f>
        <v>0</v>
      </c>
      <c r="F160" s="98">
        <f>SUMIFS('caseload data'!G:G,'caseload data'!$D:$D,"SPO",'caseload data'!$A:$A,"Wales",'caseload data'!$B:$B,"custody")</f>
        <v>0</v>
      </c>
      <c r="G160" s="98">
        <f>SUMIFS('caseload data'!H:H,'caseload data'!$D:$D,"SPO",'caseload data'!$A:$A,"Wales",'caseload data'!$B:$B,"custody")</f>
        <v>0</v>
      </c>
      <c r="H160" s="98">
        <f>SUMIFS('caseload data'!I:I,'caseload data'!$D:$D,"SPO",'caseload data'!$A:$A,"Wales",'caseload data'!$B:$B,"custody")</f>
        <v>0</v>
      </c>
      <c r="I160" s="98">
        <f>SUMIFS('caseload data'!J:J,'caseload data'!$D:$D,"SPO",'caseload data'!$A:$A,"Wales",'caseload data'!$B:$B,"custody")</f>
        <v>0</v>
      </c>
      <c r="J160" s="98">
        <f>SUMIFS('caseload data'!K:K,'caseload data'!$D:$D,"SPO",'caseload data'!$A:$A,"Wales",'caseload data'!$B:$B,"custody")</f>
        <v>0</v>
      </c>
      <c r="K160" s="98">
        <f>SUMIFS('caseload data'!L:L,'caseload data'!$D:$D,"SPO",'caseload data'!$A:$A,"Wales",'caseload data'!$B:$B,"custody")</f>
        <v>0</v>
      </c>
      <c r="L160" s="98">
        <f>SUMIFS('caseload data'!M:M,'caseload data'!$D:$D,"SPO",'caseload data'!$A:$A,"Wales",'caseload data'!$B:$B,"custody")</f>
        <v>0</v>
      </c>
      <c r="M160" s="98">
        <f>SUMIFS('caseload data'!N:N,'caseload data'!$D:$D,"SPO",'caseload data'!$A:$A,"Wales",'caseload data'!$B:$B,"custody")</f>
        <v>0</v>
      </c>
      <c r="N160" s="98">
        <f>SUMIFS('caseload data'!O:O,'caseload data'!$D:$D,"SPO",'caseload data'!$A:$A,"Wales",'caseload data'!$B:$B,"custody")</f>
        <v>0</v>
      </c>
      <c r="O160" s="98">
        <f>SUMIFS('caseload data'!P:P,'caseload data'!$D:$D,"SPO",'caseload data'!$A:$A,"Wales",'caseload data'!$B:$B,"custody")</f>
        <v>0</v>
      </c>
      <c r="P160" s="98">
        <f>SUMIFS('caseload data'!Q:Q,'caseload data'!$D:$D,"SPO",'caseload data'!$A:$A,"Wales",'caseload data'!$B:$B,"custody")</f>
        <v>0</v>
      </c>
      <c r="Q160" s="98">
        <f>SUMIFS('caseload data'!R:R,'caseload data'!$D:$D,"SPO",'caseload data'!$A:$A,"Wales",'caseload data'!$B:$B,"custody")</f>
        <v>0</v>
      </c>
      <c r="R160" s="98">
        <f>SUMIFS('caseload data'!S:S,'caseload data'!$D:$D,"SPO",'caseload data'!$A:$A,"Wales",'caseload data'!$B:$B,"custody")</f>
        <v>0</v>
      </c>
      <c r="S160" s="98">
        <f>SUMIFS('caseload data'!T:T,'caseload data'!$D:$D,"SPO",'caseload data'!$A:$A,"Wales",'caseload data'!$B:$B,"custody")</f>
        <v>0</v>
      </c>
      <c r="T160" s="98">
        <f>SUMIFS('caseload data'!V:V,'caseload data'!$D:$D,"SPO",'caseload data'!$A:$A,"Wales",'caseload data'!$B:$B,"custody")</f>
        <v>0</v>
      </c>
      <c r="U160" s="68"/>
      <c r="V160" s="68"/>
      <c r="W160" s="425"/>
      <c r="X160" s="134" t="s">
        <v>1174</v>
      </c>
      <c r="Y160" s="175" t="e">
        <f>SUM(D160)/SUM(D$157:D$160)</f>
        <v>#DIV/0!</v>
      </c>
      <c r="Z160" s="175" t="e">
        <f t="shared" si="34"/>
        <v>#DIV/0!</v>
      </c>
      <c r="AA160" s="175" t="e">
        <f t="shared" si="34"/>
        <v>#DIV/0!</v>
      </c>
      <c r="AB160" s="175" t="e">
        <f t="shared" si="34"/>
        <v>#DIV/0!</v>
      </c>
      <c r="AC160" s="175" t="e">
        <f t="shared" si="34"/>
        <v>#DIV/0!</v>
      </c>
      <c r="AD160" s="175" t="e">
        <f t="shared" si="34"/>
        <v>#DIV/0!</v>
      </c>
      <c r="AE160" s="175" t="e">
        <f t="shared" si="34"/>
        <v>#DIV/0!</v>
      </c>
      <c r="AF160" s="175" t="e">
        <f t="shared" si="34"/>
        <v>#DIV/0!</v>
      </c>
      <c r="AG160" s="175" t="e">
        <f t="shared" si="34"/>
        <v>#DIV/0!</v>
      </c>
      <c r="AH160" s="175" t="e">
        <f t="shared" si="34"/>
        <v>#DIV/0!</v>
      </c>
      <c r="AI160" s="175" t="e">
        <f t="shared" si="34"/>
        <v>#DIV/0!</v>
      </c>
      <c r="AJ160" s="175" t="e">
        <f t="shared" si="34"/>
        <v>#DIV/0!</v>
      </c>
      <c r="AK160" s="175" t="e">
        <f t="shared" si="34"/>
        <v>#DIV/0!</v>
      </c>
      <c r="AL160" s="175" t="e">
        <f t="shared" si="34"/>
        <v>#DIV/0!</v>
      </c>
      <c r="AM160" s="175" t="e">
        <f t="shared" si="34"/>
        <v>#DIV/0!</v>
      </c>
      <c r="AN160" s="175" t="e">
        <f t="shared" si="34"/>
        <v>#DIV/0!</v>
      </c>
    </row>
    <row r="161" spans="2:40" x14ac:dyDescent="0.15">
      <c r="B161" s="423" t="s">
        <v>33</v>
      </c>
      <c r="C161" s="132" t="s">
        <v>1166</v>
      </c>
      <c r="D161" s="98">
        <f>SUMIFS('caseload data'!E:E,'caseload data'!$D:$D,"PO",'caseload data'!$A:$A,$B$161,'caseload data'!$B:$B,"custody")</f>
        <v>0</v>
      </c>
      <c r="E161" s="98">
        <f>SUMIFS('caseload data'!F:F,'caseload data'!$D:$D,"PO",'caseload data'!$A:$A,$B$161,'caseload data'!$B:$B,"custody")</f>
        <v>0</v>
      </c>
      <c r="F161" s="98">
        <f>SUMIFS('caseload data'!G:G,'caseload data'!$D:$D,"PO",'caseload data'!$A:$A,$B$161,'caseload data'!$B:$B,"custody")</f>
        <v>0</v>
      </c>
      <c r="G161" s="98">
        <f>SUMIFS('caseload data'!H:H,'caseload data'!$D:$D,"PO",'caseload data'!$A:$A,$B$161,'caseload data'!$B:$B,"custody")</f>
        <v>0</v>
      </c>
      <c r="H161" s="98">
        <f>SUMIFS('caseload data'!I:I,'caseload data'!$D:$D,"PO",'caseload data'!$A:$A,$B$161,'caseload data'!$B:$B,"custody")</f>
        <v>0</v>
      </c>
      <c r="I161" s="98">
        <f>SUMIFS('caseload data'!J:J,'caseload data'!$D:$D,"PO",'caseload data'!$A:$A,$B$161,'caseload data'!$B:$B,"custody")</f>
        <v>0</v>
      </c>
      <c r="J161" s="98">
        <f>SUMIFS('caseload data'!K:K,'caseload data'!$D:$D,"PO",'caseload data'!$A:$A,$B$161,'caseload data'!$B:$B,"custody")</f>
        <v>0</v>
      </c>
      <c r="K161" s="98">
        <f>SUMIFS('caseload data'!L:L,'caseload data'!$D:$D,"PO",'caseload data'!$A:$A,$B$161,'caseload data'!$B:$B,"custody")</f>
        <v>0</v>
      </c>
      <c r="L161" s="98">
        <f>SUMIFS('caseload data'!M:M,'caseload data'!$D:$D,"PO",'caseload data'!$A:$A,$B$161,'caseload data'!$B:$B,"custody")</f>
        <v>0</v>
      </c>
      <c r="M161" s="98">
        <f>SUMIFS('caseload data'!N:N,'caseload data'!$D:$D,"PO",'caseload data'!$A:$A,$B$161,'caseload data'!$B:$B,"custody")</f>
        <v>0</v>
      </c>
      <c r="N161" s="98">
        <f>SUMIFS('caseload data'!O:O,'caseload data'!$D:$D,"PO",'caseload data'!$A:$A,$B$161,'caseload data'!$B:$B,"custody")</f>
        <v>0</v>
      </c>
      <c r="O161" s="98">
        <f>SUMIFS('caseload data'!P:P,'caseload data'!$D:$D,"PO",'caseload data'!$A:$A,$B$161,'caseload data'!$B:$B,"custody")</f>
        <v>0</v>
      </c>
      <c r="P161" s="98">
        <f>SUMIFS('caseload data'!Q:Q,'caseload data'!$D:$D,"PO",'caseload data'!$A:$A,$B$161,'caseload data'!$B:$B,"custody")</f>
        <v>0</v>
      </c>
      <c r="Q161" s="98">
        <f>SUMIFS('caseload data'!R:R,'caseload data'!$D:$D,"PO",'caseload data'!$A:$A,$B$161,'caseload data'!$B:$B,"custody")</f>
        <v>0</v>
      </c>
      <c r="R161" s="98">
        <f>SUMIFS('caseload data'!S:S,'caseload data'!$D:$D,"PO",'caseload data'!$A:$A,$B$161,'caseload data'!$B:$B,"custody")</f>
        <v>0</v>
      </c>
      <c r="S161" s="98">
        <f>SUMIFS('caseload data'!T:T,'caseload data'!$D:$D,"PO",'caseload data'!$A:$A,$B$161,'caseload data'!$B:$B,"custody")</f>
        <v>0</v>
      </c>
      <c r="T161" s="98">
        <f>SUMIFS('caseload data'!V:V,'caseload data'!D:D,"PO",'caseload data'!A:A,B161,'caseload data'!B:B,"custody")</f>
        <v>0</v>
      </c>
      <c r="U161" s="68"/>
      <c r="V161" s="68"/>
      <c r="W161" s="423" t="s">
        <v>33</v>
      </c>
      <c r="X161" s="132" t="s">
        <v>1166</v>
      </c>
      <c r="Y161" s="175" t="e">
        <f>SUM(D161)/SUM(D$161:D$164)</f>
        <v>#DIV/0!</v>
      </c>
      <c r="Z161" s="175" t="e">
        <f t="shared" ref="Z161:AN164" si="35">SUM(E161)/SUM(E$161:E$164)</f>
        <v>#DIV/0!</v>
      </c>
      <c r="AA161" s="175" t="e">
        <f t="shared" si="35"/>
        <v>#DIV/0!</v>
      </c>
      <c r="AB161" s="175" t="e">
        <f t="shared" si="35"/>
        <v>#DIV/0!</v>
      </c>
      <c r="AC161" s="175" t="e">
        <f t="shared" si="35"/>
        <v>#DIV/0!</v>
      </c>
      <c r="AD161" s="175" t="e">
        <f t="shared" si="35"/>
        <v>#DIV/0!</v>
      </c>
      <c r="AE161" s="175" t="e">
        <f t="shared" si="35"/>
        <v>#DIV/0!</v>
      </c>
      <c r="AF161" s="175" t="e">
        <f t="shared" si="35"/>
        <v>#DIV/0!</v>
      </c>
      <c r="AG161" s="175" t="e">
        <f t="shared" si="35"/>
        <v>#DIV/0!</v>
      </c>
      <c r="AH161" s="175" t="e">
        <f t="shared" si="35"/>
        <v>#DIV/0!</v>
      </c>
      <c r="AI161" s="175" t="e">
        <f t="shared" si="35"/>
        <v>#DIV/0!</v>
      </c>
      <c r="AJ161" s="175" t="e">
        <f t="shared" si="35"/>
        <v>#DIV/0!</v>
      </c>
      <c r="AK161" s="175" t="e">
        <f t="shared" si="35"/>
        <v>#DIV/0!</v>
      </c>
      <c r="AL161" s="175" t="e">
        <f t="shared" si="35"/>
        <v>#DIV/0!</v>
      </c>
      <c r="AM161" s="175" t="e">
        <f t="shared" si="35"/>
        <v>#DIV/0!</v>
      </c>
      <c r="AN161" s="175" t="e">
        <f t="shared" si="35"/>
        <v>#DIV/0!</v>
      </c>
    </row>
    <row r="162" spans="2:40" x14ac:dyDescent="0.15">
      <c r="B162" s="424"/>
      <c r="C162" s="133" t="s">
        <v>1172</v>
      </c>
      <c r="D162" s="98">
        <f>SUMIFS('caseload data'!E:E,'caseload data'!$D:$D,"PSO",'caseload data'!$A:$A,B161,'caseload data'!$B:$B,"custody")</f>
        <v>0</v>
      </c>
      <c r="E162" s="98">
        <f>SUMIFS('caseload data'!F:F,'caseload data'!$D:$D,"PSO",'caseload data'!$A:$A,C161,'caseload data'!$B:$B,"custody")</f>
        <v>0</v>
      </c>
      <c r="F162" s="98">
        <f>SUMIFS('caseload data'!G:G,'caseload data'!$D:$D,"PSO",'caseload data'!$A:$A,D161,'caseload data'!$B:$B,"custody")</f>
        <v>0</v>
      </c>
      <c r="G162" s="98">
        <f>SUMIFS('caseload data'!H:H,'caseload data'!$D:$D,"PSO",'caseload data'!$A:$A,E161,'caseload data'!$B:$B,"custody")</f>
        <v>0</v>
      </c>
      <c r="H162" s="98">
        <f>SUMIFS('caseload data'!I:I,'caseload data'!$D:$D,"PSO",'caseload data'!$A:$A,F161,'caseload data'!$B:$B,"custody")</f>
        <v>0</v>
      </c>
      <c r="I162" s="98">
        <f>SUMIFS('caseload data'!J:J,'caseload data'!$D:$D,"PSO",'caseload data'!$A:$A,G161,'caseload data'!$B:$B,"custody")</f>
        <v>0</v>
      </c>
      <c r="J162" s="98">
        <f>SUMIFS('caseload data'!K:K,'caseload data'!$D:$D,"PSO",'caseload data'!$A:$A,H161,'caseload data'!$B:$B,"custody")</f>
        <v>0</v>
      </c>
      <c r="K162" s="98">
        <f>SUMIFS('caseload data'!L:L,'caseload data'!$D:$D,"PSO",'caseload data'!$A:$A,I161,'caseload data'!$B:$B,"custody")</f>
        <v>0</v>
      </c>
      <c r="L162" s="98">
        <f>SUMIFS('caseload data'!M:M,'caseload data'!$D:$D,"PSO",'caseload data'!$A:$A,J161,'caseload data'!$B:$B,"custody")</f>
        <v>0</v>
      </c>
      <c r="M162" s="98">
        <f>SUMIFS('caseload data'!N:N,'caseload data'!$D:$D,"PSO",'caseload data'!$A:$A,K161,'caseload data'!$B:$B,"custody")</f>
        <v>0</v>
      </c>
      <c r="N162" s="98">
        <f>SUMIFS('caseload data'!O:O,'caseload data'!$D:$D,"PSO",'caseload data'!$A:$A,L161,'caseload data'!$B:$B,"custody")</f>
        <v>0</v>
      </c>
      <c r="O162" s="98">
        <f>SUMIFS('caseload data'!P:P,'caseload data'!$D:$D,"PSO",'caseload data'!$A:$A,M161,'caseload data'!$B:$B,"custody")</f>
        <v>0</v>
      </c>
      <c r="P162" s="98">
        <f>SUMIFS('caseload data'!Q:Q,'caseload data'!$D:$D,"PSO",'caseload data'!$A:$A,N161,'caseload data'!$B:$B,"custody")</f>
        <v>0</v>
      </c>
      <c r="Q162" s="98">
        <f>SUMIFS('caseload data'!R:R,'caseload data'!$D:$D,"PSO",'caseload data'!$A:$A,O161,'caseload data'!$B:$B,"custody")</f>
        <v>0</v>
      </c>
      <c r="R162" s="98">
        <f>SUMIFS('caseload data'!S:S,'caseload data'!$D:$D,"PSO",'caseload data'!$A:$A,P161,'caseload data'!$B:$B,"custody")</f>
        <v>0</v>
      </c>
      <c r="S162" s="98">
        <f>SUMIFS('caseload data'!T:T,'caseload data'!$D:$D,"PSO",'caseload data'!$A:$A,Q161,'caseload data'!$B:$B,"custody")</f>
        <v>0</v>
      </c>
      <c r="T162" s="98">
        <f>SUMIFS('caseload data'!V:V,'caseload data'!D:D,"PSO",'caseload data'!A:A,B161)</f>
        <v>0</v>
      </c>
      <c r="U162" s="68"/>
      <c r="V162" s="68"/>
      <c r="W162" s="424"/>
      <c r="X162" s="133" t="s">
        <v>1172</v>
      </c>
      <c r="Y162" s="175" t="e">
        <f>SUM(D162)/SUM(D$161:D$164)</f>
        <v>#DIV/0!</v>
      </c>
      <c r="Z162" s="175" t="e">
        <f t="shared" si="35"/>
        <v>#DIV/0!</v>
      </c>
      <c r="AA162" s="175" t="e">
        <f t="shared" si="35"/>
        <v>#DIV/0!</v>
      </c>
      <c r="AB162" s="175" t="e">
        <f t="shared" si="35"/>
        <v>#DIV/0!</v>
      </c>
      <c r="AC162" s="175" t="e">
        <f t="shared" si="35"/>
        <v>#DIV/0!</v>
      </c>
      <c r="AD162" s="175" t="e">
        <f t="shared" si="35"/>
        <v>#DIV/0!</v>
      </c>
      <c r="AE162" s="175" t="e">
        <f t="shared" si="35"/>
        <v>#DIV/0!</v>
      </c>
      <c r="AF162" s="175" t="e">
        <f t="shared" si="35"/>
        <v>#DIV/0!</v>
      </c>
      <c r="AG162" s="175" t="e">
        <f t="shared" si="35"/>
        <v>#DIV/0!</v>
      </c>
      <c r="AH162" s="175" t="e">
        <f t="shared" si="35"/>
        <v>#DIV/0!</v>
      </c>
      <c r="AI162" s="175" t="e">
        <f t="shared" si="35"/>
        <v>#DIV/0!</v>
      </c>
      <c r="AJ162" s="175" t="e">
        <f t="shared" si="35"/>
        <v>#DIV/0!</v>
      </c>
      <c r="AK162" s="175" t="e">
        <f t="shared" si="35"/>
        <v>#DIV/0!</v>
      </c>
      <c r="AL162" s="175" t="e">
        <f t="shared" si="35"/>
        <v>#DIV/0!</v>
      </c>
      <c r="AM162" s="175" t="e">
        <f t="shared" si="35"/>
        <v>#DIV/0!</v>
      </c>
      <c r="AN162" s="175" t="e">
        <f t="shared" si="35"/>
        <v>#DIV/0!</v>
      </c>
    </row>
    <row r="163" spans="2:40" x14ac:dyDescent="0.15">
      <c r="B163" s="424"/>
      <c r="C163" s="133" t="s">
        <v>1173</v>
      </c>
      <c r="D163" s="98">
        <f>SUMIFS('caseload data'!E:E,'caseload data'!$D:$D,"TPO",'caseload data'!$A:$A,B161)</f>
        <v>0</v>
      </c>
      <c r="E163" s="98">
        <f>SUMIFS('caseload data'!F:F,'caseload data'!$D:$D,"TPO",'caseload data'!$A:$A,C161)</f>
        <v>0</v>
      </c>
      <c r="F163" s="98">
        <f>SUMIFS('caseload data'!G:G,'caseload data'!$D:$D,"TPO",'caseload data'!$A:$A,D161)</f>
        <v>0</v>
      </c>
      <c r="G163" s="98">
        <f>SUMIFS('caseload data'!H:H,'caseload data'!$D:$D,"TPO",'caseload data'!$A:$A,E161)</f>
        <v>0</v>
      </c>
      <c r="H163" s="98">
        <f>SUMIFS('caseload data'!I:I,'caseload data'!$D:$D,"TPO",'caseload data'!$A:$A,F161)</f>
        <v>0</v>
      </c>
      <c r="I163" s="98">
        <f>SUMIFS('caseload data'!J:J,'caseload data'!$D:$D,"TPO",'caseload data'!$A:$A,G161)</f>
        <v>0</v>
      </c>
      <c r="J163" s="98">
        <f>SUMIFS('caseload data'!K:K,'caseload data'!$D:$D,"TPO",'caseload data'!$A:$A,H161)</f>
        <v>0</v>
      </c>
      <c r="K163" s="98">
        <f>SUMIFS('caseload data'!L:L,'caseload data'!$D:$D,"TPO",'caseload data'!$A:$A,I161)</f>
        <v>0</v>
      </c>
      <c r="L163" s="98">
        <f>SUMIFS('caseload data'!M:M,'caseload data'!$D:$D,"TPO",'caseload data'!$A:$A,J161)</f>
        <v>0</v>
      </c>
      <c r="M163" s="98">
        <f>SUMIFS('caseload data'!N:N,'caseload data'!$D:$D,"TPO",'caseload data'!$A:$A,K161)</f>
        <v>0</v>
      </c>
      <c r="N163" s="98">
        <f>SUMIFS('caseload data'!O:O,'caseload data'!$D:$D,"TPO",'caseload data'!$A:$A,L161)</f>
        <v>0</v>
      </c>
      <c r="O163" s="98">
        <f>SUMIFS('caseload data'!P:P,'caseload data'!$D:$D,"TPO",'caseload data'!$A:$A,M161)</f>
        <v>0</v>
      </c>
      <c r="P163" s="98">
        <f>SUMIFS('caseload data'!Q:Q,'caseload data'!$D:$D,"TPO",'caseload data'!$A:$A,N161)</f>
        <v>0</v>
      </c>
      <c r="Q163" s="98">
        <f>SUMIFS('caseload data'!R:R,'caseload data'!$D:$D,"TPO",'caseload data'!$A:$A,O161)</f>
        <v>0</v>
      </c>
      <c r="R163" s="98">
        <f>SUMIFS('caseload data'!S:S,'caseload data'!$D:$D,"TPO",'caseload data'!$A:$A,P161)</f>
        <v>0</v>
      </c>
      <c r="S163" s="98">
        <f>SUMIFS('caseload data'!T:T,'caseload data'!$D:$D,"TPO",'caseload data'!$A:$A,Q161)</f>
        <v>0</v>
      </c>
      <c r="T163" s="98">
        <f>SUMIFS('caseload data'!V:V,'caseload data'!D:D,"TPO",'caseload data'!A:A,B161,'caseload data'!B:B,"custody")</f>
        <v>0</v>
      </c>
      <c r="U163" s="68"/>
      <c r="V163" s="68"/>
      <c r="W163" s="424"/>
      <c r="X163" s="133" t="s">
        <v>1173</v>
      </c>
      <c r="Y163" s="175" t="e">
        <f>SUM(D163)/SUM(D$161:D$164)</f>
        <v>#DIV/0!</v>
      </c>
      <c r="Z163" s="175" t="e">
        <f t="shared" si="35"/>
        <v>#DIV/0!</v>
      </c>
      <c r="AA163" s="175" t="e">
        <f t="shared" si="35"/>
        <v>#DIV/0!</v>
      </c>
      <c r="AB163" s="175" t="e">
        <f t="shared" si="35"/>
        <v>#DIV/0!</v>
      </c>
      <c r="AC163" s="175" t="e">
        <f t="shared" si="35"/>
        <v>#DIV/0!</v>
      </c>
      <c r="AD163" s="175" t="e">
        <f t="shared" si="35"/>
        <v>#DIV/0!</v>
      </c>
      <c r="AE163" s="175" t="e">
        <f t="shared" si="35"/>
        <v>#DIV/0!</v>
      </c>
      <c r="AF163" s="175" t="e">
        <f t="shared" si="35"/>
        <v>#DIV/0!</v>
      </c>
      <c r="AG163" s="175" t="e">
        <f t="shared" si="35"/>
        <v>#DIV/0!</v>
      </c>
      <c r="AH163" s="175" t="e">
        <f t="shared" si="35"/>
        <v>#DIV/0!</v>
      </c>
      <c r="AI163" s="175" t="e">
        <f t="shared" si="35"/>
        <v>#DIV/0!</v>
      </c>
      <c r="AJ163" s="175" t="e">
        <f t="shared" si="35"/>
        <v>#DIV/0!</v>
      </c>
      <c r="AK163" s="175" t="e">
        <f t="shared" si="35"/>
        <v>#DIV/0!</v>
      </c>
      <c r="AL163" s="175" t="e">
        <f t="shared" si="35"/>
        <v>#DIV/0!</v>
      </c>
      <c r="AM163" s="175" t="e">
        <f t="shared" si="35"/>
        <v>#DIV/0!</v>
      </c>
      <c r="AN163" s="175" t="e">
        <f t="shared" si="35"/>
        <v>#DIV/0!</v>
      </c>
    </row>
    <row r="164" spans="2:40" x14ac:dyDescent="0.15">
      <c r="B164" s="425"/>
      <c r="C164" s="134" t="s">
        <v>1174</v>
      </c>
      <c r="D164" s="98">
        <f>SUMIFS('caseload data'!E:E,'caseload data'!$D:$D,"SPO",'caseload data'!$A:$A,"West Midlands Region",'caseload data'!$B:$B,"custody")</f>
        <v>0</v>
      </c>
      <c r="E164" s="98">
        <f>SUMIFS('caseload data'!F:F,'caseload data'!$D:$D,"SPO",'caseload data'!$A:$A,"West Midlands Region",'caseload data'!$B:$B,"custody")</f>
        <v>0</v>
      </c>
      <c r="F164" s="98">
        <f>SUMIFS('caseload data'!G:G,'caseload data'!$D:$D,"SPO",'caseload data'!$A:$A,"West Midlands Region",'caseload data'!$B:$B,"custody")</f>
        <v>0</v>
      </c>
      <c r="G164" s="98">
        <f>SUMIFS('caseload data'!H:H,'caseload data'!$D:$D,"SPO",'caseload data'!$A:$A,"West Midlands Region",'caseload data'!$B:$B,"custody")</f>
        <v>0</v>
      </c>
      <c r="H164" s="98">
        <f>SUMIFS('caseload data'!I:I,'caseload data'!$D:$D,"SPO",'caseload data'!$A:$A,"West Midlands Region",'caseload data'!$B:$B,"custody")</f>
        <v>0</v>
      </c>
      <c r="I164" s="98">
        <f>SUMIFS('caseload data'!J:J,'caseload data'!$D:$D,"SPO",'caseload data'!$A:$A,"West Midlands Region",'caseload data'!$B:$B,"custody")</f>
        <v>0</v>
      </c>
      <c r="J164" s="98">
        <f>SUMIFS('caseload data'!K:K,'caseload data'!$D:$D,"SPO",'caseload data'!$A:$A,"West Midlands Region",'caseload data'!$B:$B,"custody")</f>
        <v>0</v>
      </c>
      <c r="K164" s="98">
        <f>SUMIFS('caseload data'!L:L,'caseload data'!$D:$D,"SPO",'caseload data'!$A:$A,"West Midlands Region",'caseload data'!$B:$B,"custody")</f>
        <v>0</v>
      </c>
      <c r="L164" s="98">
        <f>SUMIFS('caseload data'!M:M,'caseload data'!$D:$D,"SPO",'caseload data'!$A:$A,"West Midlands Region",'caseload data'!$B:$B,"custody")</f>
        <v>0</v>
      </c>
      <c r="M164" s="98">
        <f>SUMIFS('caseload data'!N:N,'caseload data'!$D:$D,"SPO",'caseload data'!$A:$A,"West Midlands Region",'caseload data'!$B:$B,"custody")</f>
        <v>0</v>
      </c>
      <c r="N164" s="98">
        <f>SUMIFS('caseload data'!O:O,'caseload data'!$D:$D,"SPO",'caseload data'!$A:$A,"West Midlands Region",'caseload data'!$B:$B,"custody")</f>
        <v>0</v>
      </c>
      <c r="O164" s="98">
        <f>SUMIFS('caseload data'!P:P,'caseload data'!$D:$D,"SPO",'caseload data'!$A:$A,"West Midlands Region",'caseload data'!$B:$B,"custody")</f>
        <v>0</v>
      </c>
      <c r="P164" s="98">
        <f>SUMIFS('caseload data'!Q:Q,'caseload data'!$D:$D,"SPO",'caseload data'!$A:$A,"West Midlands Region",'caseload data'!$B:$B,"custody")</f>
        <v>0</v>
      </c>
      <c r="Q164" s="98">
        <f>SUMIFS('caseload data'!R:R,'caseload data'!$D:$D,"SPO",'caseload data'!$A:$A,"West Midlands Region",'caseload data'!$B:$B,"custody")</f>
        <v>0</v>
      </c>
      <c r="R164" s="98">
        <f>SUMIFS('caseload data'!S:S,'caseload data'!$D:$D,"SPO",'caseload data'!$A:$A,"West Midlands Region",'caseload data'!$B:$B,"custody")</f>
        <v>0</v>
      </c>
      <c r="S164" s="98">
        <f>SUMIFS('caseload data'!T:T,'caseload data'!$D:$D,"SPO",'caseload data'!$A:$A,"West Midlands Region",'caseload data'!$B:$B,"custody")</f>
        <v>0</v>
      </c>
      <c r="T164" s="98">
        <f>SUMIFS('caseload data'!V:V,'caseload data'!$D:$D,"SPO",'caseload data'!$A:$A,"West Midlands Region",'caseload data'!$B:$B,"custody")</f>
        <v>0</v>
      </c>
      <c r="U164" s="68"/>
      <c r="V164" s="68"/>
      <c r="W164" s="425"/>
      <c r="X164" s="134" t="s">
        <v>1174</v>
      </c>
      <c r="Y164" s="175" t="e">
        <f>SUM(D164)/SUM(D$161:D$164)</f>
        <v>#DIV/0!</v>
      </c>
      <c r="Z164" s="175" t="e">
        <f t="shared" si="35"/>
        <v>#DIV/0!</v>
      </c>
      <c r="AA164" s="175" t="e">
        <f t="shared" si="35"/>
        <v>#DIV/0!</v>
      </c>
      <c r="AB164" s="175" t="e">
        <f t="shared" si="35"/>
        <v>#DIV/0!</v>
      </c>
      <c r="AC164" s="175" t="e">
        <f t="shared" si="35"/>
        <v>#DIV/0!</v>
      </c>
      <c r="AD164" s="175" t="e">
        <f t="shared" si="35"/>
        <v>#DIV/0!</v>
      </c>
      <c r="AE164" s="175" t="e">
        <f t="shared" si="35"/>
        <v>#DIV/0!</v>
      </c>
      <c r="AF164" s="175" t="e">
        <f t="shared" si="35"/>
        <v>#DIV/0!</v>
      </c>
      <c r="AG164" s="175" t="e">
        <f t="shared" si="35"/>
        <v>#DIV/0!</v>
      </c>
      <c r="AH164" s="175" t="e">
        <f t="shared" si="35"/>
        <v>#DIV/0!</v>
      </c>
      <c r="AI164" s="175" t="e">
        <f t="shared" si="35"/>
        <v>#DIV/0!</v>
      </c>
      <c r="AJ164" s="175" t="e">
        <f t="shared" si="35"/>
        <v>#DIV/0!</v>
      </c>
      <c r="AK164" s="175" t="e">
        <f t="shared" si="35"/>
        <v>#DIV/0!</v>
      </c>
      <c r="AL164" s="175" t="e">
        <f t="shared" si="35"/>
        <v>#DIV/0!</v>
      </c>
      <c r="AM164" s="175" t="e">
        <f t="shared" si="35"/>
        <v>#DIV/0!</v>
      </c>
      <c r="AN164" s="175" t="e">
        <f t="shared" si="35"/>
        <v>#DIV/0!</v>
      </c>
    </row>
    <row r="165" spans="2:40" x14ac:dyDescent="0.15">
      <c r="B165" s="423" t="s">
        <v>34</v>
      </c>
      <c r="C165" s="132" t="s">
        <v>1166</v>
      </c>
      <c r="D165" s="98">
        <f>SUMIFS('caseload data'!E:E,'caseload data'!$D:$D,"PO",'caseload data'!$A:$A,$B$165,'caseload data'!$B:$B,"custody")</f>
        <v>0</v>
      </c>
      <c r="E165" s="98">
        <f>SUMIFS('caseload data'!F:F,'caseload data'!$D:$D,"PO",'caseload data'!$A:$A,$B$165,'caseload data'!$B:$B,"custody")</f>
        <v>0</v>
      </c>
      <c r="F165" s="98">
        <f>SUMIFS('caseload data'!G:G,'caseload data'!$D:$D,"PO",'caseload data'!$A:$A,$B$165,'caseload data'!$B:$B,"custody")</f>
        <v>0</v>
      </c>
      <c r="G165" s="98">
        <f>SUMIFS('caseload data'!H:H,'caseload data'!$D:$D,"PO",'caseload data'!$A:$A,$B$165,'caseload data'!$B:$B,"custody")</f>
        <v>0</v>
      </c>
      <c r="H165" s="98">
        <f>SUMIFS('caseload data'!I:I,'caseload data'!$D:$D,"PO",'caseload data'!$A:$A,$B$165,'caseload data'!$B:$B,"custody")</f>
        <v>0</v>
      </c>
      <c r="I165" s="98">
        <f>SUMIFS('caseload data'!J:J,'caseload data'!$D:$D,"PO",'caseload data'!$A:$A,$B$165,'caseload data'!$B:$B,"custody")</f>
        <v>0</v>
      </c>
      <c r="J165" s="98">
        <f>SUMIFS('caseload data'!K:K,'caseload data'!$D:$D,"PO",'caseload data'!$A:$A,$B$165,'caseload data'!$B:$B,"custody")</f>
        <v>0</v>
      </c>
      <c r="K165" s="98">
        <f>SUMIFS('caseload data'!L:L,'caseload data'!$D:$D,"PO",'caseload data'!$A:$A,$B$165,'caseload data'!$B:$B,"custody")</f>
        <v>0</v>
      </c>
      <c r="L165" s="98">
        <f>SUMIFS('caseload data'!M:M,'caseload data'!$D:$D,"PO",'caseload data'!$A:$A,$B$165,'caseload data'!$B:$B,"custody")</f>
        <v>0</v>
      </c>
      <c r="M165" s="98">
        <f>SUMIFS('caseload data'!N:N,'caseload data'!$D:$D,"PO",'caseload data'!$A:$A,$B$165,'caseload data'!$B:$B,"custody")</f>
        <v>0</v>
      </c>
      <c r="N165" s="98">
        <f>SUMIFS('caseload data'!O:O,'caseload data'!$D:$D,"PO",'caseload data'!$A:$A,$B$165,'caseload data'!$B:$B,"custody")</f>
        <v>0</v>
      </c>
      <c r="O165" s="98">
        <f>SUMIFS('caseload data'!P:P,'caseload data'!$D:$D,"PO",'caseload data'!$A:$A,$B$165,'caseload data'!$B:$B,"custody")</f>
        <v>0</v>
      </c>
      <c r="P165" s="98">
        <f>SUMIFS('caseload data'!Q:Q,'caseload data'!$D:$D,"PO",'caseload data'!$A:$A,$B$165,'caseload data'!$B:$B,"custody")</f>
        <v>0</v>
      </c>
      <c r="Q165" s="98">
        <f>SUMIFS('caseload data'!R:R,'caseload data'!$D:$D,"PO",'caseload data'!$A:$A,$B$165,'caseload data'!$B:$B,"custody")</f>
        <v>0</v>
      </c>
      <c r="R165" s="98">
        <f>SUMIFS('caseload data'!S:S,'caseload data'!$D:$D,"PO",'caseload data'!$A:$A,$B$165,'caseload data'!$B:$B,"custody")</f>
        <v>0</v>
      </c>
      <c r="S165" s="98">
        <f>SUMIFS('caseload data'!T:T,'caseload data'!$D:$D,"PO",'caseload data'!$A:$A,$B$165,'caseload data'!$B:$B,"custody")</f>
        <v>0</v>
      </c>
      <c r="T165" s="98">
        <f>SUMIFS('caseload data'!V:V,'caseload data'!D:D,"PO",'caseload data'!A:A,B165,'caseload data'!B:B,"custody")</f>
        <v>0</v>
      </c>
      <c r="U165" s="68"/>
      <c r="V165" s="68"/>
      <c r="W165" s="423" t="s">
        <v>34</v>
      </c>
      <c r="X165" s="132" t="s">
        <v>1166</v>
      </c>
      <c r="Y165" s="175" t="e">
        <f>SUM(D165)/SUM(D$165:D$168)</f>
        <v>#DIV/0!</v>
      </c>
      <c r="Z165" s="175" t="e">
        <f t="shared" ref="Z165:AN168" si="36">SUM(E165)/SUM(E$165:E$168)</f>
        <v>#DIV/0!</v>
      </c>
      <c r="AA165" s="175" t="e">
        <f t="shared" si="36"/>
        <v>#DIV/0!</v>
      </c>
      <c r="AB165" s="175" t="e">
        <f t="shared" si="36"/>
        <v>#DIV/0!</v>
      </c>
      <c r="AC165" s="175" t="e">
        <f t="shared" si="36"/>
        <v>#DIV/0!</v>
      </c>
      <c r="AD165" s="175" t="e">
        <f t="shared" si="36"/>
        <v>#DIV/0!</v>
      </c>
      <c r="AE165" s="175" t="e">
        <f t="shared" si="36"/>
        <v>#DIV/0!</v>
      </c>
      <c r="AF165" s="175" t="e">
        <f t="shared" si="36"/>
        <v>#DIV/0!</v>
      </c>
      <c r="AG165" s="175" t="e">
        <f t="shared" si="36"/>
        <v>#DIV/0!</v>
      </c>
      <c r="AH165" s="175" t="e">
        <f t="shared" si="36"/>
        <v>#DIV/0!</v>
      </c>
      <c r="AI165" s="175" t="e">
        <f t="shared" si="36"/>
        <v>#DIV/0!</v>
      </c>
      <c r="AJ165" s="175" t="e">
        <f t="shared" si="36"/>
        <v>#DIV/0!</v>
      </c>
      <c r="AK165" s="175" t="e">
        <f t="shared" si="36"/>
        <v>#DIV/0!</v>
      </c>
      <c r="AL165" s="175" t="e">
        <f t="shared" si="36"/>
        <v>#DIV/0!</v>
      </c>
      <c r="AM165" s="175" t="e">
        <f t="shared" si="36"/>
        <v>#DIV/0!</v>
      </c>
      <c r="AN165" s="175" t="e">
        <f t="shared" si="36"/>
        <v>#DIV/0!</v>
      </c>
    </row>
    <row r="166" spans="2:40" x14ac:dyDescent="0.15">
      <c r="B166" s="424"/>
      <c r="C166" s="133" t="s">
        <v>1172</v>
      </c>
      <c r="D166" s="98">
        <f>SUMIFS('caseload data'!E:E,'caseload data'!$D:$D,"PSO",'caseload data'!$A:$A,B165,'caseload data'!$B:$B,"custody")</f>
        <v>0</v>
      </c>
      <c r="E166" s="98">
        <f>SUMIFS('caseload data'!F:F,'caseload data'!$D:$D,"PSO",'caseload data'!$A:$A,C165,'caseload data'!$B:$B,"custody")</f>
        <v>0</v>
      </c>
      <c r="F166" s="98">
        <f>SUMIFS('caseload data'!G:G,'caseload data'!$D:$D,"PSO",'caseload data'!$A:$A,D165,'caseload data'!$B:$B,"custody")</f>
        <v>0</v>
      </c>
      <c r="G166" s="98">
        <f>SUMIFS('caseload data'!H:H,'caseload data'!$D:$D,"PSO",'caseload data'!$A:$A,E165,'caseload data'!$B:$B,"custody")</f>
        <v>0</v>
      </c>
      <c r="H166" s="98">
        <f>SUMIFS('caseload data'!I:I,'caseload data'!$D:$D,"PSO",'caseload data'!$A:$A,F165,'caseload data'!$B:$B,"custody")</f>
        <v>0</v>
      </c>
      <c r="I166" s="98">
        <f>SUMIFS('caseload data'!J:J,'caseload data'!$D:$D,"PSO",'caseload data'!$A:$A,G165,'caseload data'!$B:$B,"custody")</f>
        <v>0</v>
      </c>
      <c r="J166" s="98">
        <f>SUMIFS('caseload data'!K:K,'caseload data'!$D:$D,"PSO",'caseload data'!$A:$A,H165,'caseload data'!$B:$B,"custody")</f>
        <v>0</v>
      </c>
      <c r="K166" s="98">
        <f>SUMIFS('caseload data'!L:L,'caseload data'!$D:$D,"PSO",'caseload data'!$A:$A,I165,'caseload data'!$B:$B,"custody")</f>
        <v>0</v>
      </c>
      <c r="L166" s="98">
        <f>SUMIFS('caseload data'!M:M,'caseload data'!$D:$D,"PSO",'caseload data'!$A:$A,J165,'caseload data'!$B:$B,"custody")</f>
        <v>0</v>
      </c>
      <c r="M166" s="98">
        <f>SUMIFS('caseload data'!N:N,'caseload data'!$D:$D,"PSO",'caseload data'!$A:$A,K165,'caseload data'!$B:$B,"custody")</f>
        <v>0</v>
      </c>
      <c r="N166" s="98">
        <f>SUMIFS('caseload data'!O:O,'caseload data'!$D:$D,"PSO",'caseload data'!$A:$A,L165,'caseload data'!$B:$B,"custody")</f>
        <v>0</v>
      </c>
      <c r="O166" s="98">
        <f>SUMIFS('caseload data'!P:P,'caseload data'!$D:$D,"PSO",'caseload data'!$A:$A,M165,'caseload data'!$B:$B,"custody")</f>
        <v>0</v>
      </c>
      <c r="P166" s="98">
        <f>SUMIFS('caseload data'!Q:Q,'caseload data'!$D:$D,"PSO",'caseload data'!$A:$A,N165,'caseload data'!$B:$B,"custody")</f>
        <v>0</v>
      </c>
      <c r="Q166" s="98">
        <f>SUMIFS('caseload data'!R:R,'caseload data'!$D:$D,"PSO",'caseload data'!$A:$A,O165,'caseload data'!$B:$B,"custody")</f>
        <v>0</v>
      </c>
      <c r="R166" s="98">
        <f>SUMIFS('caseload data'!S:S,'caseload data'!$D:$D,"PSO",'caseload data'!$A:$A,P165,'caseload data'!$B:$B,"custody")</f>
        <v>0</v>
      </c>
      <c r="S166" s="98">
        <f>SUMIFS('caseload data'!T:T,'caseload data'!$D:$D,"PSO",'caseload data'!$A:$A,Q165,'caseload data'!$B:$B,"custody")</f>
        <v>0</v>
      </c>
      <c r="T166" s="98">
        <f>SUMIFS('caseload data'!V:V,'caseload data'!D:D,"PSO",'caseload data'!A:A,B165,'caseload data'!B:B,"custody")</f>
        <v>0</v>
      </c>
      <c r="U166" s="68"/>
      <c r="V166" s="68"/>
      <c r="W166" s="424"/>
      <c r="X166" s="133" t="s">
        <v>1172</v>
      </c>
      <c r="Y166" s="175" t="e">
        <f>SUM(D166)/SUM(D$165:D$168)</f>
        <v>#DIV/0!</v>
      </c>
      <c r="Z166" s="175" t="e">
        <f t="shared" si="36"/>
        <v>#DIV/0!</v>
      </c>
      <c r="AA166" s="175" t="e">
        <f t="shared" si="36"/>
        <v>#DIV/0!</v>
      </c>
      <c r="AB166" s="175" t="e">
        <f t="shared" si="36"/>
        <v>#DIV/0!</v>
      </c>
      <c r="AC166" s="175" t="e">
        <f t="shared" si="36"/>
        <v>#DIV/0!</v>
      </c>
      <c r="AD166" s="175" t="e">
        <f t="shared" si="36"/>
        <v>#DIV/0!</v>
      </c>
      <c r="AE166" s="175" t="e">
        <f t="shared" si="36"/>
        <v>#DIV/0!</v>
      </c>
      <c r="AF166" s="175" t="e">
        <f t="shared" si="36"/>
        <v>#DIV/0!</v>
      </c>
      <c r="AG166" s="175" t="e">
        <f t="shared" si="36"/>
        <v>#DIV/0!</v>
      </c>
      <c r="AH166" s="175" t="e">
        <f t="shared" si="36"/>
        <v>#DIV/0!</v>
      </c>
      <c r="AI166" s="175" t="e">
        <f t="shared" si="36"/>
        <v>#DIV/0!</v>
      </c>
      <c r="AJ166" s="175" t="e">
        <f t="shared" si="36"/>
        <v>#DIV/0!</v>
      </c>
      <c r="AK166" s="175" t="e">
        <f t="shared" si="36"/>
        <v>#DIV/0!</v>
      </c>
      <c r="AL166" s="175" t="e">
        <f t="shared" si="36"/>
        <v>#DIV/0!</v>
      </c>
      <c r="AM166" s="175" t="e">
        <f t="shared" si="36"/>
        <v>#DIV/0!</v>
      </c>
      <c r="AN166" s="175" t="e">
        <f t="shared" si="36"/>
        <v>#DIV/0!</v>
      </c>
    </row>
    <row r="167" spans="2:40" x14ac:dyDescent="0.15">
      <c r="B167" s="424"/>
      <c r="C167" s="133" t="s">
        <v>1173</v>
      </c>
      <c r="D167" s="98">
        <f>SUMIFS('caseload data'!E:E,'caseload data'!$D:$D,"TPO",'caseload data'!$A:$A,B165,'caseload data'!$B:$B,"custody")</f>
        <v>0</v>
      </c>
      <c r="E167" s="98">
        <f>SUMIFS('caseload data'!F:F,'caseload data'!$D:$D,"TPO",'caseload data'!$A:$A,C165,'caseload data'!$B:$B,"custody")</f>
        <v>0</v>
      </c>
      <c r="F167" s="98">
        <f>SUMIFS('caseload data'!G:G,'caseload data'!$D:$D,"TPO",'caseload data'!$A:$A,D165,'caseload data'!$B:$B,"custody")</f>
        <v>0</v>
      </c>
      <c r="G167" s="98">
        <f>SUMIFS('caseload data'!H:H,'caseload data'!$D:$D,"TPO",'caseload data'!$A:$A,E165,'caseload data'!$B:$B,"custody")</f>
        <v>0</v>
      </c>
      <c r="H167" s="98">
        <f>SUMIFS('caseload data'!I:I,'caseload data'!$D:$D,"TPO",'caseload data'!$A:$A,F165,'caseload data'!$B:$B,"custody")</f>
        <v>0</v>
      </c>
      <c r="I167" s="98">
        <f>SUMIFS('caseload data'!J:J,'caseload data'!$D:$D,"TPO",'caseload data'!$A:$A,G165,'caseload data'!$B:$B,"custody")</f>
        <v>0</v>
      </c>
      <c r="J167" s="98">
        <f>SUMIFS('caseload data'!K:K,'caseload data'!$D:$D,"TPO",'caseload data'!$A:$A,H165,'caseload data'!$B:$B,"custody")</f>
        <v>0</v>
      </c>
      <c r="K167" s="98">
        <f>SUMIFS('caseload data'!L:L,'caseload data'!$D:$D,"TPO",'caseload data'!$A:$A,I165,'caseload data'!$B:$B,"custody")</f>
        <v>0</v>
      </c>
      <c r="L167" s="98">
        <f>SUMIFS('caseload data'!M:M,'caseload data'!$D:$D,"TPO",'caseload data'!$A:$A,J165,'caseload data'!$B:$B,"custody")</f>
        <v>0</v>
      </c>
      <c r="M167" s="98">
        <f>SUMIFS('caseload data'!N:N,'caseload data'!$D:$D,"TPO",'caseload data'!$A:$A,K165,'caseload data'!$B:$B,"custody")</f>
        <v>0</v>
      </c>
      <c r="N167" s="98">
        <f>SUMIFS('caseload data'!O:O,'caseload data'!$D:$D,"TPO",'caseload data'!$A:$A,L165,'caseload data'!$B:$B,"custody")</f>
        <v>0</v>
      </c>
      <c r="O167" s="98">
        <f>SUMIFS('caseload data'!P:P,'caseload data'!$D:$D,"TPO",'caseload data'!$A:$A,M165,'caseload data'!$B:$B,"custody")</f>
        <v>0</v>
      </c>
      <c r="P167" s="98">
        <f>SUMIFS('caseload data'!Q:Q,'caseload data'!$D:$D,"TPO",'caseload data'!$A:$A,N165,'caseload data'!$B:$B,"custody")</f>
        <v>0</v>
      </c>
      <c r="Q167" s="98">
        <f>SUMIFS('caseload data'!R:R,'caseload data'!$D:$D,"TPO",'caseload data'!$A:$A,O165,'caseload data'!$B:$B,"custody")</f>
        <v>0</v>
      </c>
      <c r="R167" s="98">
        <f>SUMIFS('caseload data'!S:S,'caseload data'!$D:$D,"TPO",'caseload data'!$A:$A,P165,'caseload data'!$B:$B,"custody")</f>
        <v>0</v>
      </c>
      <c r="S167" s="98">
        <f>SUMIFS('caseload data'!T:T,'caseload data'!$D:$D,"TPO",'caseload data'!$A:$A,Q165,'caseload data'!$B:$B,"custody")</f>
        <v>0</v>
      </c>
      <c r="T167" s="98">
        <f>SUMIFS('caseload data'!V:V,'caseload data'!D:D,"TPO",'caseload data'!A:A,B165,'caseload data'!B:B,"custody")</f>
        <v>0</v>
      </c>
      <c r="U167" s="68"/>
      <c r="V167" s="68"/>
      <c r="W167" s="424"/>
      <c r="X167" s="133" t="s">
        <v>1173</v>
      </c>
      <c r="Y167" s="175" t="e">
        <f>SUM(D167)/SUM(D$165:D$168)</f>
        <v>#DIV/0!</v>
      </c>
      <c r="Z167" s="175" t="e">
        <f t="shared" si="36"/>
        <v>#DIV/0!</v>
      </c>
      <c r="AA167" s="175" t="e">
        <f t="shared" si="36"/>
        <v>#DIV/0!</v>
      </c>
      <c r="AB167" s="175" t="e">
        <f t="shared" si="36"/>
        <v>#DIV/0!</v>
      </c>
      <c r="AC167" s="175" t="e">
        <f t="shared" si="36"/>
        <v>#DIV/0!</v>
      </c>
      <c r="AD167" s="175" t="e">
        <f t="shared" si="36"/>
        <v>#DIV/0!</v>
      </c>
      <c r="AE167" s="175" t="e">
        <f t="shared" si="36"/>
        <v>#DIV/0!</v>
      </c>
      <c r="AF167" s="175" t="e">
        <f t="shared" si="36"/>
        <v>#DIV/0!</v>
      </c>
      <c r="AG167" s="175" t="e">
        <f t="shared" si="36"/>
        <v>#DIV/0!</v>
      </c>
      <c r="AH167" s="175" t="e">
        <f t="shared" si="36"/>
        <v>#DIV/0!</v>
      </c>
      <c r="AI167" s="175" t="e">
        <f t="shared" si="36"/>
        <v>#DIV/0!</v>
      </c>
      <c r="AJ167" s="175" t="e">
        <f t="shared" si="36"/>
        <v>#DIV/0!</v>
      </c>
      <c r="AK167" s="175" t="e">
        <f t="shared" si="36"/>
        <v>#DIV/0!</v>
      </c>
      <c r="AL167" s="175" t="e">
        <f t="shared" si="36"/>
        <v>#DIV/0!</v>
      </c>
      <c r="AM167" s="175" t="e">
        <f t="shared" si="36"/>
        <v>#DIV/0!</v>
      </c>
      <c r="AN167" s="175" t="e">
        <f t="shared" si="36"/>
        <v>#DIV/0!</v>
      </c>
    </row>
    <row r="168" spans="2:40" ht="15" thickBot="1" x14ac:dyDescent="0.2">
      <c r="B168" s="425"/>
      <c r="C168" s="134" t="s">
        <v>1174</v>
      </c>
      <c r="D168" s="98">
        <f>SUMIFS('caseload data'!E:E,'caseload data'!$D:$D,"SPO",'caseload data'!$A:$A,"Yorkshire and The Humber",'caseload data'!$B:$B,"custody")</f>
        <v>0</v>
      </c>
      <c r="E168" s="98">
        <f>SUMIFS('caseload data'!F:F,'caseload data'!$D:$D,"SPO",'caseload data'!$A:$A,"Yorkshire and The Humber",'caseload data'!$B:$B,"custody")</f>
        <v>0</v>
      </c>
      <c r="F168" s="98">
        <f>SUMIFS('caseload data'!G:G,'caseload data'!$D:$D,"SPO",'caseload data'!$A:$A,"Yorkshire and The Humber",'caseload data'!$B:$B,"custody")</f>
        <v>0</v>
      </c>
      <c r="G168" s="98">
        <f>SUMIFS('caseload data'!H:H,'caseload data'!$D:$D,"SPO",'caseload data'!$A:$A,"Yorkshire and The Humber",'caseload data'!$B:$B,"custody")</f>
        <v>0</v>
      </c>
      <c r="H168" s="98">
        <f>SUMIFS('caseload data'!I:I,'caseload data'!$D:$D,"SPO",'caseload data'!$A:$A,"Yorkshire and The Humber",'caseload data'!$B:$B,"custody")</f>
        <v>0</v>
      </c>
      <c r="I168" s="98">
        <f>SUMIFS('caseload data'!J:J,'caseload data'!$D:$D,"SPO",'caseload data'!$A:$A,"Yorkshire and The Humber",'caseload data'!$B:$B,"custody")</f>
        <v>0</v>
      </c>
      <c r="J168" s="98">
        <f>SUMIFS('caseload data'!K:K,'caseload data'!$D:$D,"SPO",'caseload data'!$A:$A,"Yorkshire and The Humber",'caseload data'!$B:$B,"custody")</f>
        <v>0</v>
      </c>
      <c r="K168" s="98">
        <f>SUMIFS('caseload data'!L:L,'caseload data'!$D:$D,"SPO",'caseload data'!$A:$A,"Yorkshire and The Humber",'caseload data'!$B:$B,"custody")</f>
        <v>0</v>
      </c>
      <c r="L168" s="98">
        <f>SUMIFS('caseload data'!M:M,'caseload data'!$D:$D,"SPO",'caseload data'!$A:$A,"Yorkshire and The Humber",'caseload data'!$B:$B,"custody")</f>
        <v>0</v>
      </c>
      <c r="M168" s="98">
        <f>SUMIFS('caseload data'!N:N,'caseload data'!$D:$D,"SPO",'caseload data'!$A:$A,"Yorkshire and The Humber",'caseload data'!$B:$B,"custody")</f>
        <v>0</v>
      </c>
      <c r="N168" s="98">
        <f>SUMIFS('caseload data'!O:O,'caseload data'!$D:$D,"SPO",'caseload data'!$A:$A,"Yorkshire and The Humber",'caseload data'!$B:$B,"custody")</f>
        <v>0</v>
      </c>
      <c r="O168" s="98">
        <f>SUMIFS('caseload data'!P:P,'caseload data'!$D:$D,"SPO",'caseload data'!$A:$A,"Yorkshire and The Humber",'caseload data'!$B:$B,"custody")</f>
        <v>0</v>
      </c>
      <c r="P168" s="98">
        <f>SUMIFS('caseload data'!Q:Q,'caseload data'!$D:$D,"SPO",'caseload data'!$A:$A,"Yorkshire and The Humber",'caseload data'!$B:$B,"custody")</f>
        <v>0</v>
      </c>
      <c r="Q168" s="98">
        <f>SUMIFS('caseload data'!R:R,'caseload data'!$D:$D,"SPO",'caseload data'!$A:$A,"Yorkshire and The Humber",'caseload data'!$B:$B,"custody")</f>
        <v>0</v>
      </c>
      <c r="R168" s="98">
        <f>SUMIFS('caseload data'!S:S,'caseload data'!$D:$D,"SPO",'caseload data'!$A:$A,"Yorkshire and The Humber",'caseload data'!$B:$B,"custody")</f>
        <v>0</v>
      </c>
      <c r="S168" s="98">
        <f>SUMIFS('caseload data'!T:T,'caseload data'!$D:$D,"SPO",'caseload data'!$A:$A,"Yorkshire and The Humber",'caseload data'!$B:$B,"custody")</f>
        <v>0</v>
      </c>
      <c r="T168" s="98">
        <f>SUMIFS('caseload data'!V:V,'caseload data'!$D:$D,"SPO",'caseload data'!$A:$A,"Yorkshire and The Humber",'caseload data'!$B:$B,"custody")</f>
        <v>0</v>
      </c>
      <c r="U168" s="68"/>
      <c r="V168" s="68"/>
      <c r="W168" s="425"/>
      <c r="X168" s="134" t="s">
        <v>1174</v>
      </c>
      <c r="Y168" s="175" t="e">
        <f>SUM(D168)/SUM(D$165:D$168)</f>
        <v>#DIV/0!</v>
      </c>
      <c r="Z168" s="175" t="e">
        <f t="shared" si="36"/>
        <v>#DIV/0!</v>
      </c>
      <c r="AA168" s="175" t="e">
        <f t="shared" si="36"/>
        <v>#DIV/0!</v>
      </c>
      <c r="AB168" s="175" t="e">
        <f t="shared" si="36"/>
        <v>#DIV/0!</v>
      </c>
      <c r="AC168" s="175" t="e">
        <f t="shared" si="36"/>
        <v>#DIV/0!</v>
      </c>
      <c r="AD168" s="175" t="e">
        <f t="shared" si="36"/>
        <v>#DIV/0!</v>
      </c>
      <c r="AE168" s="175" t="e">
        <f t="shared" si="36"/>
        <v>#DIV/0!</v>
      </c>
      <c r="AF168" s="175" t="e">
        <f t="shared" si="36"/>
        <v>#DIV/0!</v>
      </c>
      <c r="AG168" s="175" t="e">
        <f t="shared" si="36"/>
        <v>#DIV/0!</v>
      </c>
      <c r="AH168" s="175" t="e">
        <f t="shared" si="36"/>
        <v>#DIV/0!</v>
      </c>
      <c r="AI168" s="175" t="e">
        <f t="shared" si="36"/>
        <v>#DIV/0!</v>
      </c>
      <c r="AJ168" s="175" t="e">
        <f t="shared" si="36"/>
        <v>#DIV/0!</v>
      </c>
      <c r="AK168" s="175" t="e">
        <f t="shared" si="36"/>
        <v>#DIV/0!</v>
      </c>
      <c r="AL168" s="175" t="e">
        <f t="shared" si="36"/>
        <v>#DIV/0!</v>
      </c>
      <c r="AM168" s="175" t="e">
        <f t="shared" si="36"/>
        <v>#DIV/0!</v>
      </c>
      <c r="AN168" s="175" t="e">
        <f t="shared" si="36"/>
        <v>#DIV/0!</v>
      </c>
    </row>
    <row r="169" spans="2:40" x14ac:dyDescent="0.15">
      <c r="B169" s="450" t="s">
        <v>1127</v>
      </c>
      <c r="C169" s="141" t="s">
        <v>1166</v>
      </c>
      <c r="D169" s="142">
        <f>SUMIFS('caseload data'!E:E,'caseload data'!$D:$D,"PO",'caseload data'!$B:$B,"custody")</f>
        <v>0</v>
      </c>
      <c r="E169" s="142">
        <f>SUMIFS('caseload data'!F:F,'caseload data'!$D:$D,"PO",'caseload data'!$B:$B,"custody")</f>
        <v>0</v>
      </c>
      <c r="F169" s="142">
        <f>SUMIFS('caseload data'!G:G,'caseload data'!$D:$D,"PO",'caseload data'!$B:$B,"custody")</f>
        <v>0</v>
      </c>
      <c r="G169" s="142">
        <f>SUMIFS('caseload data'!H:H,'caseload data'!$D:$D,"PO",'caseload data'!$B:$B,"custody")</f>
        <v>0</v>
      </c>
      <c r="H169" s="142">
        <f>SUMIFS('caseload data'!I:I,'caseload data'!$D:$D,"PO",'caseload data'!$B:$B,"custody")</f>
        <v>0</v>
      </c>
      <c r="I169" s="142">
        <f>SUMIFS('caseload data'!J:J,'caseload data'!$D:$D,"PO",'caseload data'!$B:$B,"custody")</f>
        <v>0</v>
      </c>
      <c r="J169" s="142">
        <f>SUMIFS('caseload data'!K:K,'caseload data'!$D:$D,"PO",'caseload data'!$B:$B,"custody")</f>
        <v>0</v>
      </c>
      <c r="K169" s="142">
        <f>SUMIFS('caseload data'!L:L,'caseload data'!$D:$D,"PO",'caseload data'!$B:$B,"custody")</f>
        <v>0</v>
      </c>
      <c r="L169" s="142">
        <f>SUMIFS('caseload data'!M:M,'caseload data'!$D:$D,"PO",'caseload data'!$B:$B,"custody")</f>
        <v>0</v>
      </c>
      <c r="M169" s="142">
        <f>SUMIFS('caseload data'!N:N,'caseload data'!$D:$D,"PO",'caseload data'!$B:$B,"custody")</f>
        <v>0</v>
      </c>
      <c r="N169" s="142">
        <f>SUMIFS('caseload data'!O:O,'caseload data'!$D:$D,"PO",'caseload data'!$B:$B,"custody")</f>
        <v>0</v>
      </c>
      <c r="O169" s="142">
        <f>SUMIFS('caseload data'!P:P,'caseload data'!$D:$D,"PO",'caseload data'!$B:$B,"custody")</f>
        <v>0</v>
      </c>
      <c r="P169" s="142">
        <f>SUMIFS('caseload data'!Q:Q,'caseload data'!$D:$D,"PO",'caseload data'!$B:$B,"custody")</f>
        <v>0</v>
      </c>
      <c r="Q169" s="142">
        <f>SUMIFS('caseload data'!R:R,'caseload data'!$D:$D,"PO",'caseload data'!$B:$B,"custody")</f>
        <v>0</v>
      </c>
      <c r="R169" s="142">
        <f>SUMIFS('caseload data'!S:S,'caseload data'!$D:$D,"PO",'caseload data'!$B:$B,"custody")</f>
        <v>0</v>
      </c>
      <c r="S169" s="142">
        <f>SUMIFS('caseload data'!T:T,'caseload data'!$D:$D,"PO",'caseload data'!$B:$B,"custody")</f>
        <v>0</v>
      </c>
      <c r="T169" s="143">
        <f>SUMIFS('caseload data'!V:V,'caseload data'!D:D,"PO",'caseload data'!B:B,"custody")</f>
        <v>0</v>
      </c>
      <c r="U169" s="68"/>
      <c r="V169" s="68"/>
      <c r="W169" s="444" t="s">
        <v>1127</v>
      </c>
      <c r="X169" s="141" t="s">
        <v>1166</v>
      </c>
      <c r="Y169" s="145" t="e">
        <f>SUM(D169)/SUM(D$169:D$172)</f>
        <v>#DIV/0!</v>
      </c>
      <c r="Z169" s="145" t="e">
        <f t="shared" ref="Z169:AN172" si="37">SUM(E169)/SUM(E$169:E$172)</f>
        <v>#DIV/0!</v>
      </c>
      <c r="AA169" s="145" t="e">
        <f t="shared" si="37"/>
        <v>#DIV/0!</v>
      </c>
      <c r="AB169" s="145" t="e">
        <f t="shared" si="37"/>
        <v>#DIV/0!</v>
      </c>
      <c r="AC169" s="145" t="e">
        <f t="shared" si="37"/>
        <v>#DIV/0!</v>
      </c>
      <c r="AD169" s="145" t="e">
        <f t="shared" si="37"/>
        <v>#DIV/0!</v>
      </c>
      <c r="AE169" s="145" t="e">
        <f t="shared" si="37"/>
        <v>#DIV/0!</v>
      </c>
      <c r="AF169" s="145" t="e">
        <f t="shared" si="37"/>
        <v>#DIV/0!</v>
      </c>
      <c r="AG169" s="145" t="e">
        <f t="shared" si="37"/>
        <v>#DIV/0!</v>
      </c>
      <c r="AH169" s="145" t="e">
        <f t="shared" si="37"/>
        <v>#DIV/0!</v>
      </c>
      <c r="AI169" s="145" t="e">
        <f t="shared" si="37"/>
        <v>#DIV/0!</v>
      </c>
      <c r="AJ169" s="145" t="e">
        <f t="shared" si="37"/>
        <v>#DIV/0!</v>
      </c>
      <c r="AK169" s="145" t="e">
        <f t="shared" si="37"/>
        <v>#DIV/0!</v>
      </c>
      <c r="AL169" s="145" t="e">
        <f t="shared" si="37"/>
        <v>#DIV/0!</v>
      </c>
      <c r="AM169" s="145" t="e">
        <f t="shared" si="37"/>
        <v>#DIV/0!</v>
      </c>
      <c r="AN169" s="145" t="e">
        <f t="shared" si="37"/>
        <v>#DIV/0!</v>
      </c>
    </row>
    <row r="170" spans="2:40" x14ac:dyDescent="0.15">
      <c r="B170" s="430"/>
      <c r="C170" s="144" t="s">
        <v>1172</v>
      </c>
      <c r="D170" s="142">
        <f>SUMIFS('caseload data'!E:E,'caseload data'!$D:$D,"PSO",'caseload data'!$B:$B,"custody")</f>
        <v>0</v>
      </c>
      <c r="E170" s="142">
        <f>SUMIFS('caseload data'!F:F,'caseload data'!$D:$D,"PSO",'caseload data'!$B:$B,"custody")</f>
        <v>0</v>
      </c>
      <c r="F170" s="142">
        <f>SUMIFS('caseload data'!G:G,'caseload data'!$D:$D,"PSO",'caseload data'!$B:$B,"custody")</f>
        <v>0</v>
      </c>
      <c r="G170" s="142">
        <f>SUMIFS('caseload data'!H:H,'caseload data'!$D:$D,"PSO",'caseload data'!$B:$B,"custody")</f>
        <v>0</v>
      </c>
      <c r="H170" s="142">
        <f>SUMIFS('caseload data'!I:I,'caseload data'!$D:$D,"PSO",'caseload data'!$B:$B,"custody")</f>
        <v>0</v>
      </c>
      <c r="I170" s="142">
        <f>SUMIFS('caseload data'!J:J,'caseload data'!$D:$D,"PSO",'caseload data'!$B:$B,"custody")</f>
        <v>0</v>
      </c>
      <c r="J170" s="142">
        <f>SUMIFS('caseload data'!K:K,'caseload data'!$D:$D,"PSO",'caseload data'!$B:$B,"custody")</f>
        <v>0</v>
      </c>
      <c r="K170" s="142">
        <f>SUMIFS('caseload data'!L:L,'caseload data'!$D:$D,"PSO",'caseload data'!$B:$B,"custody")</f>
        <v>0</v>
      </c>
      <c r="L170" s="142">
        <f>SUMIFS('caseload data'!M:M,'caseload data'!$D:$D,"PSO",'caseload data'!$B:$B,"custody")</f>
        <v>0</v>
      </c>
      <c r="M170" s="142">
        <f>SUMIFS('caseload data'!N:N,'caseload data'!$D:$D,"PSO",'caseload data'!$B:$B,"custody")</f>
        <v>0</v>
      </c>
      <c r="N170" s="142">
        <f>SUMIFS('caseload data'!O:O,'caseload data'!$D:$D,"PSO",'caseload data'!$B:$B,"custody")</f>
        <v>0</v>
      </c>
      <c r="O170" s="142">
        <f>SUMIFS('caseload data'!P:P,'caseload data'!$D:$D,"PSO",'caseload data'!$B:$B,"custody")</f>
        <v>0</v>
      </c>
      <c r="P170" s="142">
        <f>SUMIFS('caseload data'!Q:Q,'caseload data'!$D:$D,"PSO",'caseload data'!$B:$B,"custody")</f>
        <v>0</v>
      </c>
      <c r="Q170" s="142">
        <f>SUMIFS('caseload data'!R:R,'caseload data'!$D:$D,"PSO",'caseload data'!$B:$B,"custody")</f>
        <v>0</v>
      </c>
      <c r="R170" s="142">
        <f>SUMIFS('caseload data'!S:S,'caseload data'!$D:$D,"PSO",'caseload data'!$B:$B,"custody")</f>
        <v>0</v>
      </c>
      <c r="S170" s="142">
        <f>SUMIFS('caseload data'!T:T,'caseload data'!$D:$D,"PSO",'caseload data'!$B:$B,"custody")</f>
        <v>0</v>
      </c>
      <c r="T170" s="143">
        <f>SUMIFS('caseload data'!V:V,'caseload data'!D:D,"PSO",'caseload data'!B:B,"custody")</f>
        <v>0</v>
      </c>
      <c r="U170" s="68"/>
      <c r="V170" s="68"/>
      <c r="W170" s="451"/>
      <c r="X170" s="144" t="s">
        <v>1172</v>
      </c>
      <c r="Y170" s="145" t="e">
        <f>SUM(D170)/SUM(D$169:D$172)</f>
        <v>#DIV/0!</v>
      </c>
      <c r="Z170" s="145" t="e">
        <f t="shared" si="37"/>
        <v>#DIV/0!</v>
      </c>
      <c r="AA170" s="145" t="e">
        <f t="shared" si="37"/>
        <v>#DIV/0!</v>
      </c>
      <c r="AB170" s="145" t="e">
        <f t="shared" si="37"/>
        <v>#DIV/0!</v>
      </c>
      <c r="AC170" s="145" t="e">
        <f t="shared" si="37"/>
        <v>#DIV/0!</v>
      </c>
      <c r="AD170" s="145" t="e">
        <f t="shared" si="37"/>
        <v>#DIV/0!</v>
      </c>
      <c r="AE170" s="145" t="e">
        <f t="shared" si="37"/>
        <v>#DIV/0!</v>
      </c>
      <c r="AF170" s="145" t="e">
        <f t="shared" si="37"/>
        <v>#DIV/0!</v>
      </c>
      <c r="AG170" s="145" t="e">
        <f t="shared" si="37"/>
        <v>#DIV/0!</v>
      </c>
      <c r="AH170" s="145" t="e">
        <f t="shared" si="37"/>
        <v>#DIV/0!</v>
      </c>
      <c r="AI170" s="145" t="e">
        <f t="shared" si="37"/>
        <v>#DIV/0!</v>
      </c>
      <c r="AJ170" s="145" t="e">
        <f t="shared" si="37"/>
        <v>#DIV/0!</v>
      </c>
      <c r="AK170" s="145" t="e">
        <f t="shared" si="37"/>
        <v>#DIV/0!</v>
      </c>
      <c r="AL170" s="145" t="e">
        <f t="shared" si="37"/>
        <v>#DIV/0!</v>
      </c>
      <c r="AM170" s="145" t="e">
        <f t="shared" si="37"/>
        <v>#DIV/0!</v>
      </c>
      <c r="AN170" s="145" t="e">
        <f t="shared" si="37"/>
        <v>#DIV/0!</v>
      </c>
    </row>
    <row r="171" spans="2:40" x14ac:dyDescent="0.15">
      <c r="B171" s="430"/>
      <c r="C171" s="144" t="s">
        <v>1173</v>
      </c>
      <c r="D171" s="142">
        <f>SUMIFS('caseload data'!E:E,'caseload data'!$D:$D,"TPO",'caseload data'!$B:$B,"custody")</f>
        <v>0</v>
      </c>
      <c r="E171" s="142">
        <f>SUMIFS('caseload data'!F:F,'caseload data'!$D:$D,"TPO",'caseload data'!$B:$B,"custody")</f>
        <v>0</v>
      </c>
      <c r="F171" s="142">
        <f>SUMIFS('caseload data'!G:G,'caseload data'!$D:$D,"TPO",'caseload data'!$B:$B,"custody")</f>
        <v>0</v>
      </c>
      <c r="G171" s="142">
        <f>SUMIFS('caseload data'!H:H,'caseload data'!$D:$D,"TPO",'caseload data'!$B:$B,"custody")</f>
        <v>0</v>
      </c>
      <c r="H171" s="142">
        <f>SUMIFS('caseload data'!I:I,'caseload data'!$D:$D,"TPO",'caseload data'!$B:$B,"custody")</f>
        <v>0</v>
      </c>
      <c r="I171" s="142">
        <f>SUMIFS('caseload data'!J:J,'caseload data'!$D:$D,"TPO",'caseload data'!$B:$B,"custody")</f>
        <v>0</v>
      </c>
      <c r="J171" s="142">
        <f>SUMIFS('caseload data'!K:K,'caseload data'!$D:$D,"TPO",'caseload data'!$B:$B,"custody")</f>
        <v>0</v>
      </c>
      <c r="K171" s="142">
        <f>SUMIFS('caseload data'!L:L,'caseload data'!$D:$D,"TPO",'caseload data'!$B:$B,"custody")</f>
        <v>0</v>
      </c>
      <c r="L171" s="142">
        <f>SUMIFS('caseload data'!M:M,'caseload data'!$D:$D,"TPO",'caseload data'!$B:$B,"custody")</f>
        <v>0</v>
      </c>
      <c r="M171" s="142">
        <f>SUMIFS('caseload data'!N:N,'caseload data'!$D:$D,"TPO",'caseload data'!$B:$B,"custody")</f>
        <v>0</v>
      </c>
      <c r="N171" s="142">
        <f>SUMIFS('caseload data'!O:O,'caseload data'!$D:$D,"TPO",'caseload data'!$B:$B,"custody")</f>
        <v>0</v>
      </c>
      <c r="O171" s="142">
        <f>SUMIFS('caseload data'!P:P,'caseload data'!$D:$D,"TPO",'caseload data'!$B:$B,"custody")</f>
        <v>0</v>
      </c>
      <c r="P171" s="142">
        <f>SUMIFS('caseload data'!Q:Q,'caseload data'!$D:$D,"TPO",'caseload data'!$B:$B,"custody")</f>
        <v>0</v>
      </c>
      <c r="Q171" s="142">
        <f>SUMIFS('caseload data'!R:R,'caseload data'!$D:$D,"TPO",'caseload data'!$B:$B,"custody")</f>
        <v>0</v>
      </c>
      <c r="R171" s="142">
        <f>SUMIFS('caseload data'!S:S,'caseload data'!$D:$D,"TPO",'caseload data'!$B:$B,"custody")</f>
        <v>0</v>
      </c>
      <c r="S171" s="142">
        <f>SUMIFS('caseload data'!T:T,'caseload data'!$D:$D,"TPO",'caseload data'!$B:$B,"custody")</f>
        <v>0</v>
      </c>
      <c r="T171" s="143">
        <f>SUMIFS('caseload data'!V:V,'caseload data'!D:D,"TPO",'caseload data'!B:B,"custody")</f>
        <v>0</v>
      </c>
      <c r="U171" s="68"/>
      <c r="V171" s="68"/>
      <c r="W171" s="451"/>
      <c r="X171" s="144" t="s">
        <v>1173</v>
      </c>
      <c r="Y171" s="145" t="e">
        <f>SUM(D171)/SUM(D$169:D$172)</f>
        <v>#DIV/0!</v>
      </c>
      <c r="Z171" s="145" t="e">
        <f t="shared" si="37"/>
        <v>#DIV/0!</v>
      </c>
      <c r="AA171" s="145" t="e">
        <f t="shared" si="37"/>
        <v>#DIV/0!</v>
      </c>
      <c r="AB171" s="145" t="e">
        <f t="shared" si="37"/>
        <v>#DIV/0!</v>
      </c>
      <c r="AC171" s="145" t="e">
        <f t="shared" si="37"/>
        <v>#DIV/0!</v>
      </c>
      <c r="AD171" s="145" t="e">
        <f t="shared" si="37"/>
        <v>#DIV/0!</v>
      </c>
      <c r="AE171" s="145" t="e">
        <f t="shared" si="37"/>
        <v>#DIV/0!</v>
      </c>
      <c r="AF171" s="145" t="e">
        <f t="shared" si="37"/>
        <v>#DIV/0!</v>
      </c>
      <c r="AG171" s="145" t="e">
        <f t="shared" si="37"/>
        <v>#DIV/0!</v>
      </c>
      <c r="AH171" s="145" t="e">
        <f t="shared" si="37"/>
        <v>#DIV/0!</v>
      </c>
      <c r="AI171" s="145" t="e">
        <f t="shared" si="37"/>
        <v>#DIV/0!</v>
      </c>
      <c r="AJ171" s="145" t="e">
        <f t="shared" si="37"/>
        <v>#DIV/0!</v>
      </c>
      <c r="AK171" s="145" t="e">
        <f t="shared" si="37"/>
        <v>#DIV/0!</v>
      </c>
      <c r="AL171" s="145" t="e">
        <f t="shared" si="37"/>
        <v>#DIV/0!</v>
      </c>
      <c r="AM171" s="145" t="e">
        <f t="shared" si="37"/>
        <v>#DIV/0!</v>
      </c>
      <c r="AN171" s="145" t="e">
        <f t="shared" si="37"/>
        <v>#DIV/0!</v>
      </c>
    </row>
    <row r="172" spans="2:40" ht="15" thickBot="1" x14ac:dyDescent="0.2">
      <c r="B172" s="430"/>
      <c r="C172" s="144" t="s">
        <v>1174</v>
      </c>
      <c r="D172" s="142">
        <f>SUMIFS('caseload data'!E:E,'caseload data'!$D:$D,"SPO",'caseload data'!$B:$B,"custody")</f>
        <v>0</v>
      </c>
      <c r="E172" s="142">
        <f>SUMIFS('caseload data'!F:F,'caseload data'!$D:$D,"SPO",'caseload data'!$B:$B,"custody")</f>
        <v>0</v>
      </c>
      <c r="F172" s="142">
        <f>SUMIFS('caseload data'!G:G,'caseload data'!$D:$D,"SPO",'caseload data'!$B:$B,"custody")</f>
        <v>0</v>
      </c>
      <c r="G172" s="142">
        <f>SUMIFS('caseload data'!H:H,'caseload data'!$D:$D,"SPO",'caseload data'!$B:$B,"custody")</f>
        <v>0</v>
      </c>
      <c r="H172" s="142">
        <f>SUMIFS('caseload data'!I:I,'caseload data'!$D:$D,"SPO",'caseload data'!$B:$B,"custody")</f>
        <v>0</v>
      </c>
      <c r="I172" s="142">
        <f>SUMIFS('caseload data'!J:J,'caseload data'!$D:$D,"SPO",'caseload data'!$B:$B,"custody")</f>
        <v>0</v>
      </c>
      <c r="J172" s="142">
        <f>SUMIFS('caseload data'!K:K,'caseload data'!$D:$D,"SPO",'caseload data'!$B:$B,"custody")</f>
        <v>0</v>
      </c>
      <c r="K172" s="142">
        <f>SUMIFS('caseload data'!L:L,'caseload data'!$D:$D,"SPO",'caseload data'!$B:$B,"custody")</f>
        <v>0</v>
      </c>
      <c r="L172" s="142">
        <f>SUMIFS('caseload data'!M:M,'caseload data'!$D:$D,"SPO",'caseload data'!$B:$B,"custody")</f>
        <v>0</v>
      </c>
      <c r="M172" s="142">
        <f>SUMIFS('caseload data'!N:N,'caseload data'!$D:$D,"SPO",'caseload data'!$B:$B,"custody")</f>
        <v>0</v>
      </c>
      <c r="N172" s="142">
        <f>SUMIFS('caseload data'!O:O,'caseload data'!$D:$D,"SPO",'caseload data'!$B:$B,"custody")</f>
        <v>0</v>
      </c>
      <c r="O172" s="142">
        <f>SUMIFS('caseload data'!P:P,'caseload data'!$D:$D,"SPO",'caseload data'!$B:$B,"custody")</f>
        <v>0</v>
      </c>
      <c r="P172" s="142">
        <f>SUMIFS('caseload data'!Q:Q,'caseload data'!$D:$D,"SPO",'caseload data'!$B:$B,"custody")</f>
        <v>0</v>
      </c>
      <c r="Q172" s="142">
        <f>SUMIFS('caseload data'!R:R,'caseload data'!$D:$D,"SPO",'caseload data'!$B:$B,"custody")</f>
        <v>0</v>
      </c>
      <c r="R172" s="142">
        <f>SUMIFS('caseload data'!S:S,'caseload data'!$D:$D,"SPO",'caseload data'!$B:$B,"custody")</f>
        <v>0</v>
      </c>
      <c r="S172" s="142">
        <f>SUMIFS('caseload data'!T:T,'caseload data'!$D:$D,"SPO",'caseload data'!$B:$B,"custody")</f>
        <v>0</v>
      </c>
      <c r="T172" s="143">
        <f>SUMIFS('caseload data'!V:V,'caseload data'!$D:$D,"SPO",'caseload data'!$B:$B,"custody")</f>
        <v>0</v>
      </c>
      <c r="U172" s="68"/>
      <c r="V172" s="68"/>
      <c r="W172" s="452"/>
      <c r="X172" s="146" t="s">
        <v>1174</v>
      </c>
      <c r="Y172" s="145" t="e">
        <f>SUM(D172)/SUM(D$169:D$172)</f>
        <v>#DIV/0!</v>
      </c>
      <c r="Z172" s="145" t="e">
        <f t="shared" si="37"/>
        <v>#DIV/0!</v>
      </c>
      <c r="AA172" s="145" t="e">
        <f t="shared" si="37"/>
        <v>#DIV/0!</v>
      </c>
      <c r="AB172" s="145" t="e">
        <f t="shared" si="37"/>
        <v>#DIV/0!</v>
      </c>
      <c r="AC172" s="145" t="e">
        <f t="shared" si="37"/>
        <v>#DIV/0!</v>
      </c>
      <c r="AD172" s="145" t="e">
        <f t="shared" si="37"/>
        <v>#DIV/0!</v>
      </c>
      <c r="AE172" s="145" t="e">
        <f t="shared" si="37"/>
        <v>#DIV/0!</v>
      </c>
      <c r="AF172" s="145" t="e">
        <f t="shared" si="37"/>
        <v>#DIV/0!</v>
      </c>
      <c r="AG172" s="145" t="e">
        <f t="shared" si="37"/>
        <v>#DIV/0!</v>
      </c>
      <c r="AH172" s="145" t="e">
        <f t="shared" si="37"/>
        <v>#DIV/0!</v>
      </c>
      <c r="AI172" s="145" t="e">
        <f t="shared" si="37"/>
        <v>#DIV/0!</v>
      </c>
      <c r="AJ172" s="145" t="e">
        <f t="shared" si="37"/>
        <v>#DIV/0!</v>
      </c>
      <c r="AK172" s="145" t="e">
        <f t="shared" si="37"/>
        <v>#DIV/0!</v>
      </c>
      <c r="AL172" s="145" t="e">
        <f t="shared" si="37"/>
        <v>#DIV/0!</v>
      </c>
      <c r="AM172" s="145" t="e">
        <f t="shared" si="37"/>
        <v>#DIV/0!</v>
      </c>
      <c r="AN172" s="145" t="e">
        <f t="shared" si="37"/>
        <v>#DIV/0!</v>
      </c>
    </row>
    <row r="173" spans="2:40" ht="31.5" customHeight="1" thickBot="1" x14ac:dyDescent="0.2">
      <c r="B173" s="431"/>
      <c r="C173" s="138" t="s">
        <v>1254</v>
      </c>
      <c r="D173" s="139">
        <f>SUMIF('caseload data'!$B:$B,"custody",'caseload data'!E:E)</f>
        <v>0</v>
      </c>
      <c r="E173" s="139">
        <f>SUMIF('caseload data'!$B:$B,"custody",'caseload data'!F:F)</f>
        <v>0</v>
      </c>
      <c r="F173" s="139">
        <f>SUMIF('caseload data'!$B:$B,"custody",'caseload data'!G:G)</f>
        <v>0</v>
      </c>
      <c r="G173" s="139">
        <f>SUMIF('caseload data'!$B:$B,"custody",'caseload data'!H:H)</f>
        <v>0</v>
      </c>
      <c r="H173" s="139">
        <f>SUMIF('caseload data'!$B:$B,"custody",'caseload data'!I:I)</f>
        <v>0</v>
      </c>
      <c r="I173" s="139">
        <f>SUMIF('caseload data'!$B:$B,"custody",'caseload data'!J:J)</f>
        <v>0</v>
      </c>
      <c r="J173" s="139">
        <f>SUMIF('caseload data'!$B:$B,"custody",'caseload data'!K:K)</f>
        <v>0</v>
      </c>
      <c r="K173" s="139">
        <f>SUMIF('caseload data'!$B:$B,"custody",'caseload data'!L:L)</f>
        <v>0</v>
      </c>
      <c r="L173" s="139">
        <f>SUMIF('caseload data'!$B:$B,"custody",'caseload data'!M:M)</f>
        <v>0</v>
      </c>
      <c r="M173" s="139">
        <f>SUMIF('caseload data'!$B:$B,"custody",'caseload data'!N:N)</f>
        <v>0</v>
      </c>
      <c r="N173" s="139">
        <f>SUMIF('caseload data'!$B:$B,"custody",'caseload data'!O:O)</f>
        <v>0</v>
      </c>
      <c r="O173" s="139">
        <f>SUMIF('caseload data'!$B:$B,"custody",'caseload data'!P:P)</f>
        <v>0</v>
      </c>
      <c r="P173" s="139">
        <f>SUMIF('caseload data'!$B:$B,"custody",'caseload data'!Q:Q)</f>
        <v>0</v>
      </c>
      <c r="Q173" s="139">
        <f>SUMIF('caseload data'!$B:$B,"custody",'caseload data'!R:R)</f>
        <v>0</v>
      </c>
      <c r="R173" s="139">
        <f>SUMIF('caseload data'!$B:$B,"custody",'caseload data'!S:S)</f>
        <v>0</v>
      </c>
      <c r="S173" s="139">
        <f>SUMIF('caseload data'!$B:$B,"custody",'caseload data'!T:T)</f>
        <v>0</v>
      </c>
      <c r="T173" s="140">
        <f>SUMIF('caseload data'!B:B,"custody",'caseload data'!V:V)</f>
        <v>0</v>
      </c>
      <c r="U173" s="68"/>
      <c r="V173" s="68"/>
      <c r="W173" s="68"/>
      <c r="X173" s="68"/>
      <c r="Y173" s="68"/>
      <c r="Z173" s="68"/>
      <c r="AA173" s="68"/>
      <c r="AB173" s="68"/>
      <c r="AC173" s="68"/>
      <c r="AD173" s="68"/>
      <c r="AE173" s="68"/>
    </row>
  </sheetData>
  <mergeCells count="88">
    <mergeCell ref="B169:B173"/>
    <mergeCell ref="W137:W140"/>
    <mergeCell ref="W169:W172"/>
    <mergeCell ref="B145:B148"/>
    <mergeCell ref="W153:W156"/>
    <mergeCell ref="B165:B168"/>
    <mergeCell ref="B161:B164"/>
    <mergeCell ref="B157:B160"/>
    <mergeCell ref="B153:B156"/>
    <mergeCell ref="B149:B152"/>
    <mergeCell ref="W149:W152"/>
    <mergeCell ref="W129:W132"/>
    <mergeCell ref="W165:W168"/>
    <mergeCell ref="W161:W164"/>
    <mergeCell ref="W157:W160"/>
    <mergeCell ref="B108:B111"/>
    <mergeCell ref="W108:W111"/>
    <mergeCell ref="W145:W148"/>
    <mergeCell ref="B141:B144"/>
    <mergeCell ref="W141:W144"/>
    <mergeCell ref="B133:B136"/>
    <mergeCell ref="W133:W136"/>
    <mergeCell ref="B112:B116"/>
    <mergeCell ref="B121:B124"/>
    <mergeCell ref="W125:W128"/>
    <mergeCell ref="B125:B128"/>
    <mergeCell ref="B137:B140"/>
    <mergeCell ref="B129:B132"/>
    <mergeCell ref="Y119:AN119"/>
    <mergeCell ref="B35:B38"/>
    <mergeCell ref="W35:W38"/>
    <mergeCell ref="B92:B95"/>
    <mergeCell ref="W92:W95"/>
    <mergeCell ref="W100:W103"/>
    <mergeCell ref="B51:B54"/>
    <mergeCell ref="W51:W54"/>
    <mergeCell ref="B76:B79"/>
    <mergeCell ref="B104:B107"/>
    <mergeCell ref="W104:W107"/>
    <mergeCell ref="W112:W115"/>
    <mergeCell ref="D119:T119"/>
    <mergeCell ref="W121:W124"/>
    <mergeCell ref="B39:B42"/>
    <mergeCell ref="D62:T62"/>
    <mergeCell ref="A2:AN2"/>
    <mergeCell ref="Y5:AN5"/>
    <mergeCell ref="Y62:AN62"/>
    <mergeCell ref="B7:B10"/>
    <mergeCell ref="W7:W10"/>
    <mergeCell ref="B15:B18"/>
    <mergeCell ref="B23:B26"/>
    <mergeCell ref="W23:W26"/>
    <mergeCell ref="D5:T5"/>
    <mergeCell ref="B55:B59"/>
    <mergeCell ref="B47:B50"/>
    <mergeCell ref="B31:B34"/>
    <mergeCell ref="B43:B46"/>
    <mergeCell ref="W43:W46"/>
    <mergeCell ref="B11:B14"/>
    <mergeCell ref="W11:W14"/>
    <mergeCell ref="W39:W42"/>
    <mergeCell ref="W15:W18"/>
    <mergeCell ref="B19:B22"/>
    <mergeCell ref="W19:W22"/>
    <mergeCell ref="W31:W34"/>
    <mergeCell ref="W27:W30"/>
    <mergeCell ref="B27:B30"/>
    <mergeCell ref="B100:B103"/>
    <mergeCell ref="W96:W99"/>
    <mergeCell ref="B96:B99"/>
    <mergeCell ref="B88:B91"/>
    <mergeCell ref="W88:W91"/>
    <mergeCell ref="A1:M1"/>
    <mergeCell ref="N1:Z1"/>
    <mergeCell ref="AA1:AM1"/>
    <mergeCell ref="W84:W87"/>
    <mergeCell ref="B84:B87"/>
    <mergeCell ref="B80:B83"/>
    <mergeCell ref="W80:W83"/>
    <mergeCell ref="B64:B67"/>
    <mergeCell ref="B72:B75"/>
    <mergeCell ref="W64:W67"/>
    <mergeCell ref="W68:W71"/>
    <mergeCell ref="W72:W75"/>
    <mergeCell ref="W76:W79"/>
    <mergeCell ref="B68:B71"/>
    <mergeCell ref="W47:W50"/>
    <mergeCell ref="W55:W58"/>
  </mergeCells>
  <conditionalFormatting sqref="T14 T30 T34 T42 T46 T58 Y54 Y111">
    <cfRule type="cellIs" dxfId="6407" priority="3905" operator="equal">
      <formula>0</formula>
    </cfRule>
  </conditionalFormatting>
  <conditionalFormatting sqref="T124 T128 T132 T140 T160 T164 T168 T172">
    <cfRule type="cellIs" dxfId="6406" priority="3904" operator="equal">
      <formula>0</formula>
    </cfRule>
  </conditionalFormatting>
  <conditionalFormatting sqref="T67 T87 T91 T99 T103 D115:T115">
    <cfRule type="cellIs" dxfId="6405" priority="3903" operator="equal">
      <formula>0</formula>
    </cfRule>
  </conditionalFormatting>
  <conditionalFormatting sqref="T10">
    <cfRule type="cellIs" dxfId="6404" priority="3886" operator="equal">
      <formula>0</formula>
    </cfRule>
  </conditionalFormatting>
  <conditionalFormatting sqref="T18">
    <cfRule type="cellIs" dxfId="6403" priority="3869" operator="equal">
      <formula>0</formula>
    </cfRule>
  </conditionalFormatting>
  <conditionalFormatting sqref="T22">
    <cfRule type="cellIs" dxfId="6402" priority="3852" operator="equal">
      <formula>0</formula>
    </cfRule>
  </conditionalFormatting>
  <conditionalFormatting sqref="T26">
    <cfRule type="cellIs" dxfId="6401" priority="3835" operator="equal">
      <formula>0</formula>
    </cfRule>
  </conditionalFormatting>
  <conditionalFormatting sqref="T50">
    <cfRule type="cellIs" dxfId="6400" priority="3824" operator="equal">
      <formula>0</formula>
    </cfRule>
  </conditionalFormatting>
  <conditionalFormatting sqref="T54">
    <cfRule type="cellIs" dxfId="6399" priority="3813" operator="equal">
      <formula>0</formula>
    </cfRule>
  </conditionalFormatting>
  <conditionalFormatting sqref="T71">
    <cfRule type="cellIs" dxfId="6398" priority="3798" operator="equal">
      <formula>0</formula>
    </cfRule>
  </conditionalFormatting>
  <conditionalFormatting sqref="T75">
    <cfRule type="cellIs" dxfId="6397" priority="3783" operator="equal">
      <formula>0</formula>
    </cfRule>
  </conditionalFormatting>
  <conditionalFormatting sqref="T79">
    <cfRule type="cellIs" dxfId="6396" priority="3768" operator="equal">
      <formula>0</formula>
    </cfRule>
  </conditionalFormatting>
  <conditionalFormatting sqref="T83">
    <cfRule type="cellIs" dxfId="6395" priority="3753" operator="equal">
      <formula>0</formula>
    </cfRule>
  </conditionalFormatting>
  <conditionalFormatting sqref="T144">
    <cfRule type="cellIs" dxfId="6394" priority="3738" operator="equal">
      <formula>0</formula>
    </cfRule>
  </conditionalFormatting>
  <conditionalFormatting sqref="T136">
    <cfRule type="cellIs" dxfId="6393" priority="3723" operator="equal">
      <formula>0</formula>
    </cfRule>
  </conditionalFormatting>
  <conditionalFormatting sqref="T156">
    <cfRule type="cellIs" dxfId="6392" priority="3708" operator="equal">
      <formula>0</formula>
    </cfRule>
  </conditionalFormatting>
  <conditionalFormatting sqref="T148">
    <cfRule type="cellIs" dxfId="6391" priority="3693" operator="equal">
      <formula>0</formula>
    </cfRule>
  </conditionalFormatting>
  <conditionalFormatting sqref="T107">
    <cfRule type="cellIs" dxfId="6390" priority="3678" operator="equal">
      <formula>0</formula>
    </cfRule>
  </conditionalFormatting>
  <conditionalFormatting sqref="T111">
    <cfRule type="cellIs" dxfId="6389" priority="3663" operator="equal">
      <formula>0</formula>
    </cfRule>
  </conditionalFormatting>
  <conditionalFormatting sqref="T38">
    <cfRule type="cellIs" dxfId="6388" priority="3652" operator="equal">
      <formula>0</formula>
    </cfRule>
  </conditionalFormatting>
  <conditionalFormatting sqref="T95">
    <cfRule type="cellIs" dxfId="6387" priority="3641" operator="equal">
      <formula>0</formula>
    </cfRule>
  </conditionalFormatting>
  <conditionalFormatting sqref="T152">
    <cfRule type="cellIs" dxfId="6386" priority="3625" operator="equal">
      <formula>0</formula>
    </cfRule>
  </conditionalFormatting>
  <conditionalFormatting sqref="D8:D9">
    <cfRule type="cellIs" dxfId="6385" priority="3618" operator="equal">
      <formula>0</formula>
    </cfRule>
    <cfRule type="cellIs" dxfId="6384" priority="3619" operator="notEqual">
      <formula>0</formula>
    </cfRule>
  </conditionalFormatting>
  <conditionalFormatting sqref="D10">
    <cfRule type="cellIs" dxfId="6383" priority="3617" operator="equal">
      <formula>0</formula>
    </cfRule>
  </conditionalFormatting>
  <conditionalFormatting sqref="E8:E9">
    <cfRule type="cellIs" dxfId="6382" priority="3615" operator="equal">
      <formula>0</formula>
    </cfRule>
    <cfRule type="cellIs" dxfId="6381" priority="3616" operator="notEqual">
      <formula>0</formula>
    </cfRule>
  </conditionalFormatting>
  <conditionalFormatting sqref="E10">
    <cfRule type="cellIs" dxfId="6380" priority="3614" operator="equal">
      <formula>0</formula>
    </cfRule>
  </conditionalFormatting>
  <conditionalFormatting sqref="F8:F9">
    <cfRule type="cellIs" dxfId="6379" priority="3612" operator="equal">
      <formula>0</formula>
    </cfRule>
    <cfRule type="cellIs" dxfId="6378" priority="3613" operator="notEqual">
      <formula>0</formula>
    </cfRule>
  </conditionalFormatting>
  <conditionalFormatting sqref="F10">
    <cfRule type="cellIs" dxfId="6377" priority="3611" operator="equal">
      <formula>0</formula>
    </cfRule>
  </conditionalFormatting>
  <conditionalFormatting sqref="G8:G9">
    <cfRule type="cellIs" dxfId="6376" priority="3609" operator="equal">
      <formula>0</formula>
    </cfRule>
    <cfRule type="cellIs" dxfId="6375" priority="3610" operator="notEqual">
      <formula>0</formula>
    </cfRule>
  </conditionalFormatting>
  <conditionalFormatting sqref="G10">
    <cfRule type="cellIs" dxfId="6374" priority="3608" operator="equal">
      <formula>0</formula>
    </cfRule>
  </conditionalFormatting>
  <conditionalFormatting sqref="H8:H9">
    <cfRule type="cellIs" dxfId="6373" priority="3606" operator="equal">
      <formula>0</formula>
    </cfRule>
    <cfRule type="cellIs" dxfId="6372" priority="3607" operator="notEqual">
      <formula>0</formula>
    </cfRule>
  </conditionalFormatting>
  <conditionalFormatting sqref="H10">
    <cfRule type="cellIs" dxfId="6371" priority="3605" operator="equal">
      <formula>0</formula>
    </cfRule>
  </conditionalFormatting>
  <conditionalFormatting sqref="I8:I9">
    <cfRule type="cellIs" dxfId="6370" priority="3603" operator="equal">
      <formula>0</formula>
    </cfRule>
    <cfRule type="cellIs" dxfId="6369" priority="3604" operator="notEqual">
      <formula>0</formula>
    </cfRule>
  </conditionalFormatting>
  <conditionalFormatting sqref="I10">
    <cfRule type="cellIs" dxfId="6368" priority="3602" operator="equal">
      <formula>0</formula>
    </cfRule>
  </conditionalFormatting>
  <conditionalFormatting sqref="J8:J9">
    <cfRule type="cellIs" dxfId="6367" priority="3600" operator="equal">
      <formula>0</formula>
    </cfRule>
    <cfRule type="cellIs" dxfId="6366" priority="3601" operator="notEqual">
      <formula>0</formula>
    </cfRule>
  </conditionalFormatting>
  <conditionalFormatting sqref="J10">
    <cfRule type="cellIs" dxfId="6365" priority="3599" operator="equal">
      <formula>0</formula>
    </cfRule>
  </conditionalFormatting>
  <conditionalFormatting sqref="K8:K9">
    <cfRule type="cellIs" dxfId="6364" priority="3597" operator="equal">
      <formula>0</formula>
    </cfRule>
    <cfRule type="cellIs" dxfId="6363" priority="3598" operator="notEqual">
      <formula>0</formula>
    </cfRule>
  </conditionalFormatting>
  <conditionalFormatting sqref="K10">
    <cfRule type="cellIs" dxfId="6362" priority="3596" operator="equal">
      <formula>0</formula>
    </cfRule>
  </conditionalFormatting>
  <conditionalFormatting sqref="L10">
    <cfRule type="cellIs" dxfId="6361" priority="3595" operator="equal">
      <formula>0</formula>
    </cfRule>
  </conditionalFormatting>
  <conditionalFormatting sqref="M10">
    <cfRule type="cellIs" dxfId="6360" priority="3594" operator="equal">
      <formula>0</formula>
    </cfRule>
  </conditionalFormatting>
  <conditionalFormatting sqref="N10">
    <cfRule type="cellIs" dxfId="6359" priority="3593" operator="equal">
      <formula>0</formula>
    </cfRule>
  </conditionalFormatting>
  <conditionalFormatting sqref="O10">
    <cfRule type="cellIs" dxfId="6358" priority="3592" operator="equal">
      <formula>0</formula>
    </cfRule>
  </conditionalFormatting>
  <conditionalFormatting sqref="P7">
    <cfRule type="cellIs" dxfId="6357" priority="3590" operator="equal">
      <formula>0</formula>
    </cfRule>
    <cfRule type="cellIs" dxfId="6356" priority="3591" operator="notEqual">
      <formula>0</formula>
    </cfRule>
  </conditionalFormatting>
  <conditionalFormatting sqref="P10">
    <cfRule type="cellIs" dxfId="6355" priority="3589" operator="equal">
      <formula>0</formula>
    </cfRule>
  </conditionalFormatting>
  <conditionalFormatting sqref="Q7">
    <cfRule type="cellIs" dxfId="6354" priority="3587" operator="equal">
      <formula>0</formula>
    </cfRule>
    <cfRule type="cellIs" dxfId="6353" priority="3588" operator="notEqual">
      <formula>0</formula>
    </cfRule>
  </conditionalFormatting>
  <conditionalFormatting sqref="Q10">
    <cfRule type="cellIs" dxfId="6352" priority="3586" operator="equal">
      <formula>0</formula>
    </cfRule>
  </conditionalFormatting>
  <conditionalFormatting sqref="R7">
    <cfRule type="cellIs" dxfId="6351" priority="3584" operator="equal">
      <formula>0</formula>
    </cfRule>
    <cfRule type="cellIs" dxfId="6350" priority="3585" operator="notEqual">
      <formula>0</formula>
    </cfRule>
  </conditionalFormatting>
  <conditionalFormatting sqref="R10">
    <cfRule type="cellIs" dxfId="6349" priority="3583" operator="equal">
      <formula>0</formula>
    </cfRule>
  </conditionalFormatting>
  <conditionalFormatting sqref="S7">
    <cfRule type="cellIs" dxfId="6348" priority="3581" operator="equal">
      <formula>0</formula>
    </cfRule>
    <cfRule type="cellIs" dxfId="6347" priority="3582" operator="notEqual">
      <formula>0</formula>
    </cfRule>
  </conditionalFormatting>
  <conditionalFormatting sqref="S10">
    <cfRule type="cellIs" dxfId="6346" priority="3580" operator="equal">
      <formula>0</formula>
    </cfRule>
  </conditionalFormatting>
  <conditionalFormatting sqref="D12:D13">
    <cfRule type="cellIs" dxfId="6345" priority="3578" operator="equal">
      <formula>0</formula>
    </cfRule>
    <cfRule type="cellIs" dxfId="6344" priority="3579" operator="notEqual">
      <formula>0</formula>
    </cfRule>
  </conditionalFormatting>
  <conditionalFormatting sqref="D14">
    <cfRule type="cellIs" dxfId="6343" priority="3577" operator="equal">
      <formula>0</formula>
    </cfRule>
  </conditionalFormatting>
  <conditionalFormatting sqref="E12:E13">
    <cfRule type="cellIs" dxfId="6342" priority="3575" operator="equal">
      <formula>0</formula>
    </cfRule>
    <cfRule type="cellIs" dxfId="6341" priority="3576" operator="notEqual">
      <formula>0</formula>
    </cfRule>
  </conditionalFormatting>
  <conditionalFormatting sqref="E14">
    <cfRule type="cellIs" dxfId="6340" priority="3574" operator="equal">
      <formula>0</formula>
    </cfRule>
  </conditionalFormatting>
  <conditionalFormatting sqref="F12:F13">
    <cfRule type="cellIs" dxfId="6339" priority="3572" operator="equal">
      <formula>0</formula>
    </cfRule>
    <cfRule type="cellIs" dxfId="6338" priority="3573" operator="notEqual">
      <formula>0</formula>
    </cfRule>
  </conditionalFormatting>
  <conditionalFormatting sqref="F14">
    <cfRule type="cellIs" dxfId="6337" priority="3571" operator="equal">
      <formula>0</formula>
    </cfRule>
  </conditionalFormatting>
  <conditionalFormatting sqref="G12:G13">
    <cfRule type="cellIs" dxfId="6336" priority="3569" operator="equal">
      <formula>0</formula>
    </cfRule>
    <cfRule type="cellIs" dxfId="6335" priority="3570" operator="notEqual">
      <formula>0</formula>
    </cfRule>
  </conditionalFormatting>
  <conditionalFormatting sqref="G14">
    <cfRule type="cellIs" dxfId="6334" priority="3568" operator="equal">
      <formula>0</formula>
    </cfRule>
  </conditionalFormatting>
  <conditionalFormatting sqref="H12:H13">
    <cfRule type="cellIs" dxfId="6333" priority="3566" operator="equal">
      <formula>0</formula>
    </cfRule>
    <cfRule type="cellIs" dxfId="6332" priority="3567" operator="notEqual">
      <formula>0</formula>
    </cfRule>
  </conditionalFormatting>
  <conditionalFormatting sqref="H14">
    <cfRule type="cellIs" dxfId="6331" priority="3565" operator="equal">
      <formula>0</formula>
    </cfRule>
  </conditionalFormatting>
  <conditionalFormatting sqref="I12:I13">
    <cfRule type="cellIs" dxfId="6330" priority="3563" operator="equal">
      <formula>0</formula>
    </cfRule>
    <cfRule type="cellIs" dxfId="6329" priority="3564" operator="notEqual">
      <formula>0</formula>
    </cfRule>
  </conditionalFormatting>
  <conditionalFormatting sqref="I14">
    <cfRule type="cellIs" dxfId="6328" priority="3562" operator="equal">
      <formula>0</formula>
    </cfRule>
  </conditionalFormatting>
  <conditionalFormatting sqref="J12:J13">
    <cfRule type="cellIs" dxfId="6327" priority="3560" operator="equal">
      <formula>0</formula>
    </cfRule>
    <cfRule type="cellIs" dxfId="6326" priority="3561" operator="notEqual">
      <formula>0</formula>
    </cfRule>
  </conditionalFormatting>
  <conditionalFormatting sqref="J14">
    <cfRule type="cellIs" dxfId="6325" priority="3559" operator="equal">
      <formula>0</formula>
    </cfRule>
  </conditionalFormatting>
  <conditionalFormatting sqref="K12:K13">
    <cfRule type="cellIs" dxfId="6324" priority="3557" operator="equal">
      <formula>0</formula>
    </cfRule>
    <cfRule type="cellIs" dxfId="6323" priority="3558" operator="notEqual">
      <formula>0</formula>
    </cfRule>
  </conditionalFormatting>
  <conditionalFormatting sqref="K14">
    <cfRule type="cellIs" dxfId="6322" priority="3556" operator="equal">
      <formula>0</formula>
    </cfRule>
  </conditionalFormatting>
  <conditionalFormatting sqref="L14">
    <cfRule type="cellIs" dxfId="6321" priority="3555" operator="equal">
      <formula>0</formula>
    </cfRule>
  </conditionalFormatting>
  <conditionalFormatting sqref="M14">
    <cfRule type="cellIs" dxfId="6320" priority="3554" operator="equal">
      <formula>0</formula>
    </cfRule>
  </conditionalFormatting>
  <conditionalFormatting sqref="N14">
    <cfRule type="cellIs" dxfId="6319" priority="3553" operator="equal">
      <formula>0</formula>
    </cfRule>
  </conditionalFormatting>
  <conditionalFormatting sqref="O14">
    <cfRule type="cellIs" dxfId="6318" priority="3552" operator="equal">
      <formula>0</formula>
    </cfRule>
  </conditionalFormatting>
  <conditionalFormatting sqref="P11">
    <cfRule type="cellIs" dxfId="6317" priority="3550" operator="equal">
      <formula>0</formula>
    </cfRule>
    <cfRule type="cellIs" dxfId="6316" priority="3551" operator="notEqual">
      <formula>0</formula>
    </cfRule>
  </conditionalFormatting>
  <conditionalFormatting sqref="P14">
    <cfRule type="cellIs" dxfId="6315" priority="3549" operator="equal">
      <formula>0</formula>
    </cfRule>
  </conditionalFormatting>
  <conditionalFormatting sqref="Q11">
    <cfRule type="cellIs" dxfId="6314" priority="3547" operator="equal">
      <formula>0</formula>
    </cfRule>
    <cfRule type="cellIs" dxfId="6313" priority="3548" operator="notEqual">
      <formula>0</formula>
    </cfRule>
  </conditionalFormatting>
  <conditionalFormatting sqref="Q14">
    <cfRule type="cellIs" dxfId="6312" priority="3546" operator="equal">
      <formula>0</formula>
    </cfRule>
  </conditionalFormatting>
  <conditionalFormatting sqref="R11">
    <cfRule type="cellIs" dxfId="6311" priority="3544" operator="equal">
      <formula>0</formula>
    </cfRule>
    <cfRule type="cellIs" dxfId="6310" priority="3545" operator="notEqual">
      <formula>0</formula>
    </cfRule>
  </conditionalFormatting>
  <conditionalFormatting sqref="R14">
    <cfRule type="cellIs" dxfId="6309" priority="3543" operator="equal">
      <formula>0</formula>
    </cfRule>
  </conditionalFormatting>
  <conditionalFormatting sqref="S11">
    <cfRule type="cellIs" dxfId="6308" priority="3541" operator="equal">
      <formula>0</formula>
    </cfRule>
    <cfRule type="cellIs" dxfId="6307" priority="3542" operator="notEqual">
      <formula>0</formula>
    </cfRule>
  </conditionalFormatting>
  <conditionalFormatting sqref="S14">
    <cfRule type="cellIs" dxfId="6306" priority="3540" operator="equal">
      <formula>0</formula>
    </cfRule>
  </conditionalFormatting>
  <conditionalFormatting sqref="D16:D17">
    <cfRule type="cellIs" dxfId="6305" priority="3538" operator="equal">
      <formula>0</formula>
    </cfRule>
    <cfRule type="cellIs" dxfId="6304" priority="3539" operator="notEqual">
      <formula>0</formula>
    </cfRule>
  </conditionalFormatting>
  <conditionalFormatting sqref="D18">
    <cfRule type="cellIs" dxfId="6303" priority="3537" operator="equal">
      <formula>0</formula>
    </cfRule>
  </conditionalFormatting>
  <conditionalFormatting sqref="E16:E17">
    <cfRule type="cellIs" dxfId="6302" priority="3535" operator="equal">
      <formula>0</formula>
    </cfRule>
    <cfRule type="cellIs" dxfId="6301" priority="3536" operator="notEqual">
      <formula>0</formula>
    </cfRule>
  </conditionalFormatting>
  <conditionalFormatting sqref="E18">
    <cfRule type="cellIs" dxfId="6300" priority="3534" operator="equal">
      <formula>0</formula>
    </cfRule>
  </conditionalFormatting>
  <conditionalFormatting sqref="F16:F17">
    <cfRule type="cellIs" dxfId="6299" priority="3532" operator="equal">
      <formula>0</formula>
    </cfRule>
    <cfRule type="cellIs" dxfId="6298" priority="3533" operator="notEqual">
      <formula>0</formula>
    </cfRule>
  </conditionalFormatting>
  <conditionalFormatting sqref="F18">
    <cfRule type="cellIs" dxfId="6297" priority="3531" operator="equal">
      <formula>0</formula>
    </cfRule>
  </conditionalFormatting>
  <conditionalFormatting sqref="G16:G17">
    <cfRule type="cellIs" dxfId="6296" priority="3529" operator="equal">
      <formula>0</formula>
    </cfRule>
    <cfRule type="cellIs" dxfId="6295" priority="3530" operator="notEqual">
      <formula>0</formula>
    </cfRule>
  </conditionalFormatting>
  <conditionalFormatting sqref="G18">
    <cfRule type="cellIs" dxfId="6294" priority="3528" operator="equal">
      <formula>0</formula>
    </cfRule>
  </conditionalFormatting>
  <conditionalFormatting sqref="H16:H17">
    <cfRule type="cellIs" dxfId="6293" priority="3526" operator="equal">
      <formula>0</formula>
    </cfRule>
    <cfRule type="cellIs" dxfId="6292" priority="3527" operator="notEqual">
      <formula>0</formula>
    </cfRule>
  </conditionalFormatting>
  <conditionalFormatting sqref="H18">
    <cfRule type="cellIs" dxfId="6291" priority="3525" operator="equal">
      <formula>0</formula>
    </cfRule>
  </conditionalFormatting>
  <conditionalFormatting sqref="I16:I17">
    <cfRule type="cellIs" dxfId="6290" priority="3523" operator="equal">
      <formula>0</formula>
    </cfRule>
    <cfRule type="cellIs" dxfId="6289" priority="3524" operator="notEqual">
      <formula>0</formula>
    </cfRule>
  </conditionalFormatting>
  <conditionalFormatting sqref="I18">
    <cfRule type="cellIs" dxfId="6288" priority="3522" operator="equal">
      <formula>0</formula>
    </cfRule>
  </conditionalFormatting>
  <conditionalFormatting sqref="J16:J17">
    <cfRule type="cellIs" dxfId="6287" priority="3520" operator="equal">
      <formula>0</formula>
    </cfRule>
    <cfRule type="cellIs" dxfId="6286" priority="3521" operator="notEqual">
      <formula>0</formula>
    </cfRule>
  </conditionalFormatting>
  <conditionalFormatting sqref="J18">
    <cfRule type="cellIs" dxfId="6285" priority="3519" operator="equal">
      <formula>0</formula>
    </cfRule>
  </conditionalFormatting>
  <conditionalFormatting sqref="K16:K17">
    <cfRule type="cellIs" dxfId="6284" priority="3517" operator="equal">
      <formula>0</formula>
    </cfRule>
    <cfRule type="cellIs" dxfId="6283" priority="3518" operator="notEqual">
      <formula>0</formula>
    </cfRule>
  </conditionalFormatting>
  <conditionalFormatting sqref="K18">
    <cfRule type="cellIs" dxfId="6282" priority="3516" operator="equal">
      <formula>0</formula>
    </cfRule>
  </conditionalFormatting>
  <conditionalFormatting sqref="L18">
    <cfRule type="cellIs" dxfId="6281" priority="3515" operator="equal">
      <formula>0</formula>
    </cfRule>
  </conditionalFormatting>
  <conditionalFormatting sqref="M18">
    <cfRule type="cellIs" dxfId="6280" priority="3514" operator="equal">
      <formula>0</formula>
    </cfRule>
  </conditionalFormatting>
  <conditionalFormatting sqref="N18">
    <cfRule type="cellIs" dxfId="6279" priority="3513" operator="equal">
      <formula>0</formula>
    </cfRule>
  </conditionalFormatting>
  <conditionalFormatting sqref="O18">
    <cfRule type="cellIs" dxfId="6278" priority="3512" operator="equal">
      <formula>0</formula>
    </cfRule>
  </conditionalFormatting>
  <conditionalFormatting sqref="P15">
    <cfRule type="cellIs" dxfId="6277" priority="3510" operator="equal">
      <formula>0</formula>
    </cfRule>
    <cfRule type="cellIs" dxfId="6276" priority="3511" operator="notEqual">
      <formula>0</formula>
    </cfRule>
  </conditionalFormatting>
  <conditionalFormatting sqref="P18">
    <cfRule type="cellIs" dxfId="6275" priority="3509" operator="equal">
      <formula>0</formula>
    </cfRule>
  </conditionalFormatting>
  <conditionalFormatting sqref="Q15">
    <cfRule type="cellIs" dxfId="6274" priority="3507" operator="equal">
      <formula>0</formula>
    </cfRule>
    <cfRule type="cellIs" dxfId="6273" priority="3508" operator="notEqual">
      <formula>0</formula>
    </cfRule>
  </conditionalFormatting>
  <conditionalFormatting sqref="Q18">
    <cfRule type="cellIs" dxfId="6272" priority="3506" operator="equal">
      <formula>0</formula>
    </cfRule>
  </conditionalFormatting>
  <conditionalFormatting sqref="R15">
    <cfRule type="cellIs" dxfId="6271" priority="3504" operator="equal">
      <formula>0</formula>
    </cfRule>
    <cfRule type="cellIs" dxfId="6270" priority="3505" operator="notEqual">
      <formula>0</formula>
    </cfRule>
  </conditionalFormatting>
  <conditionalFormatting sqref="R18">
    <cfRule type="cellIs" dxfId="6269" priority="3503" operator="equal">
      <formula>0</formula>
    </cfRule>
  </conditionalFormatting>
  <conditionalFormatting sqref="S15">
    <cfRule type="cellIs" dxfId="6268" priority="3501" operator="equal">
      <formula>0</formula>
    </cfRule>
    <cfRule type="cellIs" dxfId="6267" priority="3502" operator="notEqual">
      <formula>0</formula>
    </cfRule>
  </conditionalFormatting>
  <conditionalFormatting sqref="S18">
    <cfRule type="cellIs" dxfId="6266" priority="3500" operator="equal">
      <formula>0</formula>
    </cfRule>
  </conditionalFormatting>
  <conditionalFormatting sqref="D20:D21">
    <cfRule type="cellIs" dxfId="6265" priority="3498" operator="equal">
      <formula>0</formula>
    </cfRule>
    <cfRule type="cellIs" dxfId="6264" priority="3499" operator="notEqual">
      <formula>0</formula>
    </cfRule>
  </conditionalFormatting>
  <conditionalFormatting sqref="D22">
    <cfRule type="cellIs" dxfId="6263" priority="3497" operator="equal">
      <formula>0</formula>
    </cfRule>
  </conditionalFormatting>
  <conditionalFormatting sqref="E20:E21">
    <cfRule type="cellIs" dxfId="6262" priority="3495" operator="equal">
      <formula>0</formula>
    </cfRule>
    <cfRule type="cellIs" dxfId="6261" priority="3496" operator="notEqual">
      <formula>0</formula>
    </cfRule>
  </conditionalFormatting>
  <conditionalFormatting sqref="E22">
    <cfRule type="cellIs" dxfId="6260" priority="3494" operator="equal">
      <formula>0</formula>
    </cfRule>
  </conditionalFormatting>
  <conditionalFormatting sqref="F20:F21">
    <cfRule type="cellIs" dxfId="6259" priority="3492" operator="equal">
      <formula>0</formula>
    </cfRule>
    <cfRule type="cellIs" dxfId="6258" priority="3493" operator="notEqual">
      <formula>0</formula>
    </cfRule>
  </conditionalFormatting>
  <conditionalFormatting sqref="F22">
    <cfRule type="cellIs" dxfId="6257" priority="3491" operator="equal">
      <formula>0</formula>
    </cfRule>
  </conditionalFormatting>
  <conditionalFormatting sqref="G20:G21">
    <cfRule type="cellIs" dxfId="6256" priority="3489" operator="equal">
      <formula>0</formula>
    </cfRule>
    <cfRule type="cellIs" dxfId="6255" priority="3490" operator="notEqual">
      <formula>0</formula>
    </cfRule>
  </conditionalFormatting>
  <conditionalFormatting sqref="G22">
    <cfRule type="cellIs" dxfId="6254" priority="3488" operator="equal">
      <formula>0</formula>
    </cfRule>
  </conditionalFormatting>
  <conditionalFormatting sqref="H20:H21">
    <cfRule type="cellIs" dxfId="6253" priority="3486" operator="equal">
      <formula>0</formula>
    </cfRule>
    <cfRule type="cellIs" dxfId="6252" priority="3487" operator="notEqual">
      <formula>0</formula>
    </cfRule>
  </conditionalFormatting>
  <conditionalFormatting sqref="H22">
    <cfRule type="cellIs" dxfId="6251" priority="3485" operator="equal">
      <formula>0</formula>
    </cfRule>
  </conditionalFormatting>
  <conditionalFormatting sqref="I20:I21">
    <cfRule type="cellIs" dxfId="6250" priority="3483" operator="equal">
      <formula>0</formula>
    </cfRule>
    <cfRule type="cellIs" dxfId="6249" priority="3484" operator="notEqual">
      <formula>0</formula>
    </cfRule>
  </conditionalFormatting>
  <conditionalFormatting sqref="I22">
    <cfRule type="cellIs" dxfId="6248" priority="3482" operator="equal">
      <formula>0</formula>
    </cfRule>
  </conditionalFormatting>
  <conditionalFormatting sqref="J20:J21">
    <cfRule type="cellIs" dxfId="6247" priority="3480" operator="equal">
      <formula>0</formula>
    </cfRule>
    <cfRule type="cellIs" dxfId="6246" priority="3481" operator="notEqual">
      <formula>0</formula>
    </cfRule>
  </conditionalFormatting>
  <conditionalFormatting sqref="J22">
    <cfRule type="cellIs" dxfId="6245" priority="3479" operator="equal">
      <formula>0</formula>
    </cfRule>
  </conditionalFormatting>
  <conditionalFormatting sqref="K20:K21">
    <cfRule type="cellIs" dxfId="6244" priority="3477" operator="equal">
      <formula>0</formula>
    </cfRule>
    <cfRule type="cellIs" dxfId="6243" priority="3478" operator="notEqual">
      <formula>0</formula>
    </cfRule>
  </conditionalFormatting>
  <conditionalFormatting sqref="K22">
    <cfRule type="cellIs" dxfId="6242" priority="3476" operator="equal">
      <formula>0</formula>
    </cfRule>
  </conditionalFormatting>
  <conditionalFormatting sqref="L22">
    <cfRule type="cellIs" dxfId="6241" priority="3475" operator="equal">
      <formula>0</formula>
    </cfRule>
  </conditionalFormatting>
  <conditionalFormatting sqref="M22">
    <cfRule type="cellIs" dxfId="6240" priority="3474" operator="equal">
      <formula>0</formula>
    </cfRule>
  </conditionalFormatting>
  <conditionalFormatting sqref="N22">
    <cfRule type="cellIs" dxfId="6239" priority="3473" operator="equal">
      <formula>0</formula>
    </cfRule>
  </conditionalFormatting>
  <conditionalFormatting sqref="O22">
    <cfRule type="cellIs" dxfId="6238" priority="3472" operator="equal">
      <formula>0</formula>
    </cfRule>
  </conditionalFormatting>
  <conditionalFormatting sqref="P19">
    <cfRule type="cellIs" dxfId="6237" priority="3470" operator="equal">
      <formula>0</formula>
    </cfRule>
    <cfRule type="cellIs" dxfId="6236" priority="3471" operator="notEqual">
      <formula>0</formula>
    </cfRule>
  </conditionalFormatting>
  <conditionalFormatting sqref="P22">
    <cfRule type="cellIs" dxfId="6235" priority="3469" operator="equal">
      <formula>0</formula>
    </cfRule>
  </conditionalFormatting>
  <conditionalFormatting sqref="Q19">
    <cfRule type="cellIs" dxfId="6234" priority="3467" operator="equal">
      <formula>0</formula>
    </cfRule>
    <cfRule type="cellIs" dxfId="6233" priority="3468" operator="notEqual">
      <formula>0</formula>
    </cfRule>
  </conditionalFormatting>
  <conditionalFormatting sqref="Q22">
    <cfRule type="cellIs" dxfId="6232" priority="3466" operator="equal">
      <formula>0</formula>
    </cfRule>
  </conditionalFormatting>
  <conditionalFormatting sqref="R19">
    <cfRule type="cellIs" dxfId="6231" priority="3464" operator="equal">
      <formula>0</formula>
    </cfRule>
    <cfRule type="cellIs" dxfId="6230" priority="3465" operator="notEqual">
      <formula>0</formula>
    </cfRule>
  </conditionalFormatting>
  <conditionalFormatting sqref="R22">
    <cfRule type="cellIs" dxfId="6229" priority="3463" operator="equal">
      <formula>0</formula>
    </cfRule>
  </conditionalFormatting>
  <conditionalFormatting sqref="S19">
    <cfRule type="cellIs" dxfId="6228" priority="3461" operator="equal">
      <formula>0</formula>
    </cfRule>
    <cfRule type="cellIs" dxfId="6227" priority="3462" operator="notEqual">
      <formula>0</formula>
    </cfRule>
  </conditionalFormatting>
  <conditionalFormatting sqref="S22">
    <cfRule type="cellIs" dxfId="6226" priority="3460" operator="equal">
      <formula>0</formula>
    </cfRule>
  </conditionalFormatting>
  <conditionalFormatting sqref="D24:D25">
    <cfRule type="cellIs" dxfId="6225" priority="3458" operator="equal">
      <formula>0</formula>
    </cfRule>
    <cfRule type="cellIs" dxfId="6224" priority="3459" operator="notEqual">
      <formula>0</formula>
    </cfRule>
  </conditionalFormatting>
  <conditionalFormatting sqref="D26">
    <cfRule type="cellIs" dxfId="6223" priority="3457" operator="equal">
      <formula>0</formula>
    </cfRule>
  </conditionalFormatting>
  <conditionalFormatting sqref="E24:E25">
    <cfRule type="cellIs" dxfId="6222" priority="3455" operator="equal">
      <formula>0</formula>
    </cfRule>
    <cfRule type="cellIs" dxfId="6221" priority="3456" operator="notEqual">
      <formula>0</formula>
    </cfRule>
  </conditionalFormatting>
  <conditionalFormatting sqref="E26">
    <cfRule type="cellIs" dxfId="6220" priority="3454" operator="equal">
      <formula>0</formula>
    </cfRule>
  </conditionalFormatting>
  <conditionalFormatting sqref="F24:F25">
    <cfRule type="cellIs" dxfId="6219" priority="3452" operator="equal">
      <formula>0</formula>
    </cfRule>
    <cfRule type="cellIs" dxfId="6218" priority="3453" operator="notEqual">
      <formula>0</formula>
    </cfRule>
  </conditionalFormatting>
  <conditionalFormatting sqref="F26">
    <cfRule type="cellIs" dxfId="6217" priority="3451" operator="equal">
      <formula>0</formula>
    </cfRule>
  </conditionalFormatting>
  <conditionalFormatting sqref="G24:G25">
    <cfRule type="cellIs" dxfId="6216" priority="3449" operator="equal">
      <formula>0</formula>
    </cfRule>
    <cfRule type="cellIs" dxfId="6215" priority="3450" operator="notEqual">
      <formula>0</formula>
    </cfRule>
  </conditionalFormatting>
  <conditionalFormatting sqref="G26">
    <cfRule type="cellIs" dxfId="6214" priority="3448" operator="equal">
      <formula>0</formula>
    </cfRule>
  </conditionalFormatting>
  <conditionalFormatting sqref="H24:H25">
    <cfRule type="cellIs" dxfId="6213" priority="3446" operator="equal">
      <formula>0</formula>
    </cfRule>
    <cfRule type="cellIs" dxfId="6212" priority="3447" operator="notEqual">
      <formula>0</formula>
    </cfRule>
  </conditionalFormatting>
  <conditionalFormatting sqref="H26">
    <cfRule type="cellIs" dxfId="6211" priority="3445" operator="equal">
      <formula>0</formula>
    </cfRule>
  </conditionalFormatting>
  <conditionalFormatting sqref="I24:I25">
    <cfRule type="cellIs" dxfId="6210" priority="3443" operator="equal">
      <formula>0</formula>
    </cfRule>
    <cfRule type="cellIs" dxfId="6209" priority="3444" operator="notEqual">
      <formula>0</formula>
    </cfRule>
  </conditionalFormatting>
  <conditionalFormatting sqref="I26">
    <cfRule type="cellIs" dxfId="6208" priority="3442" operator="equal">
      <formula>0</formula>
    </cfRule>
  </conditionalFormatting>
  <conditionalFormatting sqref="J24:J25">
    <cfRule type="cellIs" dxfId="6207" priority="3440" operator="equal">
      <formula>0</formula>
    </cfRule>
    <cfRule type="cellIs" dxfId="6206" priority="3441" operator="notEqual">
      <formula>0</formula>
    </cfRule>
  </conditionalFormatting>
  <conditionalFormatting sqref="J26">
    <cfRule type="cellIs" dxfId="6205" priority="3439" operator="equal">
      <formula>0</formula>
    </cfRule>
  </conditionalFormatting>
  <conditionalFormatting sqref="K24:K25">
    <cfRule type="cellIs" dxfId="6204" priority="3437" operator="equal">
      <formula>0</formula>
    </cfRule>
    <cfRule type="cellIs" dxfId="6203" priority="3438" operator="notEqual">
      <formula>0</formula>
    </cfRule>
  </conditionalFormatting>
  <conditionalFormatting sqref="K26">
    <cfRule type="cellIs" dxfId="6202" priority="3436" operator="equal">
      <formula>0</formula>
    </cfRule>
  </conditionalFormatting>
  <conditionalFormatting sqref="L26">
    <cfRule type="cellIs" dxfId="6201" priority="3435" operator="equal">
      <formula>0</formula>
    </cfRule>
  </conditionalFormatting>
  <conditionalFormatting sqref="M26">
    <cfRule type="cellIs" dxfId="6200" priority="3434" operator="equal">
      <formula>0</formula>
    </cfRule>
  </conditionalFormatting>
  <conditionalFormatting sqref="N26">
    <cfRule type="cellIs" dxfId="6199" priority="3433" operator="equal">
      <formula>0</formula>
    </cfRule>
  </conditionalFormatting>
  <conditionalFormatting sqref="O26">
    <cfRule type="cellIs" dxfId="6198" priority="3432" operator="equal">
      <formula>0</formula>
    </cfRule>
  </conditionalFormatting>
  <conditionalFormatting sqref="P23">
    <cfRule type="cellIs" dxfId="6197" priority="3430" operator="equal">
      <formula>0</formula>
    </cfRule>
    <cfRule type="cellIs" dxfId="6196" priority="3431" operator="notEqual">
      <formula>0</formula>
    </cfRule>
  </conditionalFormatting>
  <conditionalFormatting sqref="P26">
    <cfRule type="cellIs" dxfId="6195" priority="3429" operator="equal">
      <formula>0</formula>
    </cfRule>
  </conditionalFormatting>
  <conditionalFormatting sqref="Q23">
    <cfRule type="cellIs" dxfId="6194" priority="3427" operator="equal">
      <formula>0</formula>
    </cfRule>
    <cfRule type="cellIs" dxfId="6193" priority="3428" operator="notEqual">
      <formula>0</formula>
    </cfRule>
  </conditionalFormatting>
  <conditionalFormatting sqref="Q26">
    <cfRule type="cellIs" dxfId="6192" priority="3426" operator="equal">
      <formula>0</formula>
    </cfRule>
  </conditionalFormatting>
  <conditionalFormatting sqref="R23">
    <cfRule type="cellIs" dxfId="6191" priority="3424" operator="equal">
      <formula>0</formula>
    </cfRule>
    <cfRule type="cellIs" dxfId="6190" priority="3425" operator="notEqual">
      <formula>0</formula>
    </cfRule>
  </conditionalFormatting>
  <conditionalFormatting sqref="R26">
    <cfRule type="cellIs" dxfId="6189" priority="3423" operator="equal">
      <formula>0</formula>
    </cfRule>
  </conditionalFormatting>
  <conditionalFormatting sqref="S23">
    <cfRule type="cellIs" dxfId="6188" priority="3421" operator="equal">
      <formula>0</formula>
    </cfRule>
    <cfRule type="cellIs" dxfId="6187" priority="3422" operator="notEqual">
      <formula>0</formula>
    </cfRule>
  </conditionalFormatting>
  <conditionalFormatting sqref="S26">
    <cfRule type="cellIs" dxfId="6186" priority="3420" operator="equal">
      <formula>0</formula>
    </cfRule>
  </conditionalFormatting>
  <conditionalFormatting sqref="D28:D29">
    <cfRule type="cellIs" dxfId="6185" priority="3418" operator="equal">
      <formula>0</formula>
    </cfRule>
    <cfRule type="cellIs" dxfId="6184" priority="3419" operator="notEqual">
      <formula>0</formula>
    </cfRule>
  </conditionalFormatting>
  <conditionalFormatting sqref="D30">
    <cfRule type="cellIs" dxfId="6183" priority="3417" operator="equal">
      <formula>0</formula>
    </cfRule>
  </conditionalFormatting>
  <conditionalFormatting sqref="E28:E29">
    <cfRule type="cellIs" dxfId="6182" priority="3415" operator="equal">
      <formula>0</formula>
    </cfRule>
    <cfRule type="cellIs" dxfId="6181" priority="3416" operator="notEqual">
      <formula>0</formula>
    </cfRule>
  </conditionalFormatting>
  <conditionalFormatting sqref="E30">
    <cfRule type="cellIs" dxfId="6180" priority="3414" operator="equal">
      <formula>0</formula>
    </cfRule>
  </conditionalFormatting>
  <conditionalFormatting sqref="F28:F29">
    <cfRule type="cellIs" dxfId="6179" priority="3412" operator="equal">
      <formula>0</formula>
    </cfRule>
    <cfRule type="cellIs" dxfId="6178" priority="3413" operator="notEqual">
      <formula>0</formula>
    </cfRule>
  </conditionalFormatting>
  <conditionalFormatting sqref="F30">
    <cfRule type="cellIs" dxfId="6177" priority="3411" operator="equal">
      <formula>0</formula>
    </cfRule>
  </conditionalFormatting>
  <conditionalFormatting sqref="G28:G29">
    <cfRule type="cellIs" dxfId="6176" priority="3409" operator="equal">
      <formula>0</formula>
    </cfRule>
    <cfRule type="cellIs" dxfId="6175" priority="3410" operator="notEqual">
      <formula>0</formula>
    </cfRule>
  </conditionalFormatting>
  <conditionalFormatting sqref="G30">
    <cfRule type="cellIs" dxfId="6174" priority="3408" operator="equal">
      <formula>0</formula>
    </cfRule>
  </conditionalFormatting>
  <conditionalFormatting sqref="H28:H29">
    <cfRule type="cellIs" dxfId="6173" priority="3406" operator="equal">
      <formula>0</formula>
    </cfRule>
    <cfRule type="cellIs" dxfId="6172" priority="3407" operator="notEqual">
      <formula>0</formula>
    </cfRule>
  </conditionalFormatting>
  <conditionalFormatting sqref="H30">
    <cfRule type="cellIs" dxfId="6171" priority="3405" operator="equal">
      <formula>0</formula>
    </cfRule>
  </conditionalFormatting>
  <conditionalFormatting sqref="I28:I29">
    <cfRule type="cellIs" dxfId="6170" priority="3403" operator="equal">
      <formula>0</formula>
    </cfRule>
    <cfRule type="cellIs" dxfId="6169" priority="3404" operator="notEqual">
      <formula>0</formula>
    </cfRule>
  </conditionalFormatting>
  <conditionalFormatting sqref="I30">
    <cfRule type="cellIs" dxfId="6168" priority="3402" operator="equal">
      <formula>0</formula>
    </cfRule>
  </conditionalFormatting>
  <conditionalFormatting sqref="J28:J29">
    <cfRule type="cellIs" dxfId="6167" priority="3400" operator="equal">
      <formula>0</formula>
    </cfRule>
    <cfRule type="cellIs" dxfId="6166" priority="3401" operator="notEqual">
      <formula>0</formula>
    </cfRule>
  </conditionalFormatting>
  <conditionalFormatting sqref="J30">
    <cfRule type="cellIs" dxfId="6165" priority="3399" operator="equal">
      <formula>0</formula>
    </cfRule>
  </conditionalFormatting>
  <conditionalFormatting sqref="K28:K29">
    <cfRule type="cellIs" dxfId="6164" priority="3397" operator="equal">
      <formula>0</formula>
    </cfRule>
    <cfRule type="cellIs" dxfId="6163" priority="3398" operator="notEqual">
      <formula>0</formula>
    </cfRule>
  </conditionalFormatting>
  <conditionalFormatting sqref="K30">
    <cfRule type="cellIs" dxfId="6162" priority="3396" operator="equal">
      <formula>0</formula>
    </cfRule>
  </conditionalFormatting>
  <conditionalFormatting sqref="L30">
    <cfRule type="cellIs" dxfId="6161" priority="3395" operator="equal">
      <formula>0</formula>
    </cfRule>
  </conditionalFormatting>
  <conditionalFormatting sqref="M30">
    <cfRule type="cellIs" dxfId="6160" priority="3394" operator="equal">
      <formula>0</formula>
    </cfRule>
  </conditionalFormatting>
  <conditionalFormatting sqref="N30">
    <cfRule type="cellIs" dxfId="6159" priority="3393" operator="equal">
      <formula>0</formula>
    </cfRule>
  </conditionalFormatting>
  <conditionalFormatting sqref="O30">
    <cfRule type="cellIs" dxfId="6158" priority="3392" operator="equal">
      <formula>0</formula>
    </cfRule>
  </conditionalFormatting>
  <conditionalFormatting sqref="P27">
    <cfRule type="cellIs" dxfId="6157" priority="3390" operator="equal">
      <formula>0</formula>
    </cfRule>
    <cfRule type="cellIs" dxfId="6156" priority="3391" operator="notEqual">
      <formula>0</formula>
    </cfRule>
  </conditionalFormatting>
  <conditionalFormatting sqref="P30">
    <cfRule type="cellIs" dxfId="6155" priority="3389" operator="equal">
      <formula>0</formula>
    </cfRule>
  </conditionalFormatting>
  <conditionalFormatting sqref="Q27">
    <cfRule type="cellIs" dxfId="6154" priority="3387" operator="equal">
      <formula>0</formula>
    </cfRule>
    <cfRule type="cellIs" dxfId="6153" priority="3388" operator="notEqual">
      <formula>0</formula>
    </cfRule>
  </conditionalFormatting>
  <conditionalFormatting sqref="Q30">
    <cfRule type="cellIs" dxfId="6152" priority="3386" operator="equal">
      <formula>0</formula>
    </cfRule>
  </conditionalFormatting>
  <conditionalFormatting sqref="R27">
    <cfRule type="cellIs" dxfId="6151" priority="3384" operator="equal">
      <formula>0</formula>
    </cfRule>
    <cfRule type="cellIs" dxfId="6150" priority="3385" operator="notEqual">
      <formula>0</formula>
    </cfRule>
  </conditionalFormatting>
  <conditionalFormatting sqref="R30">
    <cfRule type="cellIs" dxfId="6149" priority="3383" operator="equal">
      <formula>0</formula>
    </cfRule>
  </conditionalFormatting>
  <conditionalFormatting sqref="S27">
    <cfRule type="cellIs" dxfId="6148" priority="3381" operator="equal">
      <formula>0</formula>
    </cfRule>
    <cfRule type="cellIs" dxfId="6147" priority="3382" operator="notEqual">
      <formula>0</formula>
    </cfRule>
  </conditionalFormatting>
  <conditionalFormatting sqref="S30">
    <cfRule type="cellIs" dxfId="6146" priority="3380" operator="equal">
      <formula>0</formula>
    </cfRule>
  </conditionalFormatting>
  <conditionalFormatting sqref="D32:D33">
    <cfRule type="cellIs" dxfId="6145" priority="3378" operator="equal">
      <formula>0</formula>
    </cfRule>
    <cfRule type="cellIs" dxfId="6144" priority="3379" operator="notEqual">
      <formula>0</formula>
    </cfRule>
  </conditionalFormatting>
  <conditionalFormatting sqref="D34">
    <cfRule type="cellIs" dxfId="6143" priority="3377" operator="equal">
      <formula>0</formula>
    </cfRule>
  </conditionalFormatting>
  <conditionalFormatting sqref="E32:E33">
    <cfRule type="cellIs" dxfId="6142" priority="3375" operator="equal">
      <formula>0</formula>
    </cfRule>
    <cfRule type="cellIs" dxfId="6141" priority="3376" operator="notEqual">
      <formula>0</formula>
    </cfRule>
  </conditionalFormatting>
  <conditionalFormatting sqref="E34">
    <cfRule type="cellIs" dxfId="6140" priority="3374" operator="equal">
      <formula>0</formula>
    </cfRule>
  </conditionalFormatting>
  <conditionalFormatting sqref="F32:F33">
    <cfRule type="cellIs" dxfId="6139" priority="3372" operator="equal">
      <formula>0</formula>
    </cfRule>
    <cfRule type="cellIs" dxfId="6138" priority="3373" operator="notEqual">
      <formula>0</formula>
    </cfRule>
  </conditionalFormatting>
  <conditionalFormatting sqref="F34">
    <cfRule type="cellIs" dxfId="6137" priority="3371" operator="equal">
      <formula>0</formula>
    </cfRule>
  </conditionalFormatting>
  <conditionalFormatting sqref="G32:G33">
    <cfRule type="cellIs" dxfId="6136" priority="3369" operator="equal">
      <formula>0</formula>
    </cfRule>
    <cfRule type="cellIs" dxfId="6135" priority="3370" operator="notEqual">
      <formula>0</formula>
    </cfRule>
  </conditionalFormatting>
  <conditionalFormatting sqref="G34">
    <cfRule type="cellIs" dxfId="6134" priority="3368" operator="equal">
      <formula>0</formula>
    </cfRule>
  </conditionalFormatting>
  <conditionalFormatting sqref="H32:H33">
    <cfRule type="cellIs" dxfId="6133" priority="3366" operator="equal">
      <formula>0</formula>
    </cfRule>
    <cfRule type="cellIs" dxfId="6132" priority="3367" operator="notEqual">
      <formula>0</formula>
    </cfRule>
  </conditionalFormatting>
  <conditionalFormatting sqref="H34">
    <cfRule type="cellIs" dxfId="6131" priority="3365" operator="equal">
      <formula>0</formula>
    </cfRule>
  </conditionalFormatting>
  <conditionalFormatting sqref="I32:I33">
    <cfRule type="cellIs" dxfId="6130" priority="3363" operator="equal">
      <formula>0</formula>
    </cfRule>
    <cfRule type="cellIs" dxfId="6129" priority="3364" operator="notEqual">
      <formula>0</formula>
    </cfRule>
  </conditionalFormatting>
  <conditionalFormatting sqref="I34">
    <cfRule type="cellIs" dxfId="6128" priority="3362" operator="equal">
      <formula>0</formula>
    </cfRule>
  </conditionalFormatting>
  <conditionalFormatting sqref="J32:J33">
    <cfRule type="cellIs" dxfId="6127" priority="3360" operator="equal">
      <formula>0</formula>
    </cfRule>
    <cfRule type="cellIs" dxfId="6126" priority="3361" operator="notEqual">
      <formula>0</formula>
    </cfRule>
  </conditionalFormatting>
  <conditionalFormatting sqref="J34">
    <cfRule type="cellIs" dxfId="6125" priority="3359" operator="equal">
      <formula>0</formula>
    </cfRule>
  </conditionalFormatting>
  <conditionalFormatting sqref="K32:K33">
    <cfRule type="cellIs" dxfId="6124" priority="3357" operator="equal">
      <formula>0</formula>
    </cfRule>
    <cfRule type="cellIs" dxfId="6123" priority="3358" operator="notEqual">
      <formula>0</formula>
    </cfRule>
  </conditionalFormatting>
  <conditionalFormatting sqref="K34">
    <cfRule type="cellIs" dxfId="6122" priority="3356" operator="equal">
      <formula>0</formula>
    </cfRule>
  </conditionalFormatting>
  <conditionalFormatting sqref="L34">
    <cfRule type="cellIs" dxfId="6121" priority="3355" operator="equal">
      <formula>0</formula>
    </cfRule>
  </conditionalFormatting>
  <conditionalFormatting sqref="M34">
    <cfRule type="cellIs" dxfId="6120" priority="3354" operator="equal">
      <formula>0</formula>
    </cfRule>
  </conditionalFormatting>
  <conditionalFormatting sqref="N34">
    <cfRule type="cellIs" dxfId="6119" priority="3353" operator="equal">
      <formula>0</formula>
    </cfRule>
  </conditionalFormatting>
  <conditionalFormatting sqref="O34">
    <cfRule type="cellIs" dxfId="6118" priority="3352" operator="equal">
      <formula>0</formula>
    </cfRule>
  </conditionalFormatting>
  <conditionalFormatting sqref="P31">
    <cfRule type="cellIs" dxfId="6117" priority="3350" operator="equal">
      <formula>0</formula>
    </cfRule>
    <cfRule type="cellIs" dxfId="6116" priority="3351" operator="notEqual">
      <formula>0</formula>
    </cfRule>
  </conditionalFormatting>
  <conditionalFormatting sqref="P34">
    <cfRule type="cellIs" dxfId="6115" priority="3349" operator="equal">
      <formula>0</formula>
    </cfRule>
  </conditionalFormatting>
  <conditionalFormatting sqref="Q31">
    <cfRule type="cellIs" dxfId="6114" priority="3347" operator="equal">
      <formula>0</formula>
    </cfRule>
    <cfRule type="cellIs" dxfId="6113" priority="3348" operator="notEqual">
      <formula>0</formula>
    </cfRule>
  </conditionalFormatting>
  <conditionalFormatting sqref="Q34">
    <cfRule type="cellIs" dxfId="6112" priority="3346" operator="equal">
      <formula>0</formula>
    </cfRule>
  </conditionalFormatting>
  <conditionalFormatting sqref="R31">
    <cfRule type="cellIs" dxfId="6111" priority="3344" operator="equal">
      <formula>0</formula>
    </cfRule>
    <cfRule type="cellIs" dxfId="6110" priority="3345" operator="notEqual">
      <formula>0</formula>
    </cfRule>
  </conditionalFormatting>
  <conditionalFormatting sqref="R34">
    <cfRule type="cellIs" dxfId="6109" priority="3343" operator="equal">
      <formula>0</formula>
    </cfRule>
  </conditionalFormatting>
  <conditionalFormatting sqref="S31">
    <cfRule type="cellIs" dxfId="6108" priority="3341" operator="equal">
      <formula>0</formula>
    </cfRule>
    <cfRule type="cellIs" dxfId="6107" priority="3342" operator="notEqual">
      <formula>0</formula>
    </cfRule>
  </conditionalFormatting>
  <conditionalFormatting sqref="S34">
    <cfRule type="cellIs" dxfId="6106" priority="3340" operator="equal">
      <formula>0</formula>
    </cfRule>
  </conditionalFormatting>
  <conditionalFormatting sqref="D36:D37">
    <cfRule type="cellIs" dxfId="6105" priority="3338" operator="equal">
      <formula>0</formula>
    </cfRule>
    <cfRule type="cellIs" dxfId="6104" priority="3339" operator="notEqual">
      <formula>0</formula>
    </cfRule>
  </conditionalFormatting>
  <conditionalFormatting sqref="D38">
    <cfRule type="cellIs" dxfId="6103" priority="3337" operator="equal">
      <formula>0</formula>
    </cfRule>
  </conditionalFormatting>
  <conditionalFormatting sqref="E36:E37">
    <cfRule type="cellIs" dxfId="6102" priority="3335" operator="equal">
      <formula>0</formula>
    </cfRule>
    <cfRule type="cellIs" dxfId="6101" priority="3336" operator="notEqual">
      <formula>0</formula>
    </cfRule>
  </conditionalFormatting>
  <conditionalFormatting sqref="E38">
    <cfRule type="cellIs" dxfId="6100" priority="3334" operator="equal">
      <formula>0</formula>
    </cfRule>
  </conditionalFormatting>
  <conditionalFormatting sqref="F36:F37">
    <cfRule type="cellIs" dxfId="6099" priority="3332" operator="equal">
      <formula>0</formula>
    </cfRule>
    <cfRule type="cellIs" dxfId="6098" priority="3333" operator="notEqual">
      <formula>0</formula>
    </cfRule>
  </conditionalFormatting>
  <conditionalFormatting sqref="F38">
    <cfRule type="cellIs" dxfId="6097" priority="3331" operator="equal">
      <formula>0</formula>
    </cfRule>
  </conditionalFormatting>
  <conditionalFormatting sqref="G36:G37">
    <cfRule type="cellIs" dxfId="6096" priority="3329" operator="equal">
      <formula>0</formula>
    </cfRule>
    <cfRule type="cellIs" dxfId="6095" priority="3330" operator="notEqual">
      <formula>0</formula>
    </cfRule>
  </conditionalFormatting>
  <conditionalFormatting sqref="G38">
    <cfRule type="cellIs" dxfId="6094" priority="3328" operator="equal">
      <formula>0</formula>
    </cfRule>
  </conditionalFormatting>
  <conditionalFormatting sqref="H36:H37">
    <cfRule type="cellIs" dxfId="6093" priority="3326" operator="equal">
      <formula>0</formula>
    </cfRule>
    <cfRule type="cellIs" dxfId="6092" priority="3327" operator="notEqual">
      <formula>0</formula>
    </cfRule>
  </conditionalFormatting>
  <conditionalFormatting sqref="H38">
    <cfRule type="cellIs" dxfId="6091" priority="3325" operator="equal">
      <formula>0</formula>
    </cfRule>
  </conditionalFormatting>
  <conditionalFormatting sqref="I36:I37">
    <cfRule type="cellIs" dxfId="6090" priority="3323" operator="equal">
      <formula>0</formula>
    </cfRule>
    <cfRule type="cellIs" dxfId="6089" priority="3324" operator="notEqual">
      <formula>0</formula>
    </cfRule>
  </conditionalFormatting>
  <conditionalFormatting sqref="I38">
    <cfRule type="cellIs" dxfId="6088" priority="3322" operator="equal">
      <formula>0</formula>
    </cfRule>
  </conditionalFormatting>
  <conditionalFormatting sqref="J36:J37">
    <cfRule type="cellIs" dxfId="6087" priority="3320" operator="equal">
      <formula>0</formula>
    </cfRule>
    <cfRule type="cellIs" dxfId="6086" priority="3321" operator="notEqual">
      <formula>0</formula>
    </cfRule>
  </conditionalFormatting>
  <conditionalFormatting sqref="J38">
    <cfRule type="cellIs" dxfId="6085" priority="3319" operator="equal">
      <formula>0</formula>
    </cfRule>
  </conditionalFormatting>
  <conditionalFormatting sqref="K36:K37">
    <cfRule type="cellIs" dxfId="6084" priority="3317" operator="equal">
      <formula>0</formula>
    </cfRule>
    <cfRule type="cellIs" dxfId="6083" priority="3318" operator="notEqual">
      <formula>0</formula>
    </cfRule>
  </conditionalFormatting>
  <conditionalFormatting sqref="K38">
    <cfRule type="cellIs" dxfId="6082" priority="3316" operator="equal">
      <formula>0</formula>
    </cfRule>
  </conditionalFormatting>
  <conditionalFormatting sqref="L38">
    <cfRule type="cellIs" dxfId="6081" priority="3315" operator="equal">
      <formula>0</formula>
    </cfRule>
  </conditionalFormatting>
  <conditionalFormatting sqref="M38">
    <cfRule type="cellIs" dxfId="6080" priority="3314" operator="equal">
      <formula>0</formula>
    </cfRule>
  </conditionalFormatting>
  <conditionalFormatting sqref="N38">
    <cfRule type="cellIs" dxfId="6079" priority="3313" operator="equal">
      <formula>0</formula>
    </cfRule>
  </conditionalFormatting>
  <conditionalFormatting sqref="O38">
    <cfRule type="cellIs" dxfId="6078" priority="3312" operator="equal">
      <formula>0</formula>
    </cfRule>
  </conditionalFormatting>
  <conditionalFormatting sqref="P35">
    <cfRule type="cellIs" dxfId="6077" priority="3310" operator="equal">
      <formula>0</formula>
    </cfRule>
    <cfRule type="cellIs" dxfId="6076" priority="3311" operator="notEqual">
      <formula>0</formula>
    </cfRule>
  </conditionalFormatting>
  <conditionalFormatting sqref="P38">
    <cfRule type="cellIs" dxfId="6075" priority="3309" operator="equal">
      <formula>0</formula>
    </cfRule>
  </conditionalFormatting>
  <conditionalFormatting sqref="Q35">
    <cfRule type="cellIs" dxfId="6074" priority="3307" operator="equal">
      <formula>0</formula>
    </cfRule>
    <cfRule type="cellIs" dxfId="6073" priority="3308" operator="notEqual">
      <formula>0</formula>
    </cfRule>
  </conditionalFormatting>
  <conditionalFormatting sqref="Q38">
    <cfRule type="cellIs" dxfId="6072" priority="3306" operator="equal">
      <formula>0</formula>
    </cfRule>
  </conditionalFormatting>
  <conditionalFormatting sqref="R35">
    <cfRule type="cellIs" dxfId="6071" priority="3304" operator="equal">
      <formula>0</formula>
    </cfRule>
    <cfRule type="cellIs" dxfId="6070" priority="3305" operator="notEqual">
      <formula>0</formula>
    </cfRule>
  </conditionalFormatting>
  <conditionalFormatting sqref="R38">
    <cfRule type="cellIs" dxfId="6069" priority="3303" operator="equal">
      <formula>0</formula>
    </cfRule>
  </conditionalFormatting>
  <conditionalFormatting sqref="S35">
    <cfRule type="cellIs" dxfId="6068" priority="3301" operator="equal">
      <formula>0</formula>
    </cfRule>
    <cfRule type="cellIs" dxfId="6067" priority="3302" operator="notEqual">
      <formula>0</formula>
    </cfRule>
  </conditionalFormatting>
  <conditionalFormatting sqref="S38">
    <cfRule type="cellIs" dxfId="6066" priority="3300" operator="equal">
      <formula>0</formula>
    </cfRule>
  </conditionalFormatting>
  <conditionalFormatting sqref="D40:D41">
    <cfRule type="cellIs" dxfId="6065" priority="3298" operator="equal">
      <formula>0</formula>
    </cfRule>
    <cfRule type="cellIs" dxfId="6064" priority="3299" operator="notEqual">
      <formula>0</formula>
    </cfRule>
  </conditionalFormatting>
  <conditionalFormatting sqref="D42">
    <cfRule type="cellIs" dxfId="6063" priority="3297" operator="equal">
      <formula>0</formula>
    </cfRule>
  </conditionalFormatting>
  <conditionalFormatting sqref="E40:E41">
    <cfRule type="cellIs" dxfId="6062" priority="3295" operator="equal">
      <formula>0</formula>
    </cfRule>
    <cfRule type="cellIs" dxfId="6061" priority="3296" operator="notEqual">
      <formula>0</formula>
    </cfRule>
  </conditionalFormatting>
  <conditionalFormatting sqref="E42">
    <cfRule type="cellIs" dxfId="6060" priority="3294" operator="equal">
      <formula>0</formula>
    </cfRule>
  </conditionalFormatting>
  <conditionalFormatting sqref="F40:F41">
    <cfRule type="cellIs" dxfId="6059" priority="3292" operator="equal">
      <formula>0</formula>
    </cfRule>
    <cfRule type="cellIs" dxfId="6058" priority="3293" operator="notEqual">
      <formula>0</formula>
    </cfRule>
  </conditionalFormatting>
  <conditionalFormatting sqref="F42">
    <cfRule type="cellIs" dxfId="6057" priority="3291" operator="equal">
      <formula>0</formula>
    </cfRule>
  </conditionalFormatting>
  <conditionalFormatting sqref="G40:G41">
    <cfRule type="cellIs" dxfId="6056" priority="3289" operator="equal">
      <formula>0</formula>
    </cfRule>
    <cfRule type="cellIs" dxfId="6055" priority="3290" operator="notEqual">
      <formula>0</formula>
    </cfRule>
  </conditionalFormatting>
  <conditionalFormatting sqref="G42">
    <cfRule type="cellIs" dxfId="6054" priority="3288" operator="equal">
      <formula>0</formula>
    </cfRule>
  </conditionalFormatting>
  <conditionalFormatting sqref="H40:H41">
    <cfRule type="cellIs" dxfId="6053" priority="3286" operator="equal">
      <formula>0</formula>
    </cfRule>
    <cfRule type="cellIs" dxfId="6052" priority="3287" operator="notEqual">
      <formula>0</formula>
    </cfRule>
  </conditionalFormatting>
  <conditionalFormatting sqref="H42">
    <cfRule type="cellIs" dxfId="6051" priority="3285" operator="equal">
      <formula>0</formula>
    </cfRule>
  </conditionalFormatting>
  <conditionalFormatting sqref="I40:I41">
    <cfRule type="cellIs" dxfId="6050" priority="3283" operator="equal">
      <formula>0</formula>
    </cfRule>
    <cfRule type="cellIs" dxfId="6049" priority="3284" operator="notEqual">
      <formula>0</formula>
    </cfRule>
  </conditionalFormatting>
  <conditionalFormatting sqref="I42">
    <cfRule type="cellIs" dxfId="6048" priority="3282" operator="equal">
      <formula>0</formula>
    </cfRule>
  </conditionalFormatting>
  <conditionalFormatting sqref="J40:J41">
    <cfRule type="cellIs" dxfId="6047" priority="3280" operator="equal">
      <formula>0</formula>
    </cfRule>
    <cfRule type="cellIs" dxfId="6046" priority="3281" operator="notEqual">
      <formula>0</formula>
    </cfRule>
  </conditionalFormatting>
  <conditionalFormatting sqref="J42">
    <cfRule type="cellIs" dxfId="6045" priority="3279" operator="equal">
      <formula>0</formula>
    </cfRule>
  </conditionalFormatting>
  <conditionalFormatting sqref="K40:K41">
    <cfRule type="cellIs" dxfId="6044" priority="3277" operator="equal">
      <formula>0</formula>
    </cfRule>
    <cfRule type="cellIs" dxfId="6043" priority="3278" operator="notEqual">
      <formula>0</formula>
    </cfRule>
  </conditionalFormatting>
  <conditionalFormatting sqref="K42">
    <cfRule type="cellIs" dxfId="6042" priority="3276" operator="equal">
      <formula>0</formula>
    </cfRule>
  </conditionalFormatting>
  <conditionalFormatting sqref="L42">
    <cfRule type="cellIs" dxfId="6041" priority="3275" operator="equal">
      <formula>0</formula>
    </cfRule>
  </conditionalFormatting>
  <conditionalFormatting sqref="M42">
    <cfRule type="cellIs" dxfId="6040" priority="3274" operator="equal">
      <formula>0</formula>
    </cfRule>
  </conditionalFormatting>
  <conditionalFormatting sqref="N42">
    <cfRule type="cellIs" dxfId="6039" priority="3273" operator="equal">
      <formula>0</formula>
    </cfRule>
  </conditionalFormatting>
  <conditionalFormatting sqref="O42">
    <cfRule type="cellIs" dxfId="6038" priority="3272" operator="equal">
      <formula>0</formula>
    </cfRule>
  </conditionalFormatting>
  <conditionalFormatting sqref="P39">
    <cfRule type="cellIs" dxfId="6037" priority="3270" operator="equal">
      <formula>0</formula>
    </cfRule>
    <cfRule type="cellIs" dxfId="6036" priority="3271" operator="notEqual">
      <formula>0</formula>
    </cfRule>
  </conditionalFormatting>
  <conditionalFormatting sqref="P42">
    <cfRule type="cellIs" dxfId="6035" priority="3269" operator="equal">
      <formula>0</formula>
    </cfRule>
  </conditionalFormatting>
  <conditionalFormatting sqref="Q39">
    <cfRule type="cellIs" dxfId="6034" priority="3267" operator="equal">
      <formula>0</formula>
    </cfRule>
    <cfRule type="cellIs" dxfId="6033" priority="3268" operator="notEqual">
      <formula>0</formula>
    </cfRule>
  </conditionalFormatting>
  <conditionalFormatting sqref="Q42">
    <cfRule type="cellIs" dxfId="6032" priority="3266" operator="equal">
      <formula>0</formula>
    </cfRule>
  </conditionalFormatting>
  <conditionalFormatting sqref="R39">
    <cfRule type="cellIs" dxfId="6031" priority="3264" operator="equal">
      <formula>0</formula>
    </cfRule>
    <cfRule type="cellIs" dxfId="6030" priority="3265" operator="notEqual">
      <formula>0</formula>
    </cfRule>
  </conditionalFormatting>
  <conditionalFormatting sqref="R42">
    <cfRule type="cellIs" dxfId="6029" priority="3263" operator="equal">
      <formula>0</formula>
    </cfRule>
  </conditionalFormatting>
  <conditionalFormatting sqref="S39">
    <cfRule type="cellIs" dxfId="6028" priority="3261" operator="equal">
      <formula>0</formula>
    </cfRule>
    <cfRule type="cellIs" dxfId="6027" priority="3262" operator="notEqual">
      <formula>0</formula>
    </cfRule>
  </conditionalFormatting>
  <conditionalFormatting sqref="S42">
    <cfRule type="cellIs" dxfId="6026" priority="3260" operator="equal">
      <formula>0</formula>
    </cfRule>
  </conditionalFormatting>
  <conditionalFormatting sqref="D44:D45">
    <cfRule type="cellIs" dxfId="6025" priority="3258" operator="equal">
      <formula>0</formula>
    </cfRule>
    <cfRule type="cellIs" dxfId="6024" priority="3259" operator="notEqual">
      <formula>0</formula>
    </cfRule>
  </conditionalFormatting>
  <conditionalFormatting sqref="D46">
    <cfRule type="cellIs" dxfId="6023" priority="3257" operator="equal">
      <formula>0</formula>
    </cfRule>
  </conditionalFormatting>
  <conditionalFormatting sqref="E44:E45">
    <cfRule type="cellIs" dxfId="6022" priority="3255" operator="equal">
      <formula>0</formula>
    </cfRule>
    <cfRule type="cellIs" dxfId="6021" priority="3256" operator="notEqual">
      <formula>0</formula>
    </cfRule>
  </conditionalFormatting>
  <conditionalFormatting sqref="E46">
    <cfRule type="cellIs" dxfId="6020" priority="3254" operator="equal">
      <formula>0</formula>
    </cfRule>
  </conditionalFormatting>
  <conditionalFormatting sqref="F44:F45">
    <cfRule type="cellIs" dxfId="6019" priority="3252" operator="equal">
      <formula>0</formula>
    </cfRule>
    <cfRule type="cellIs" dxfId="6018" priority="3253" operator="notEqual">
      <formula>0</formula>
    </cfRule>
  </conditionalFormatting>
  <conditionalFormatting sqref="F46">
    <cfRule type="cellIs" dxfId="6017" priority="3251" operator="equal">
      <formula>0</formula>
    </cfRule>
  </conditionalFormatting>
  <conditionalFormatting sqref="G44:G45">
    <cfRule type="cellIs" dxfId="6016" priority="3249" operator="equal">
      <formula>0</formula>
    </cfRule>
    <cfRule type="cellIs" dxfId="6015" priority="3250" operator="notEqual">
      <formula>0</formula>
    </cfRule>
  </conditionalFormatting>
  <conditionalFormatting sqref="G46">
    <cfRule type="cellIs" dxfId="6014" priority="3248" operator="equal">
      <formula>0</formula>
    </cfRule>
  </conditionalFormatting>
  <conditionalFormatting sqref="H44:H45">
    <cfRule type="cellIs" dxfId="6013" priority="3246" operator="equal">
      <formula>0</formula>
    </cfRule>
    <cfRule type="cellIs" dxfId="6012" priority="3247" operator="notEqual">
      <formula>0</formula>
    </cfRule>
  </conditionalFormatting>
  <conditionalFormatting sqref="H46">
    <cfRule type="cellIs" dxfId="6011" priority="3245" operator="equal">
      <formula>0</formula>
    </cfRule>
  </conditionalFormatting>
  <conditionalFormatting sqref="I44:I45">
    <cfRule type="cellIs" dxfId="6010" priority="3243" operator="equal">
      <formula>0</formula>
    </cfRule>
    <cfRule type="cellIs" dxfId="6009" priority="3244" operator="notEqual">
      <formula>0</formula>
    </cfRule>
  </conditionalFormatting>
  <conditionalFormatting sqref="I46">
    <cfRule type="cellIs" dxfId="6008" priority="3242" operator="equal">
      <formula>0</formula>
    </cfRule>
  </conditionalFormatting>
  <conditionalFormatting sqref="J44:J45">
    <cfRule type="cellIs" dxfId="6007" priority="3240" operator="equal">
      <formula>0</formula>
    </cfRule>
    <cfRule type="cellIs" dxfId="6006" priority="3241" operator="notEqual">
      <formula>0</formula>
    </cfRule>
  </conditionalFormatting>
  <conditionalFormatting sqref="J46">
    <cfRule type="cellIs" dxfId="6005" priority="3239" operator="equal">
      <formula>0</formula>
    </cfRule>
  </conditionalFormatting>
  <conditionalFormatting sqref="K44:K45">
    <cfRule type="cellIs" dxfId="6004" priority="3237" operator="equal">
      <formula>0</formula>
    </cfRule>
    <cfRule type="cellIs" dxfId="6003" priority="3238" operator="notEqual">
      <formula>0</formula>
    </cfRule>
  </conditionalFormatting>
  <conditionalFormatting sqref="K46">
    <cfRule type="cellIs" dxfId="6002" priority="3236" operator="equal">
      <formula>0</formula>
    </cfRule>
  </conditionalFormatting>
  <conditionalFormatting sqref="L46">
    <cfRule type="cellIs" dxfId="6001" priority="3235" operator="equal">
      <formula>0</formula>
    </cfRule>
  </conditionalFormatting>
  <conditionalFormatting sqref="M46">
    <cfRule type="cellIs" dxfId="6000" priority="3234" operator="equal">
      <formula>0</formula>
    </cfRule>
  </conditionalFormatting>
  <conditionalFormatting sqref="N46">
    <cfRule type="cellIs" dxfId="5999" priority="3233" operator="equal">
      <formula>0</formula>
    </cfRule>
  </conditionalFormatting>
  <conditionalFormatting sqref="O46">
    <cfRule type="cellIs" dxfId="5998" priority="3232" operator="equal">
      <formula>0</formula>
    </cfRule>
  </conditionalFormatting>
  <conditionalFormatting sqref="P43">
    <cfRule type="cellIs" dxfId="5997" priority="3230" operator="equal">
      <formula>0</formula>
    </cfRule>
    <cfRule type="cellIs" dxfId="5996" priority="3231" operator="notEqual">
      <formula>0</formula>
    </cfRule>
  </conditionalFormatting>
  <conditionalFormatting sqref="P46">
    <cfRule type="cellIs" dxfId="5995" priority="3229" operator="equal">
      <formula>0</formula>
    </cfRule>
  </conditionalFormatting>
  <conditionalFormatting sqref="Q43">
    <cfRule type="cellIs" dxfId="5994" priority="3227" operator="equal">
      <formula>0</formula>
    </cfRule>
    <cfRule type="cellIs" dxfId="5993" priority="3228" operator="notEqual">
      <formula>0</formula>
    </cfRule>
  </conditionalFormatting>
  <conditionalFormatting sqref="Q46">
    <cfRule type="cellIs" dxfId="5992" priority="3226" operator="equal">
      <formula>0</formula>
    </cfRule>
  </conditionalFormatting>
  <conditionalFormatting sqref="R43">
    <cfRule type="cellIs" dxfId="5991" priority="3224" operator="equal">
      <formula>0</formula>
    </cfRule>
    <cfRule type="cellIs" dxfId="5990" priority="3225" operator="notEqual">
      <formula>0</formula>
    </cfRule>
  </conditionalFormatting>
  <conditionalFormatting sqref="R46">
    <cfRule type="cellIs" dxfId="5989" priority="3223" operator="equal">
      <formula>0</formula>
    </cfRule>
  </conditionalFormatting>
  <conditionalFormatting sqref="S43">
    <cfRule type="cellIs" dxfId="5988" priority="3221" operator="equal">
      <formula>0</formula>
    </cfRule>
    <cfRule type="cellIs" dxfId="5987" priority="3222" operator="notEqual">
      <formula>0</formula>
    </cfRule>
  </conditionalFormatting>
  <conditionalFormatting sqref="S46">
    <cfRule type="cellIs" dxfId="5986" priority="3220" operator="equal">
      <formula>0</formula>
    </cfRule>
  </conditionalFormatting>
  <conditionalFormatting sqref="D48:D49">
    <cfRule type="cellIs" dxfId="5985" priority="3218" operator="equal">
      <formula>0</formula>
    </cfRule>
    <cfRule type="cellIs" dxfId="5984" priority="3219" operator="notEqual">
      <formula>0</formula>
    </cfRule>
  </conditionalFormatting>
  <conditionalFormatting sqref="D50">
    <cfRule type="cellIs" dxfId="5983" priority="3217" operator="equal">
      <formula>0</formula>
    </cfRule>
  </conditionalFormatting>
  <conditionalFormatting sqref="E48:E49">
    <cfRule type="cellIs" dxfId="5982" priority="3215" operator="equal">
      <formula>0</formula>
    </cfRule>
    <cfRule type="cellIs" dxfId="5981" priority="3216" operator="notEqual">
      <formula>0</formula>
    </cfRule>
  </conditionalFormatting>
  <conditionalFormatting sqref="E50">
    <cfRule type="cellIs" dxfId="5980" priority="3214" operator="equal">
      <formula>0</formula>
    </cfRule>
  </conditionalFormatting>
  <conditionalFormatting sqref="F48:F49">
    <cfRule type="cellIs" dxfId="5979" priority="3212" operator="equal">
      <formula>0</formula>
    </cfRule>
    <cfRule type="cellIs" dxfId="5978" priority="3213" operator="notEqual">
      <formula>0</formula>
    </cfRule>
  </conditionalFormatting>
  <conditionalFormatting sqref="F50">
    <cfRule type="cellIs" dxfId="5977" priority="3211" operator="equal">
      <formula>0</formula>
    </cfRule>
  </conditionalFormatting>
  <conditionalFormatting sqref="G48:G49">
    <cfRule type="cellIs" dxfId="5976" priority="3209" operator="equal">
      <formula>0</formula>
    </cfRule>
    <cfRule type="cellIs" dxfId="5975" priority="3210" operator="notEqual">
      <formula>0</formula>
    </cfRule>
  </conditionalFormatting>
  <conditionalFormatting sqref="G50">
    <cfRule type="cellIs" dxfId="5974" priority="3208" operator="equal">
      <formula>0</formula>
    </cfRule>
  </conditionalFormatting>
  <conditionalFormatting sqref="H48:H49">
    <cfRule type="cellIs" dxfId="5973" priority="3206" operator="equal">
      <formula>0</formula>
    </cfRule>
    <cfRule type="cellIs" dxfId="5972" priority="3207" operator="notEqual">
      <formula>0</formula>
    </cfRule>
  </conditionalFormatting>
  <conditionalFormatting sqref="H50">
    <cfRule type="cellIs" dxfId="5971" priority="3205" operator="equal">
      <formula>0</formula>
    </cfRule>
  </conditionalFormatting>
  <conditionalFormatting sqref="I48:I49">
    <cfRule type="cellIs" dxfId="5970" priority="3203" operator="equal">
      <formula>0</formula>
    </cfRule>
    <cfRule type="cellIs" dxfId="5969" priority="3204" operator="notEqual">
      <formula>0</formula>
    </cfRule>
  </conditionalFormatting>
  <conditionalFormatting sqref="I50">
    <cfRule type="cellIs" dxfId="5968" priority="3202" operator="equal">
      <formula>0</formula>
    </cfRule>
  </conditionalFormatting>
  <conditionalFormatting sqref="J48:J49">
    <cfRule type="cellIs" dxfId="5967" priority="3200" operator="equal">
      <formula>0</formula>
    </cfRule>
    <cfRule type="cellIs" dxfId="5966" priority="3201" operator="notEqual">
      <formula>0</formula>
    </cfRule>
  </conditionalFormatting>
  <conditionalFormatting sqref="J50">
    <cfRule type="cellIs" dxfId="5965" priority="3199" operator="equal">
      <formula>0</formula>
    </cfRule>
  </conditionalFormatting>
  <conditionalFormatting sqref="K48:K49">
    <cfRule type="cellIs" dxfId="5964" priority="3197" operator="equal">
      <formula>0</formula>
    </cfRule>
    <cfRule type="cellIs" dxfId="5963" priority="3198" operator="notEqual">
      <formula>0</formula>
    </cfRule>
  </conditionalFormatting>
  <conditionalFormatting sqref="K50">
    <cfRule type="cellIs" dxfId="5962" priority="3196" operator="equal">
      <formula>0</formula>
    </cfRule>
  </conditionalFormatting>
  <conditionalFormatting sqref="L50">
    <cfRule type="cellIs" dxfId="5961" priority="3195" operator="equal">
      <formula>0</formula>
    </cfRule>
  </conditionalFormatting>
  <conditionalFormatting sqref="M50">
    <cfRule type="cellIs" dxfId="5960" priority="3194" operator="equal">
      <formula>0</formula>
    </cfRule>
  </conditionalFormatting>
  <conditionalFormatting sqref="N50">
    <cfRule type="cellIs" dxfId="5959" priority="3193" operator="equal">
      <formula>0</formula>
    </cfRule>
  </conditionalFormatting>
  <conditionalFormatting sqref="O50">
    <cfRule type="cellIs" dxfId="5958" priority="3192" operator="equal">
      <formula>0</formula>
    </cfRule>
  </conditionalFormatting>
  <conditionalFormatting sqref="P47">
    <cfRule type="cellIs" dxfId="5957" priority="3190" operator="equal">
      <formula>0</formula>
    </cfRule>
    <cfRule type="cellIs" dxfId="5956" priority="3191" operator="notEqual">
      <formula>0</formula>
    </cfRule>
  </conditionalFormatting>
  <conditionalFormatting sqref="P50">
    <cfRule type="cellIs" dxfId="5955" priority="3189" operator="equal">
      <formula>0</formula>
    </cfRule>
  </conditionalFormatting>
  <conditionalFormatting sqref="Q47">
    <cfRule type="cellIs" dxfId="5954" priority="3187" operator="equal">
      <formula>0</formula>
    </cfRule>
    <cfRule type="cellIs" dxfId="5953" priority="3188" operator="notEqual">
      <formula>0</formula>
    </cfRule>
  </conditionalFormatting>
  <conditionalFormatting sqref="Q50">
    <cfRule type="cellIs" dxfId="5952" priority="3186" operator="equal">
      <formula>0</formula>
    </cfRule>
  </conditionalFormatting>
  <conditionalFormatting sqref="R47">
    <cfRule type="cellIs" dxfId="5951" priority="3184" operator="equal">
      <formula>0</formula>
    </cfRule>
    <cfRule type="cellIs" dxfId="5950" priority="3185" operator="notEqual">
      <formula>0</formula>
    </cfRule>
  </conditionalFormatting>
  <conditionalFormatting sqref="R50">
    <cfRule type="cellIs" dxfId="5949" priority="3183" operator="equal">
      <formula>0</formula>
    </cfRule>
  </conditionalFormatting>
  <conditionalFormatting sqref="S47">
    <cfRule type="cellIs" dxfId="5948" priority="3181" operator="equal">
      <formula>0</formula>
    </cfRule>
    <cfRule type="cellIs" dxfId="5947" priority="3182" operator="notEqual">
      <formula>0</formula>
    </cfRule>
  </conditionalFormatting>
  <conditionalFormatting sqref="S50">
    <cfRule type="cellIs" dxfId="5946" priority="3180" operator="equal">
      <formula>0</formula>
    </cfRule>
  </conditionalFormatting>
  <conditionalFormatting sqref="D52:D53">
    <cfRule type="cellIs" dxfId="5945" priority="3178" operator="equal">
      <formula>0</formula>
    </cfRule>
    <cfRule type="cellIs" dxfId="5944" priority="3179" operator="notEqual">
      <formula>0</formula>
    </cfRule>
  </conditionalFormatting>
  <conditionalFormatting sqref="D54">
    <cfRule type="cellIs" dxfId="5943" priority="3177" operator="equal">
      <formula>0</formula>
    </cfRule>
  </conditionalFormatting>
  <conditionalFormatting sqref="E52:E53">
    <cfRule type="cellIs" dxfId="5942" priority="3175" operator="equal">
      <formula>0</formula>
    </cfRule>
    <cfRule type="cellIs" dxfId="5941" priority="3176" operator="notEqual">
      <formula>0</formula>
    </cfRule>
  </conditionalFormatting>
  <conditionalFormatting sqref="E54">
    <cfRule type="cellIs" dxfId="5940" priority="3174" operator="equal">
      <formula>0</formula>
    </cfRule>
  </conditionalFormatting>
  <conditionalFormatting sqref="F52:F53">
    <cfRule type="cellIs" dxfId="5939" priority="3172" operator="equal">
      <formula>0</formula>
    </cfRule>
    <cfRule type="cellIs" dxfId="5938" priority="3173" operator="notEqual">
      <formula>0</formula>
    </cfRule>
  </conditionalFormatting>
  <conditionalFormatting sqref="F54">
    <cfRule type="cellIs" dxfId="5937" priority="3171" operator="equal">
      <formula>0</formula>
    </cfRule>
  </conditionalFormatting>
  <conditionalFormatting sqref="G52:G53">
    <cfRule type="cellIs" dxfId="5936" priority="3169" operator="equal">
      <formula>0</formula>
    </cfRule>
    <cfRule type="cellIs" dxfId="5935" priority="3170" operator="notEqual">
      <formula>0</formula>
    </cfRule>
  </conditionalFormatting>
  <conditionalFormatting sqref="G54">
    <cfRule type="cellIs" dxfId="5934" priority="3168" operator="equal">
      <formula>0</formula>
    </cfRule>
  </conditionalFormatting>
  <conditionalFormatting sqref="H52:H53">
    <cfRule type="cellIs" dxfId="5933" priority="3166" operator="equal">
      <formula>0</formula>
    </cfRule>
    <cfRule type="cellIs" dxfId="5932" priority="3167" operator="notEqual">
      <formula>0</formula>
    </cfRule>
  </conditionalFormatting>
  <conditionalFormatting sqref="H54">
    <cfRule type="cellIs" dxfId="5931" priority="3165" operator="equal">
      <formula>0</formula>
    </cfRule>
  </conditionalFormatting>
  <conditionalFormatting sqref="I52:I53">
    <cfRule type="cellIs" dxfId="5930" priority="3163" operator="equal">
      <formula>0</formula>
    </cfRule>
    <cfRule type="cellIs" dxfId="5929" priority="3164" operator="notEqual">
      <formula>0</formula>
    </cfRule>
  </conditionalFormatting>
  <conditionalFormatting sqref="I54">
    <cfRule type="cellIs" dxfId="5928" priority="3162" operator="equal">
      <formula>0</formula>
    </cfRule>
  </conditionalFormatting>
  <conditionalFormatting sqref="J52:J53">
    <cfRule type="cellIs" dxfId="5927" priority="3160" operator="equal">
      <formula>0</formula>
    </cfRule>
    <cfRule type="cellIs" dxfId="5926" priority="3161" operator="notEqual">
      <formula>0</formula>
    </cfRule>
  </conditionalFormatting>
  <conditionalFormatting sqref="J54">
    <cfRule type="cellIs" dxfId="5925" priority="3159" operator="equal">
      <formula>0</formula>
    </cfRule>
  </conditionalFormatting>
  <conditionalFormatting sqref="K52:K53">
    <cfRule type="cellIs" dxfId="5924" priority="3157" operator="equal">
      <formula>0</formula>
    </cfRule>
    <cfRule type="cellIs" dxfId="5923" priority="3158" operator="notEqual">
      <formula>0</formula>
    </cfRule>
  </conditionalFormatting>
  <conditionalFormatting sqref="K54">
    <cfRule type="cellIs" dxfId="5922" priority="3156" operator="equal">
      <formula>0</formula>
    </cfRule>
  </conditionalFormatting>
  <conditionalFormatting sqref="L54">
    <cfRule type="cellIs" dxfId="5921" priority="3155" operator="equal">
      <formula>0</formula>
    </cfRule>
  </conditionalFormatting>
  <conditionalFormatting sqref="M54">
    <cfRule type="cellIs" dxfId="5920" priority="3154" operator="equal">
      <formula>0</formula>
    </cfRule>
  </conditionalFormatting>
  <conditionalFormatting sqref="N54">
    <cfRule type="cellIs" dxfId="5919" priority="3153" operator="equal">
      <formula>0</formula>
    </cfRule>
  </conditionalFormatting>
  <conditionalFormatting sqref="O54">
    <cfRule type="cellIs" dxfId="5918" priority="3152" operator="equal">
      <formula>0</formula>
    </cfRule>
  </conditionalFormatting>
  <conditionalFormatting sqref="P51">
    <cfRule type="cellIs" dxfId="5917" priority="3150" operator="equal">
      <formula>0</formula>
    </cfRule>
    <cfRule type="cellIs" dxfId="5916" priority="3151" operator="notEqual">
      <formula>0</formula>
    </cfRule>
  </conditionalFormatting>
  <conditionalFormatting sqref="P54">
    <cfRule type="cellIs" dxfId="5915" priority="3149" operator="equal">
      <formula>0</formula>
    </cfRule>
  </conditionalFormatting>
  <conditionalFormatting sqref="Q51">
    <cfRule type="cellIs" dxfId="5914" priority="3147" operator="equal">
      <formula>0</formula>
    </cfRule>
    <cfRule type="cellIs" dxfId="5913" priority="3148" operator="notEqual">
      <formula>0</formula>
    </cfRule>
  </conditionalFormatting>
  <conditionalFormatting sqref="Q54">
    <cfRule type="cellIs" dxfId="5912" priority="3146" operator="equal">
      <formula>0</formula>
    </cfRule>
  </conditionalFormatting>
  <conditionalFormatting sqref="R51">
    <cfRule type="cellIs" dxfId="5911" priority="3144" operator="equal">
      <formula>0</formula>
    </cfRule>
    <cfRule type="cellIs" dxfId="5910" priority="3145" operator="notEqual">
      <formula>0</formula>
    </cfRule>
  </conditionalFormatting>
  <conditionalFormatting sqref="R54">
    <cfRule type="cellIs" dxfId="5909" priority="3143" operator="equal">
      <formula>0</formula>
    </cfRule>
  </conditionalFormatting>
  <conditionalFormatting sqref="S51">
    <cfRule type="cellIs" dxfId="5908" priority="3141" operator="equal">
      <formula>0</formula>
    </cfRule>
    <cfRule type="cellIs" dxfId="5907" priority="3142" operator="notEqual">
      <formula>0</formula>
    </cfRule>
  </conditionalFormatting>
  <conditionalFormatting sqref="S54">
    <cfRule type="cellIs" dxfId="5906" priority="3140" operator="equal">
      <formula>0</formula>
    </cfRule>
  </conditionalFormatting>
  <conditionalFormatting sqref="D58">
    <cfRule type="cellIs" dxfId="5905" priority="3139" operator="equal">
      <formula>0</formula>
    </cfRule>
  </conditionalFormatting>
  <conditionalFormatting sqref="E58">
    <cfRule type="cellIs" dxfId="5904" priority="3138" operator="equal">
      <formula>0</formula>
    </cfRule>
  </conditionalFormatting>
  <conditionalFormatting sqref="F58">
    <cfRule type="cellIs" dxfId="5903" priority="3137" operator="equal">
      <formula>0</formula>
    </cfRule>
  </conditionalFormatting>
  <conditionalFormatting sqref="G58">
    <cfRule type="cellIs" dxfId="5902" priority="3136" operator="equal">
      <formula>0</formula>
    </cfRule>
  </conditionalFormatting>
  <conditionalFormatting sqref="H58">
    <cfRule type="cellIs" dxfId="5901" priority="3135" operator="equal">
      <formula>0</formula>
    </cfRule>
  </conditionalFormatting>
  <conditionalFormatting sqref="I58">
    <cfRule type="cellIs" dxfId="5900" priority="3134" operator="equal">
      <formula>0</formula>
    </cfRule>
  </conditionalFormatting>
  <conditionalFormatting sqref="J58">
    <cfRule type="cellIs" dxfId="5899" priority="3133" operator="equal">
      <formula>0</formula>
    </cfRule>
  </conditionalFormatting>
  <conditionalFormatting sqref="K58">
    <cfRule type="cellIs" dxfId="5898" priority="3132" operator="equal">
      <formula>0</formula>
    </cfRule>
  </conditionalFormatting>
  <conditionalFormatting sqref="L58">
    <cfRule type="cellIs" dxfId="5897" priority="3131" operator="equal">
      <formula>0</formula>
    </cfRule>
  </conditionalFormatting>
  <conditionalFormatting sqref="M58">
    <cfRule type="cellIs" dxfId="5896" priority="3130" operator="equal">
      <formula>0</formula>
    </cfRule>
  </conditionalFormatting>
  <conditionalFormatting sqref="N58">
    <cfRule type="cellIs" dxfId="5895" priority="3129" operator="equal">
      <formula>0</formula>
    </cfRule>
  </conditionalFormatting>
  <conditionalFormatting sqref="O58">
    <cfRule type="cellIs" dxfId="5894" priority="3128" operator="equal">
      <formula>0</formula>
    </cfRule>
  </conditionalFormatting>
  <conditionalFormatting sqref="P58">
    <cfRule type="cellIs" dxfId="5893" priority="3127" operator="equal">
      <formula>0</formula>
    </cfRule>
  </conditionalFormatting>
  <conditionalFormatting sqref="Q58">
    <cfRule type="cellIs" dxfId="5892" priority="3126" operator="equal">
      <formula>0</formula>
    </cfRule>
  </conditionalFormatting>
  <conditionalFormatting sqref="R58">
    <cfRule type="cellIs" dxfId="5891" priority="3125" operator="equal">
      <formula>0</formula>
    </cfRule>
  </conditionalFormatting>
  <conditionalFormatting sqref="S58">
    <cfRule type="cellIs" dxfId="5890" priority="3124" operator="equal">
      <formula>0</formula>
    </cfRule>
  </conditionalFormatting>
  <conditionalFormatting sqref="P121">
    <cfRule type="cellIs" dxfId="5889" priority="2858" operator="equal">
      <formula>0</formula>
    </cfRule>
    <cfRule type="cellIs" dxfId="5888" priority="2859" operator="notEqual">
      <formula>0</formula>
    </cfRule>
  </conditionalFormatting>
  <conditionalFormatting sqref="P141 P145 P153 P157">
    <cfRule type="cellIs" dxfId="5887" priority="2856" operator="equal">
      <formula>0</formula>
    </cfRule>
    <cfRule type="cellIs" dxfId="5886" priority="2857" operator="notEqual">
      <formula>0</formula>
    </cfRule>
  </conditionalFormatting>
  <conditionalFormatting sqref="P124 P144 P148 P156 P160 P172">
    <cfRule type="cellIs" dxfId="5885" priority="2855" operator="equal">
      <formula>0</formula>
    </cfRule>
  </conditionalFormatting>
  <conditionalFormatting sqref="P125">
    <cfRule type="cellIs" dxfId="5884" priority="2853" operator="equal">
      <formula>0</formula>
    </cfRule>
    <cfRule type="cellIs" dxfId="5883" priority="2854" operator="notEqual">
      <formula>0</formula>
    </cfRule>
  </conditionalFormatting>
  <conditionalFormatting sqref="P128">
    <cfRule type="cellIs" dxfId="5882" priority="2852" operator="equal">
      <formula>0</formula>
    </cfRule>
  </conditionalFormatting>
  <conditionalFormatting sqref="P129">
    <cfRule type="cellIs" dxfId="5881" priority="2850" operator="equal">
      <formula>0</formula>
    </cfRule>
    <cfRule type="cellIs" dxfId="5880" priority="2851" operator="notEqual">
      <formula>0</formula>
    </cfRule>
  </conditionalFormatting>
  <conditionalFormatting sqref="P132">
    <cfRule type="cellIs" dxfId="5879" priority="2849" operator="equal">
      <formula>0</formula>
    </cfRule>
  </conditionalFormatting>
  <conditionalFormatting sqref="P133">
    <cfRule type="cellIs" dxfId="5878" priority="2847" operator="equal">
      <formula>0</formula>
    </cfRule>
    <cfRule type="cellIs" dxfId="5877" priority="2848" operator="notEqual">
      <formula>0</formula>
    </cfRule>
  </conditionalFormatting>
  <conditionalFormatting sqref="P136">
    <cfRule type="cellIs" dxfId="5876" priority="2846" operator="equal">
      <formula>0</formula>
    </cfRule>
  </conditionalFormatting>
  <conditionalFormatting sqref="P137">
    <cfRule type="cellIs" dxfId="5875" priority="2844" operator="equal">
      <formula>0</formula>
    </cfRule>
    <cfRule type="cellIs" dxfId="5874" priority="2845" operator="notEqual">
      <formula>0</formula>
    </cfRule>
  </conditionalFormatting>
  <conditionalFormatting sqref="P140">
    <cfRule type="cellIs" dxfId="5873" priority="2843" operator="equal">
      <formula>0</formula>
    </cfRule>
  </conditionalFormatting>
  <conditionalFormatting sqref="P164">
    <cfRule type="cellIs" dxfId="5872" priority="2840" operator="equal">
      <formula>0</formula>
    </cfRule>
  </conditionalFormatting>
  <conditionalFormatting sqref="P168">
    <cfRule type="cellIs" dxfId="5871" priority="2837" operator="equal">
      <formula>0</formula>
    </cfRule>
  </conditionalFormatting>
  <conditionalFormatting sqref="P161">
    <cfRule type="cellIs" dxfId="5870" priority="2841" operator="equal">
      <formula>0</formula>
    </cfRule>
    <cfRule type="cellIs" dxfId="5869" priority="2842" operator="notEqual">
      <formula>0</formula>
    </cfRule>
  </conditionalFormatting>
  <conditionalFormatting sqref="P165">
    <cfRule type="cellIs" dxfId="5868" priority="2838" operator="equal">
      <formula>0</formula>
    </cfRule>
    <cfRule type="cellIs" dxfId="5867" priority="2839" operator="notEqual">
      <formula>0</formula>
    </cfRule>
  </conditionalFormatting>
  <conditionalFormatting sqref="P149">
    <cfRule type="cellIs" dxfId="5866" priority="2835" operator="equal">
      <formula>0</formula>
    </cfRule>
    <cfRule type="cellIs" dxfId="5865" priority="2836" operator="notEqual">
      <formula>0</formula>
    </cfRule>
  </conditionalFormatting>
  <conditionalFormatting sqref="P152">
    <cfRule type="cellIs" dxfId="5864" priority="2834" operator="equal">
      <formula>0</formula>
    </cfRule>
  </conditionalFormatting>
  <conditionalFormatting sqref="Q121">
    <cfRule type="cellIs" dxfId="5863" priority="2832" operator="equal">
      <formula>0</formula>
    </cfRule>
    <cfRule type="cellIs" dxfId="5862" priority="2833" operator="notEqual">
      <formula>0</formula>
    </cfRule>
  </conditionalFormatting>
  <conditionalFormatting sqref="Q141 Q145 Q153 Q157">
    <cfRule type="cellIs" dxfId="5861" priority="2830" operator="equal">
      <formula>0</formula>
    </cfRule>
    <cfRule type="cellIs" dxfId="5860" priority="2831" operator="notEqual">
      <formula>0</formula>
    </cfRule>
  </conditionalFormatting>
  <conditionalFormatting sqref="Q124 Q144 Q148 Q156 Q160 Q172">
    <cfRule type="cellIs" dxfId="5859" priority="2829" operator="equal">
      <formula>0</formula>
    </cfRule>
  </conditionalFormatting>
  <conditionalFormatting sqref="Q125">
    <cfRule type="cellIs" dxfId="5858" priority="2827" operator="equal">
      <formula>0</formula>
    </cfRule>
    <cfRule type="cellIs" dxfId="5857" priority="2828" operator="notEqual">
      <formula>0</formula>
    </cfRule>
  </conditionalFormatting>
  <conditionalFormatting sqref="Q128">
    <cfRule type="cellIs" dxfId="5856" priority="2826" operator="equal">
      <formula>0</formula>
    </cfRule>
  </conditionalFormatting>
  <conditionalFormatting sqref="Q129">
    <cfRule type="cellIs" dxfId="5855" priority="2824" operator="equal">
      <formula>0</formula>
    </cfRule>
    <cfRule type="cellIs" dxfId="5854" priority="2825" operator="notEqual">
      <formula>0</formula>
    </cfRule>
  </conditionalFormatting>
  <conditionalFormatting sqref="Q132">
    <cfRule type="cellIs" dxfId="5853" priority="2823" operator="equal">
      <formula>0</formula>
    </cfRule>
  </conditionalFormatting>
  <conditionalFormatting sqref="Q133">
    <cfRule type="cellIs" dxfId="5852" priority="2821" operator="equal">
      <formula>0</formula>
    </cfRule>
    <cfRule type="cellIs" dxfId="5851" priority="2822" operator="notEqual">
      <formula>0</formula>
    </cfRule>
  </conditionalFormatting>
  <conditionalFormatting sqref="Q136">
    <cfRule type="cellIs" dxfId="5850" priority="2820" operator="equal">
      <formula>0</formula>
    </cfRule>
  </conditionalFormatting>
  <conditionalFormatting sqref="Q137">
    <cfRule type="cellIs" dxfId="5849" priority="2818" operator="equal">
      <formula>0</formula>
    </cfRule>
    <cfRule type="cellIs" dxfId="5848" priority="2819" operator="notEqual">
      <formula>0</formula>
    </cfRule>
  </conditionalFormatting>
  <conditionalFormatting sqref="Q140">
    <cfRule type="cellIs" dxfId="5847" priority="2817" operator="equal">
      <formula>0</formula>
    </cfRule>
  </conditionalFormatting>
  <conditionalFormatting sqref="Q164">
    <cfRule type="cellIs" dxfId="5846" priority="2814" operator="equal">
      <formula>0</formula>
    </cfRule>
  </conditionalFormatting>
  <conditionalFormatting sqref="Q168">
    <cfRule type="cellIs" dxfId="5845" priority="2811" operator="equal">
      <formula>0</formula>
    </cfRule>
  </conditionalFormatting>
  <conditionalFormatting sqref="Q161">
    <cfRule type="cellIs" dxfId="5844" priority="2815" operator="equal">
      <formula>0</formula>
    </cfRule>
    <cfRule type="cellIs" dxfId="5843" priority="2816" operator="notEqual">
      <formula>0</formula>
    </cfRule>
  </conditionalFormatting>
  <conditionalFormatting sqref="Q165">
    <cfRule type="cellIs" dxfId="5842" priority="2812" operator="equal">
      <formula>0</formula>
    </cfRule>
    <cfRule type="cellIs" dxfId="5841" priority="2813" operator="notEqual">
      <formula>0</formula>
    </cfRule>
  </conditionalFormatting>
  <conditionalFormatting sqref="Q149">
    <cfRule type="cellIs" dxfId="5840" priority="2809" operator="equal">
      <formula>0</formula>
    </cfRule>
    <cfRule type="cellIs" dxfId="5839" priority="2810" operator="notEqual">
      <formula>0</formula>
    </cfRule>
  </conditionalFormatting>
  <conditionalFormatting sqref="Q152">
    <cfRule type="cellIs" dxfId="5838" priority="2808" operator="equal">
      <formula>0</formula>
    </cfRule>
  </conditionalFormatting>
  <conditionalFormatting sqref="R121">
    <cfRule type="cellIs" dxfId="5837" priority="2806" operator="equal">
      <formula>0</formula>
    </cfRule>
    <cfRule type="cellIs" dxfId="5836" priority="2807" operator="notEqual">
      <formula>0</formula>
    </cfRule>
  </conditionalFormatting>
  <conditionalFormatting sqref="R141 R145 R153 R157">
    <cfRule type="cellIs" dxfId="5835" priority="2804" operator="equal">
      <formula>0</formula>
    </cfRule>
    <cfRule type="cellIs" dxfId="5834" priority="2805" operator="notEqual">
      <formula>0</formula>
    </cfRule>
  </conditionalFormatting>
  <conditionalFormatting sqref="R124 R144 R148 R156 R160 R172">
    <cfRule type="cellIs" dxfId="5833" priority="2803" operator="equal">
      <formula>0</formula>
    </cfRule>
  </conditionalFormatting>
  <conditionalFormatting sqref="R125">
    <cfRule type="cellIs" dxfId="5832" priority="2801" operator="equal">
      <formula>0</formula>
    </cfRule>
    <cfRule type="cellIs" dxfId="5831" priority="2802" operator="notEqual">
      <formula>0</formula>
    </cfRule>
  </conditionalFormatting>
  <conditionalFormatting sqref="R128">
    <cfRule type="cellIs" dxfId="5830" priority="2800" operator="equal">
      <formula>0</formula>
    </cfRule>
  </conditionalFormatting>
  <conditionalFormatting sqref="R129">
    <cfRule type="cellIs" dxfId="5829" priority="2798" operator="equal">
      <formula>0</formula>
    </cfRule>
    <cfRule type="cellIs" dxfId="5828" priority="2799" operator="notEqual">
      <formula>0</formula>
    </cfRule>
  </conditionalFormatting>
  <conditionalFormatting sqref="R132">
    <cfRule type="cellIs" dxfId="5827" priority="2797" operator="equal">
      <formula>0</formula>
    </cfRule>
  </conditionalFormatting>
  <conditionalFormatting sqref="R133">
    <cfRule type="cellIs" dxfId="5826" priority="2795" operator="equal">
      <formula>0</formula>
    </cfRule>
    <cfRule type="cellIs" dxfId="5825" priority="2796" operator="notEqual">
      <formula>0</formula>
    </cfRule>
  </conditionalFormatting>
  <conditionalFormatting sqref="R136">
    <cfRule type="cellIs" dxfId="5824" priority="2794" operator="equal">
      <formula>0</formula>
    </cfRule>
  </conditionalFormatting>
  <conditionalFormatting sqref="R137">
    <cfRule type="cellIs" dxfId="5823" priority="2792" operator="equal">
      <formula>0</formula>
    </cfRule>
    <cfRule type="cellIs" dxfId="5822" priority="2793" operator="notEqual">
      <formula>0</formula>
    </cfRule>
  </conditionalFormatting>
  <conditionalFormatting sqref="R140">
    <cfRule type="cellIs" dxfId="5821" priority="2791" operator="equal">
      <formula>0</formula>
    </cfRule>
  </conditionalFormatting>
  <conditionalFormatting sqref="R164">
    <cfRule type="cellIs" dxfId="5820" priority="2788" operator="equal">
      <formula>0</formula>
    </cfRule>
  </conditionalFormatting>
  <conditionalFormatting sqref="R168">
    <cfRule type="cellIs" dxfId="5819" priority="2785" operator="equal">
      <formula>0</formula>
    </cfRule>
  </conditionalFormatting>
  <conditionalFormatting sqref="R161">
    <cfRule type="cellIs" dxfId="5818" priority="2789" operator="equal">
      <formula>0</formula>
    </cfRule>
    <cfRule type="cellIs" dxfId="5817" priority="2790" operator="notEqual">
      <formula>0</formula>
    </cfRule>
  </conditionalFormatting>
  <conditionalFormatting sqref="R165">
    <cfRule type="cellIs" dxfId="5816" priority="2786" operator="equal">
      <formula>0</formula>
    </cfRule>
    <cfRule type="cellIs" dxfId="5815" priority="2787" operator="notEqual">
      <formula>0</formula>
    </cfRule>
  </conditionalFormatting>
  <conditionalFormatting sqref="R149">
    <cfRule type="cellIs" dxfId="5814" priority="2783" operator="equal">
      <formula>0</formula>
    </cfRule>
    <cfRule type="cellIs" dxfId="5813" priority="2784" operator="notEqual">
      <formula>0</formula>
    </cfRule>
  </conditionalFormatting>
  <conditionalFormatting sqref="R152">
    <cfRule type="cellIs" dxfId="5812" priority="2782" operator="equal">
      <formula>0</formula>
    </cfRule>
  </conditionalFormatting>
  <conditionalFormatting sqref="S121">
    <cfRule type="cellIs" dxfId="5811" priority="2780" operator="equal">
      <formula>0</formula>
    </cfRule>
    <cfRule type="cellIs" dxfId="5810" priority="2781" operator="notEqual">
      <formula>0</formula>
    </cfRule>
  </conditionalFormatting>
  <conditionalFormatting sqref="S141 S145 S153 S157">
    <cfRule type="cellIs" dxfId="5809" priority="2778" operator="equal">
      <formula>0</formula>
    </cfRule>
    <cfRule type="cellIs" dxfId="5808" priority="2779" operator="notEqual">
      <formula>0</formula>
    </cfRule>
  </conditionalFormatting>
  <conditionalFormatting sqref="S124 S144 S148 S156 S160 S172">
    <cfRule type="cellIs" dxfId="5807" priority="2777" operator="equal">
      <formula>0</formula>
    </cfRule>
  </conditionalFormatting>
  <conditionalFormatting sqref="S125">
    <cfRule type="cellIs" dxfId="5806" priority="2775" operator="equal">
      <formula>0</formula>
    </cfRule>
    <cfRule type="cellIs" dxfId="5805" priority="2776" operator="notEqual">
      <formula>0</formula>
    </cfRule>
  </conditionalFormatting>
  <conditionalFormatting sqref="S128">
    <cfRule type="cellIs" dxfId="5804" priority="2774" operator="equal">
      <formula>0</formula>
    </cfRule>
  </conditionalFormatting>
  <conditionalFormatting sqref="S129">
    <cfRule type="cellIs" dxfId="5803" priority="2772" operator="equal">
      <formula>0</formula>
    </cfRule>
    <cfRule type="cellIs" dxfId="5802" priority="2773" operator="notEqual">
      <formula>0</formula>
    </cfRule>
  </conditionalFormatting>
  <conditionalFormatting sqref="S132">
    <cfRule type="cellIs" dxfId="5801" priority="2771" operator="equal">
      <formula>0</formula>
    </cfRule>
  </conditionalFormatting>
  <conditionalFormatting sqref="S133">
    <cfRule type="cellIs" dxfId="5800" priority="2769" operator="equal">
      <formula>0</formula>
    </cfRule>
    <cfRule type="cellIs" dxfId="5799" priority="2770" operator="notEqual">
      <formula>0</formula>
    </cfRule>
  </conditionalFormatting>
  <conditionalFormatting sqref="S136">
    <cfRule type="cellIs" dxfId="5798" priority="2768" operator="equal">
      <formula>0</formula>
    </cfRule>
  </conditionalFormatting>
  <conditionalFormatting sqref="S137">
    <cfRule type="cellIs" dxfId="5797" priority="2766" operator="equal">
      <formula>0</formula>
    </cfRule>
    <cfRule type="cellIs" dxfId="5796" priority="2767" operator="notEqual">
      <formula>0</formula>
    </cfRule>
  </conditionalFormatting>
  <conditionalFormatting sqref="S140">
    <cfRule type="cellIs" dxfId="5795" priority="2765" operator="equal">
      <formula>0</formula>
    </cfRule>
  </conditionalFormatting>
  <conditionalFormatting sqref="S164">
    <cfRule type="cellIs" dxfId="5794" priority="2762" operator="equal">
      <formula>0</formula>
    </cfRule>
  </conditionalFormatting>
  <conditionalFormatting sqref="S168">
    <cfRule type="cellIs" dxfId="5793" priority="2759" operator="equal">
      <formula>0</formula>
    </cfRule>
  </conditionalFormatting>
  <conditionalFormatting sqref="S161">
    <cfRule type="cellIs" dxfId="5792" priority="2763" operator="equal">
      <formula>0</formula>
    </cfRule>
    <cfRule type="cellIs" dxfId="5791" priority="2764" operator="notEqual">
      <formula>0</formula>
    </cfRule>
  </conditionalFormatting>
  <conditionalFormatting sqref="S165">
    <cfRule type="cellIs" dxfId="5790" priority="2760" operator="equal">
      <formula>0</formula>
    </cfRule>
    <cfRule type="cellIs" dxfId="5789" priority="2761" operator="notEqual">
      <formula>0</formula>
    </cfRule>
  </conditionalFormatting>
  <conditionalFormatting sqref="S149">
    <cfRule type="cellIs" dxfId="5788" priority="2757" operator="equal">
      <formula>0</formula>
    </cfRule>
    <cfRule type="cellIs" dxfId="5787" priority="2758" operator="notEqual">
      <formula>0</formula>
    </cfRule>
  </conditionalFormatting>
  <conditionalFormatting sqref="S152">
    <cfRule type="cellIs" dxfId="5786" priority="2756" operator="equal">
      <formula>0</formula>
    </cfRule>
  </conditionalFormatting>
  <conditionalFormatting sqref="D122:D123">
    <cfRule type="cellIs" dxfId="5785" priority="2754" operator="equal">
      <formula>0</formula>
    </cfRule>
    <cfRule type="cellIs" dxfId="5784" priority="2755" operator="notEqual">
      <formula>0</formula>
    </cfRule>
  </conditionalFormatting>
  <conditionalFormatting sqref="D126:D127 D130:D131 D138:D139 D158:D159 D162:D163 D166:D167">
    <cfRule type="cellIs" dxfId="5783" priority="2752" operator="equal">
      <formula>0</formula>
    </cfRule>
    <cfRule type="cellIs" dxfId="5782" priority="2753" operator="notEqual">
      <formula>0</formula>
    </cfRule>
  </conditionalFormatting>
  <conditionalFormatting sqref="D124 D128 D132 D140 D160 D164 D168 D172">
    <cfRule type="cellIs" dxfId="5781" priority="2751" operator="equal">
      <formula>0</formula>
    </cfRule>
  </conditionalFormatting>
  <conditionalFormatting sqref="D144">
    <cfRule type="cellIs" dxfId="5780" priority="2748" operator="equal">
      <formula>0</formula>
    </cfRule>
  </conditionalFormatting>
  <conditionalFormatting sqref="D136">
    <cfRule type="cellIs" dxfId="5779" priority="2745" operator="equal">
      <formula>0</formula>
    </cfRule>
  </conditionalFormatting>
  <conditionalFormatting sqref="D142:D143">
    <cfRule type="cellIs" dxfId="5778" priority="2749" operator="equal">
      <formula>0</formula>
    </cfRule>
    <cfRule type="cellIs" dxfId="5777" priority="2750" operator="notEqual">
      <formula>0</formula>
    </cfRule>
  </conditionalFormatting>
  <conditionalFormatting sqref="D156">
    <cfRule type="cellIs" dxfId="5776" priority="2742" operator="equal">
      <formula>0</formula>
    </cfRule>
  </conditionalFormatting>
  <conditionalFormatting sqref="D134:D135">
    <cfRule type="cellIs" dxfId="5775" priority="2746" operator="equal">
      <formula>0</formula>
    </cfRule>
    <cfRule type="cellIs" dxfId="5774" priority="2747" operator="notEqual">
      <formula>0</formula>
    </cfRule>
  </conditionalFormatting>
  <conditionalFormatting sqref="D148">
    <cfRule type="cellIs" dxfId="5773" priority="2739" operator="equal">
      <formula>0</formula>
    </cfRule>
  </conditionalFormatting>
  <conditionalFormatting sqref="D154:D155">
    <cfRule type="cellIs" dxfId="5772" priority="2743" operator="equal">
      <formula>0</formula>
    </cfRule>
    <cfRule type="cellIs" dxfId="5771" priority="2744" operator="notEqual">
      <formula>0</formula>
    </cfRule>
  </conditionalFormatting>
  <conditionalFormatting sqref="D146:D147">
    <cfRule type="cellIs" dxfId="5770" priority="2740" operator="equal">
      <formula>0</formula>
    </cfRule>
    <cfRule type="cellIs" dxfId="5769" priority="2741" operator="notEqual">
      <formula>0</formula>
    </cfRule>
  </conditionalFormatting>
  <conditionalFormatting sqref="D152">
    <cfRule type="cellIs" dxfId="5768" priority="2736" operator="equal">
      <formula>0</formula>
    </cfRule>
  </conditionalFormatting>
  <conditionalFormatting sqref="D150:D151">
    <cfRule type="cellIs" dxfId="5767" priority="2737" operator="equal">
      <formula>0</formula>
    </cfRule>
    <cfRule type="cellIs" dxfId="5766" priority="2738" operator="notEqual">
      <formula>0</formula>
    </cfRule>
  </conditionalFormatting>
  <conditionalFormatting sqref="E122:E123">
    <cfRule type="cellIs" dxfId="5765" priority="2734" operator="equal">
      <formula>0</formula>
    </cfRule>
    <cfRule type="cellIs" dxfId="5764" priority="2735" operator="notEqual">
      <formula>0</formula>
    </cfRule>
  </conditionalFormatting>
  <conditionalFormatting sqref="E126:E127 E130:E131 E138:E139 E158:E159 E162:E163 E166:E167">
    <cfRule type="cellIs" dxfId="5763" priority="2732" operator="equal">
      <formula>0</formula>
    </cfRule>
    <cfRule type="cellIs" dxfId="5762" priority="2733" operator="notEqual">
      <formula>0</formula>
    </cfRule>
  </conditionalFormatting>
  <conditionalFormatting sqref="E124 E128 E132 E140 E160 E164 E168 E172">
    <cfRule type="cellIs" dxfId="5761" priority="2731" operator="equal">
      <formula>0</formula>
    </cfRule>
  </conditionalFormatting>
  <conditionalFormatting sqref="E144">
    <cfRule type="cellIs" dxfId="5760" priority="2728" operator="equal">
      <formula>0</formula>
    </cfRule>
  </conditionalFormatting>
  <conditionalFormatting sqref="E136">
    <cfRule type="cellIs" dxfId="5759" priority="2725" operator="equal">
      <formula>0</formula>
    </cfRule>
  </conditionalFormatting>
  <conditionalFormatting sqref="E142:E143">
    <cfRule type="cellIs" dxfId="5758" priority="2729" operator="equal">
      <formula>0</formula>
    </cfRule>
    <cfRule type="cellIs" dxfId="5757" priority="2730" operator="notEqual">
      <formula>0</formula>
    </cfRule>
  </conditionalFormatting>
  <conditionalFormatting sqref="E156">
    <cfRule type="cellIs" dxfId="5756" priority="2722" operator="equal">
      <formula>0</formula>
    </cfRule>
  </conditionalFormatting>
  <conditionalFormatting sqref="E134:E135">
    <cfRule type="cellIs" dxfId="5755" priority="2726" operator="equal">
      <formula>0</formula>
    </cfRule>
    <cfRule type="cellIs" dxfId="5754" priority="2727" operator="notEqual">
      <formula>0</formula>
    </cfRule>
  </conditionalFormatting>
  <conditionalFormatting sqref="E148">
    <cfRule type="cellIs" dxfId="5753" priority="2719" operator="equal">
      <formula>0</formula>
    </cfRule>
  </conditionalFormatting>
  <conditionalFormatting sqref="E154:E155">
    <cfRule type="cellIs" dxfId="5752" priority="2723" operator="equal">
      <formula>0</formula>
    </cfRule>
    <cfRule type="cellIs" dxfId="5751" priority="2724" operator="notEqual">
      <formula>0</formula>
    </cfRule>
  </conditionalFormatting>
  <conditionalFormatting sqref="E146:E147">
    <cfRule type="cellIs" dxfId="5750" priority="2720" operator="equal">
      <formula>0</formula>
    </cfRule>
    <cfRule type="cellIs" dxfId="5749" priority="2721" operator="notEqual">
      <formula>0</formula>
    </cfRule>
  </conditionalFormatting>
  <conditionalFormatting sqref="E152">
    <cfRule type="cellIs" dxfId="5748" priority="2716" operator="equal">
      <formula>0</formula>
    </cfRule>
  </conditionalFormatting>
  <conditionalFormatting sqref="E150:E151">
    <cfRule type="cellIs" dxfId="5747" priority="2717" operator="equal">
      <formula>0</formula>
    </cfRule>
    <cfRule type="cellIs" dxfId="5746" priority="2718" operator="notEqual">
      <formula>0</formula>
    </cfRule>
  </conditionalFormatting>
  <conditionalFormatting sqref="F122:F123">
    <cfRule type="cellIs" dxfId="5745" priority="2714" operator="equal">
      <formula>0</formula>
    </cfRule>
    <cfRule type="cellIs" dxfId="5744" priority="2715" operator="notEqual">
      <formula>0</formula>
    </cfRule>
  </conditionalFormatting>
  <conditionalFormatting sqref="F126:F127 F130:F131 F138:F139 F158:F159 F162:F163 F166:F167">
    <cfRule type="cellIs" dxfId="5743" priority="2712" operator="equal">
      <formula>0</formula>
    </cfRule>
    <cfRule type="cellIs" dxfId="5742" priority="2713" operator="notEqual">
      <formula>0</formula>
    </cfRule>
  </conditionalFormatting>
  <conditionalFormatting sqref="F124 F128 F132 F140 F160 F164 F168 F172">
    <cfRule type="cellIs" dxfId="5741" priority="2711" operator="equal">
      <formula>0</formula>
    </cfRule>
  </conditionalFormatting>
  <conditionalFormatting sqref="F144">
    <cfRule type="cellIs" dxfId="5740" priority="2708" operator="equal">
      <formula>0</formula>
    </cfRule>
  </conditionalFormatting>
  <conditionalFormatting sqref="F136">
    <cfRule type="cellIs" dxfId="5739" priority="2705" operator="equal">
      <formula>0</formula>
    </cfRule>
  </conditionalFormatting>
  <conditionalFormatting sqref="F142:F143">
    <cfRule type="cellIs" dxfId="5738" priority="2709" operator="equal">
      <formula>0</formula>
    </cfRule>
    <cfRule type="cellIs" dxfId="5737" priority="2710" operator="notEqual">
      <formula>0</formula>
    </cfRule>
  </conditionalFormatting>
  <conditionalFormatting sqref="F156">
    <cfRule type="cellIs" dxfId="5736" priority="2702" operator="equal">
      <formula>0</formula>
    </cfRule>
  </conditionalFormatting>
  <conditionalFormatting sqref="F134:F135">
    <cfRule type="cellIs" dxfId="5735" priority="2706" operator="equal">
      <formula>0</formula>
    </cfRule>
    <cfRule type="cellIs" dxfId="5734" priority="2707" operator="notEqual">
      <formula>0</formula>
    </cfRule>
  </conditionalFormatting>
  <conditionalFormatting sqref="F148">
    <cfRule type="cellIs" dxfId="5733" priority="2699" operator="equal">
      <formula>0</formula>
    </cfRule>
  </conditionalFormatting>
  <conditionalFormatting sqref="F154:F155">
    <cfRule type="cellIs" dxfId="5732" priority="2703" operator="equal">
      <formula>0</formula>
    </cfRule>
    <cfRule type="cellIs" dxfId="5731" priority="2704" operator="notEqual">
      <formula>0</formula>
    </cfRule>
  </conditionalFormatting>
  <conditionalFormatting sqref="F146:F147">
    <cfRule type="cellIs" dxfId="5730" priority="2700" operator="equal">
      <formula>0</formula>
    </cfRule>
    <cfRule type="cellIs" dxfId="5729" priority="2701" operator="notEqual">
      <formula>0</formula>
    </cfRule>
  </conditionalFormatting>
  <conditionalFormatting sqref="F152">
    <cfRule type="cellIs" dxfId="5728" priority="2696" operator="equal">
      <formula>0</formula>
    </cfRule>
  </conditionalFormatting>
  <conditionalFormatting sqref="F150:F151">
    <cfRule type="cellIs" dxfId="5727" priority="2697" operator="equal">
      <formula>0</formula>
    </cfRule>
    <cfRule type="cellIs" dxfId="5726" priority="2698" operator="notEqual">
      <formula>0</formula>
    </cfRule>
  </conditionalFormatting>
  <conditionalFormatting sqref="G122:G123">
    <cfRule type="cellIs" dxfId="5725" priority="2694" operator="equal">
      <formula>0</formula>
    </cfRule>
    <cfRule type="cellIs" dxfId="5724" priority="2695" operator="notEqual">
      <formula>0</formula>
    </cfRule>
  </conditionalFormatting>
  <conditionalFormatting sqref="G126:G127 G130:G131 G138:G139 G158:G159 G162:G163 G166:G167">
    <cfRule type="cellIs" dxfId="5723" priority="2692" operator="equal">
      <formula>0</formula>
    </cfRule>
    <cfRule type="cellIs" dxfId="5722" priority="2693" operator="notEqual">
      <formula>0</formula>
    </cfRule>
  </conditionalFormatting>
  <conditionalFormatting sqref="G124 G128 G132 G140 G160 G164 G168 G172">
    <cfRule type="cellIs" dxfId="5721" priority="2691" operator="equal">
      <formula>0</formula>
    </cfRule>
  </conditionalFormatting>
  <conditionalFormatting sqref="G144">
    <cfRule type="cellIs" dxfId="5720" priority="2688" operator="equal">
      <formula>0</formula>
    </cfRule>
  </conditionalFormatting>
  <conditionalFormatting sqref="G136">
    <cfRule type="cellIs" dxfId="5719" priority="2685" operator="equal">
      <formula>0</formula>
    </cfRule>
  </conditionalFormatting>
  <conditionalFormatting sqref="G142:G143">
    <cfRule type="cellIs" dxfId="5718" priority="2689" operator="equal">
      <formula>0</formula>
    </cfRule>
    <cfRule type="cellIs" dxfId="5717" priority="2690" operator="notEqual">
      <formula>0</formula>
    </cfRule>
  </conditionalFormatting>
  <conditionalFormatting sqref="G156">
    <cfRule type="cellIs" dxfId="5716" priority="2682" operator="equal">
      <formula>0</formula>
    </cfRule>
  </conditionalFormatting>
  <conditionalFormatting sqref="G134:G135">
    <cfRule type="cellIs" dxfId="5715" priority="2686" operator="equal">
      <formula>0</formula>
    </cfRule>
    <cfRule type="cellIs" dxfId="5714" priority="2687" operator="notEqual">
      <formula>0</formula>
    </cfRule>
  </conditionalFormatting>
  <conditionalFormatting sqref="G148">
    <cfRule type="cellIs" dxfId="5713" priority="2679" operator="equal">
      <formula>0</formula>
    </cfRule>
  </conditionalFormatting>
  <conditionalFormatting sqref="G154:G155">
    <cfRule type="cellIs" dxfId="5712" priority="2683" operator="equal">
      <formula>0</formula>
    </cfRule>
    <cfRule type="cellIs" dxfId="5711" priority="2684" operator="notEqual">
      <formula>0</formula>
    </cfRule>
  </conditionalFormatting>
  <conditionalFormatting sqref="G146:G147">
    <cfRule type="cellIs" dxfId="5710" priority="2680" operator="equal">
      <formula>0</formula>
    </cfRule>
    <cfRule type="cellIs" dxfId="5709" priority="2681" operator="notEqual">
      <formula>0</formula>
    </cfRule>
  </conditionalFormatting>
  <conditionalFormatting sqref="G152">
    <cfRule type="cellIs" dxfId="5708" priority="2676" operator="equal">
      <formula>0</formula>
    </cfRule>
  </conditionalFormatting>
  <conditionalFormatting sqref="G150:G151">
    <cfRule type="cellIs" dxfId="5707" priority="2677" operator="equal">
      <formula>0</formula>
    </cfRule>
    <cfRule type="cellIs" dxfId="5706" priority="2678" operator="notEqual">
      <formula>0</formula>
    </cfRule>
  </conditionalFormatting>
  <conditionalFormatting sqref="H122:H123">
    <cfRule type="cellIs" dxfId="5705" priority="2674" operator="equal">
      <formula>0</formula>
    </cfRule>
    <cfRule type="cellIs" dxfId="5704" priority="2675" operator="notEqual">
      <formula>0</formula>
    </cfRule>
  </conditionalFormatting>
  <conditionalFormatting sqref="H126:H127 H130:H131 H138:H139 H158:H159 H162:H163 H166:H167">
    <cfRule type="cellIs" dxfId="5703" priority="2672" operator="equal">
      <formula>0</formula>
    </cfRule>
    <cfRule type="cellIs" dxfId="5702" priority="2673" operator="notEqual">
      <formula>0</formula>
    </cfRule>
  </conditionalFormatting>
  <conditionalFormatting sqref="H124 H128 H132 H140 H160 H164 H168 H172">
    <cfRule type="cellIs" dxfId="5701" priority="2671" operator="equal">
      <formula>0</formula>
    </cfRule>
  </conditionalFormatting>
  <conditionalFormatting sqref="H144">
    <cfRule type="cellIs" dxfId="5700" priority="2668" operator="equal">
      <formula>0</formula>
    </cfRule>
  </conditionalFormatting>
  <conditionalFormatting sqref="H136">
    <cfRule type="cellIs" dxfId="5699" priority="2665" operator="equal">
      <formula>0</formula>
    </cfRule>
  </conditionalFormatting>
  <conditionalFormatting sqref="H142:H143">
    <cfRule type="cellIs" dxfId="5698" priority="2669" operator="equal">
      <formula>0</formula>
    </cfRule>
    <cfRule type="cellIs" dxfId="5697" priority="2670" operator="notEqual">
      <formula>0</formula>
    </cfRule>
  </conditionalFormatting>
  <conditionalFormatting sqref="H156">
    <cfRule type="cellIs" dxfId="5696" priority="2662" operator="equal">
      <formula>0</formula>
    </cfRule>
  </conditionalFormatting>
  <conditionalFormatting sqref="H134:H135">
    <cfRule type="cellIs" dxfId="5695" priority="2666" operator="equal">
      <formula>0</formula>
    </cfRule>
    <cfRule type="cellIs" dxfId="5694" priority="2667" operator="notEqual">
      <formula>0</formula>
    </cfRule>
  </conditionalFormatting>
  <conditionalFormatting sqref="H148">
    <cfRule type="cellIs" dxfId="5693" priority="2659" operator="equal">
      <formula>0</formula>
    </cfRule>
  </conditionalFormatting>
  <conditionalFormatting sqref="H154:H155">
    <cfRule type="cellIs" dxfId="5692" priority="2663" operator="equal">
      <formula>0</formula>
    </cfRule>
    <cfRule type="cellIs" dxfId="5691" priority="2664" operator="notEqual">
      <formula>0</formula>
    </cfRule>
  </conditionalFormatting>
  <conditionalFormatting sqref="H146:H147">
    <cfRule type="cellIs" dxfId="5690" priority="2660" operator="equal">
      <formula>0</formula>
    </cfRule>
    <cfRule type="cellIs" dxfId="5689" priority="2661" operator="notEqual">
      <formula>0</formula>
    </cfRule>
  </conditionalFormatting>
  <conditionalFormatting sqref="H152">
    <cfRule type="cellIs" dxfId="5688" priority="2656" operator="equal">
      <formula>0</formula>
    </cfRule>
  </conditionalFormatting>
  <conditionalFormatting sqref="H150:H151">
    <cfRule type="cellIs" dxfId="5687" priority="2657" operator="equal">
      <formula>0</formula>
    </cfRule>
    <cfRule type="cellIs" dxfId="5686" priority="2658" operator="notEqual">
      <formula>0</formula>
    </cfRule>
  </conditionalFormatting>
  <conditionalFormatting sqref="I122:I123">
    <cfRule type="cellIs" dxfId="5685" priority="2654" operator="equal">
      <formula>0</formula>
    </cfRule>
    <cfRule type="cellIs" dxfId="5684" priority="2655" operator="notEqual">
      <formula>0</formula>
    </cfRule>
  </conditionalFormatting>
  <conditionalFormatting sqref="I126:I127 I130:I131 I138:I139 I158:I159 I162:I163 I166:I167">
    <cfRule type="cellIs" dxfId="5683" priority="2652" operator="equal">
      <formula>0</formula>
    </cfRule>
    <cfRule type="cellIs" dxfId="5682" priority="2653" operator="notEqual">
      <formula>0</formula>
    </cfRule>
  </conditionalFormatting>
  <conditionalFormatting sqref="I124 I128 I132 I140 I160 I164 I168 I172">
    <cfRule type="cellIs" dxfId="5681" priority="2651" operator="equal">
      <formula>0</formula>
    </cfRule>
  </conditionalFormatting>
  <conditionalFormatting sqref="I144">
    <cfRule type="cellIs" dxfId="5680" priority="2648" operator="equal">
      <formula>0</formula>
    </cfRule>
  </conditionalFormatting>
  <conditionalFormatting sqref="I136">
    <cfRule type="cellIs" dxfId="5679" priority="2645" operator="equal">
      <formula>0</formula>
    </cfRule>
  </conditionalFormatting>
  <conditionalFormatting sqref="I142:I143">
    <cfRule type="cellIs" dxfId="5678" priority="2649" operator="equal">
      <formula>0</formula>
    </cfRule>
    <cfRule type="cellIs" dxfId="5677" priority="2650" operator="notEqual">
      <formula>0</formula>
    </cfRule>
  </conditionalFormatting>
  <conditionalFormatting sqref="I156">
    <cfRule type="cellIs" dxfId="5676" priority="2642" operator="equal">
      <formula>0</formula>
    </cfRule>
  </conditionalFormatting>
  <conditionalFormatting sqref="I134:I135">
    <cfRule type="cellIs" dxfId="5675" priority="2646" operator="equal">
      <formula>0</formula>
    </cfRule>
    <cfRule type="cellIs" dxfId="5674" priority="2647" operator="notEqual">
      <formula>0</formula>
    </cfRule>
  </conditionalFormatting>
  <conditionalFormatting sqref="I148">
    <cfRule type="cellIs" dxfId="5673" priority="2639" operator="equal">
      <formula>0</formula>
    </cfRule>
  </conditionalFormatting>
  <conditionalFormatting sqref="I154:I155">
    <cfRule type="cellIs" dxfId="5672" priority="2643" operator="equal">
      <formula>0</formula>
    </cfRule>
    <cfRule type="cellIs" dxfId="5671" priority="2644" operator="notEqual">
      <formula>0</formula>
    </cfRule>
  </conditionalFormatting>
  <conditionalFormatting sqref="I146:I147">
    <cfRule type="cellIs" dxfId="5670" priority="2640" operator="equal">
      <formula>0</formula>
    </cfRule>
    <cfRule type="cellIs" dxfId="5669" priority="2641" operator="notEqual">
      <formula>0</formula>
    </cfRule>
  </conditionalFormatting>
  <conditionalFormatting sqref="I152">
    <cfRule type="cellIs" dxfId="5668" priority="2636" operator="equal">
      <formula>0</formula>
    </cfRule>
  </conditionalFormatting>
  <conditionalFormatting sqref="I150:I151">
    <cfRule type="cellIs" dxfId="5667" priority="2637" operator="equal">
      <formula>0</formula>
    </cfRule>
    <cfRule type="cellIs" dxfId="5666" priority="2638" operator="notEqual">
      <formula>0</formula>
    </cfRule>
  </conditionalFormatting>
  <conditionalFormatting sqref="J122:J123">
    <cfRule type="cellIs" dxfId="5665" priority="2634" operator="equal">
      <formula>0</formula>
    </cfRule>
    <cfRule type="cellIs" dxfId="5664" priority="2635" operator="notEqual">
      <formula>0</formula>
    </cfRule>
  </conditionalFormatting>
  <conditionalFormatting sqref="J126:J127 J130:J131 J138:J139 J158:J159 J162:J163 J166:J167">
    <cfRule type="cellIs" dxfId="5663" priority="2632" operator="equal">
      <formula>0</formula>
    </cfRule>
    <cfRule type="cellIs" dxfId="5662" priority="2633" operator="notEqual">
      <formula>0</formula>
    </cfRule>
  </conditionalFormatting>
  <conditionalFormatting sqref="J124 J128 J132 J140 J160 J164 J168 J172">
    <cfRule type="cellIs" dxfId="5661" priority="2631" operator="equal">
      <formula>0</formula>
    </cfRule>
  </conditionalFormatting>
  <conditionalFormatting sqref="J144">
    <cfRule type="cellIs" dxfId="5660" priority="2628" operator="equal">
      <formula>0</formula>
    </cfRule>
  </conditionalFormatting>
  <conditionalFormatting sqref="J136">
    <cfRule type="cellIs" dxfId="5659" priority="2625" operator="equal">
      <formula>0</formula>
    </cfRule>
  </conditionalFormatting>
  <conditionalFormatting sqref="J142:J143">
    <cfRule type="cellIs" dxfId="5658" priority="2629" operator="equal">
      <formula>0</formula>
    </cfRule>
    <cfRule type="cellIs" dxfId="5657" priority="2630" operator="notEqual">
      <formula>0</formula>
    </cfRule>
  </conditionalFormatting>
  <conditionalFormatting sqref="J156">
    <cfRule type="cellIs" dxfId="5656" priority="2622" operator="equal">
      <formula>0</formula>
    </cfRule>
  </conditionalFormatting>
  <conditionalFormatting sqref="J134:J135">
    <cfRule type="cellIs" dxfId="5655" priority="2626" operator="equal">
      <formula>0</formula>
    </cfRule>
    <cfRule type="cellIs" dxfId="5654" priority="2627" operator="notEqual">
      <formula>0</formula>
    </cfRule>
  </conditionalFormatting>
  <conditionalFormatting sqref="J148">
    <cfRule type="cellIs" dxfId="5653" priority="2619" operator="equal">
      <formula>0</formula>
    </cfRule>
  </conditionalFormatting>
  <conditionalFormatting sqref="J154:J155">
    <cfRule type="cellIs" dxfId="5652" priority="2623" operator="equal">
      <formula>0</formula>
    </cfRule>
    <cfRule type="cellIs" dxfId="5651" priority="2624" operator="notEqual">
      <formula>0</formula>
    </cfRule>
  </conditionalFormatting>
  <conditionalFormatting sqref="J146:J147">
    <cfRule type="cellIs" dxfId="5650" priority="2620" operator="equal">
      <formula>0</formula>
    </cfRule>
    <cfRule type="cellIs" dxfId="5649" priority="2621" operator="notEqual">
      <formula>0</formula>
    </cfRule>
  </conditionalFormatting>
  <conditionalFormatting sqref="J152">
    <cfRule type="cellIs" dxfId="5648" priority="2616" operator="equal">
      <formula>0</formula>
    </cfRule>
  </conditionalFormatting>
  <conditionalFormatting sqref="J150:J151">
    <cfRule type="cellIs" dxfId="5647" priority="2617" operator="equal">
      <formula>0</formula>
    </cfRule>
    <cfRule type="cellIs" dxfId="5646" priority="2618" operator="notEqual">
      <formula>0</formula>
    </cfRule>
  </conditionalFormatting>
  <conditionalFormatting sqref="K122:K123">
    <cfRule type="cellIs" dxfId="5645" priority="2614" operator="equal">
      <formula>0</formula>
    </cfRule>
    <cfRule type="cellIs" dxfId="5644" priority="2615" operator="notEqual">
      <formula>0</formula>
    </cfRule>
  </conditionalFormatting>
  <conditionalFormatting sqref="K126:K127 K130:K131 K138:K139 K158:K159 K162:K163 K166:K167">
    <cfRule type="cellIs" dxfId="5643" priority="2612" operator="equal">
      <formula>0</formula>
    </cfRule>
    <cfRule type="cellIs" dxfId="5642" priority="2613" operator="notEqual">
      <formula>0</formula>
    </cfRule>
  </conditionalFormatting>
  <conditionalFormatting sqref="K124 K128 K132 K140 K160 K164 K168 K172">
    <cfRule type="cellIs" dxfId="5641" priority="2611" operator="equal">
      <formula>0</formula>
    </cfRule>
  </conditionalFormatting>
  <conditionalFormatting sqref="K144">
    <cfRule type="cellIs" dxfId="5640" priority="2608" operator="equal">
      <formula>0</formula>
    </cfRule>
  </conditionalFormatting>
  <conditionalFormatting sqref="K136">
    <cfRule type="cellIs" dxfId="5639" priority="2605" operator="equal">
      <formula>0</formula>
    </cfRule>
  </conditionalFormatting>
  <conditionalFormatting sqref="K142:K143">
    <cfRule type="cellIs" dxfId="5638" priority="2609" operator="equal">
      <formula>0</formula>
    </cfRule>
    <cfRule type="cellIs" dxfId="5637" priority="2610" operator="notEqual">
      <formula>0</formula>
    </cfRule>
  </conditionalFormatting>
  <conditionalFormatting sqref="K156">
    <cfRule type="cellIs" dxfId="5636" priority="2602" operator="equal">
      <formula>0</formula>
    </cfRule>
  </conditionalFormatting>
  <conditionalFormatting sqref="K134:K135">
    <cfRule type="cellIs" dxfId="5635" priority="2606" operator="equal">
      <formula>0</formula>
    </cfRule>
    <cfRule type="cellIs" dxfId="5634" priority="2607" operator="notEqual">
      <formula>0</formula>
    </cfRule>
  </conditionalFormatting>
  <conditionalFormatting sqref="K148">
    <cfRule type="cellIs" dxfId="5633" priority="2599" operator="equal">
      <formula>0</formula>
    </cfRule>
  </conditionalFormatting>
  <conditionalFormatting sqref="K154:K155">
    <cfRule type="cellIs" dxfId="5632" priority="2603" operator="equal">
      <formula>0</formula>
    </cfRule>
    <cfRule type="cellIs" dxfId="5631" priority="2604" operator="notEqual">
      <formula>0</formula>
    </cfRule>
  </conditionalFormatting>
  <conditionalFormatting sqref="K146:K147">
    <cfRule type="cellIs" dxfId="5630" priority="2600" operator="equal">
      <formula>0</formula>
    </cfRule>
    <cfRule type="cellIs" dxfId="5629" priority="2601" operator="notEqual">
      <formula>0</formula>
    </cfRule>
  </conditionalFormatting>
  <conditionalFormatting sqref="K152">
    <cfRule type="cellIs" dxfId="5628" priority="2596" operator="equal">
      <formula>0</formula>
    </cfRule>
  </conditionalFormatting>
  <conditionalFormatting sqref="K150:K151">
    <cfRule type="cellIs" dxfId="5627" priority="2597" operator="equal">
      <formula>0</formula>
    </cfRule>
    <cfRule type="cellIs" dxfId="5626" priority="2598" operator="notEqual">
      <formula>0</formula>
    </cfRule>
  </conditionalFormatting>
  <conditionalFormatting sqref="L124 L128 L132 L140 L160 L164 L168 L172">
    <cfRule type="cellIs" dxfId="5625" priority="2595" operator="equal">
      <formula>0</formula>
    </cfRule>
  </conditionalFormatting>
  <conditionalFormatting sqref="L144">
    <cfRule type="cellIs" dxfId="5624" priority="2594" operator="equal">
      <formula>0</formula>
    </cfRule>
  </conditionalFormatting>
  <conditionalFormatting sqref="L136">
    <cfRule type="cellIs" dxfId="5623" priority="2593" operator="equal">
      <formula>0</formula>
    </cfRule>
  </conditionalFormatting>
  <conditionalFormatting sqref="L156">
    <cfRule type="cellIs" dxfId="5622" priority="2592" operator="equal">
      <formula>0</formula>
    </cfRule>
  </conditionalFormatting>
  <conditionalFormatting sqref="L148">
    <cfRule type="cellIs" dxfId="5621" priority="2591" operator="equal">
      <formula>0</formula>
    </cfRule>
  </conditionalFormatting>
  <conditionalFormatting sqref="L152">
    <cfRule type="cellIs" dxfId="5620" priority="2590" operator="equal">
      <formula>0</formula>
    </cfRule>
  </conditionalFormatting>
  <conditionalFormatting sqref="M124 M128 M132 M140 M160 M164 M168 M172">
    <cfRule type="cellIs" dxfId="5619" priority="2589" operator="equal">
      <formula>0</formula>
    </cfRule>
  </conditionalFormatting>
  <conditionalFormatting sqref="M144">
    <cfRule type="cellIs" dxfId="5618" priority="2588" operator="equal">
      <formula>0</formula>
    </cfRule>
  </conditionalFormatting>
  <conditionalFormatting sqref="M136">
    <cfRule type="cellIs" dxfId="5617" priority="2587" operator="equal">
      <formula>0</formula>
    </cfRule>
  </conditionalFormatting>
  <conditionalFormatting sqref="M156">
    <cfRule type="cellIs" dxfId="5616" priority="2586" operator="equal">
      <formula>0</formula>
    </cfRule>
  </conditionalFormatting>
  <conditionalFormatting sqref="M148">
    <cfRule type="cellIs" dxfId="5615" priority="2585" operator="equal">
      <formula>0</formula>
    </cfRule>
  </conditionalFormatting>
  <conditionalFormatting sqref="M152">
    <cfRule type="cellIs" dxfId="5614" priority="2584" operator="equal">
      <formula>0</formula>
    </cfRule>
  </conditionalFormatting>
  <conditionalFormatting sqref="N124 N128 N132 N140 N160 N164 N168 N172">
    <cfRule type="cellIs" dxfId="5613" priority="2583" operator="equal">
      <formula>0</formula>
    </cfRule>
  </conditionalFormatting>
  <conditionalFormatting sqref="N144">
    <cfRule type="cellIs" dxfId="5612" priority="2582" operator="equal">
      <formula>0</formula>
    </cfRule>
  </conditionalFormatting>
  <conditionalFormatting sqref="N136">
    <cfRule type="cellIs" dxfId="5611" priority="2581" operator="equal">
      <formula>0</formula>
    </cfRule>
  </conditionalFormatting>
  <conditionalFormatting sqref="N156">
    <cfRule type="cellIs" dxfId="5610" priority="2580" operator="equal">
      <formula>0</formula>
    </cfRule>
  </conditionalFormatting>
  <conditionalFormatting sqref="N148">
    <cfRule type="cellIs" dxfId="5609" priority="2579" operator="equal">
      <formula>0</formula>
    </cfRule>
  </conditionalFormatting>
  <conditionalFormatting sqref="N152">
    <cfRule type="cellIs" dxfId="5608" priority="2578" operator="equal">
      <formula>0</formula>
    </cfRule>
  </conditionalFormatting>
  <conditionalFormatting sqref="O124 O128 O132 O140 O160 O164 O168 O172">
    <cfRule type="cellIs" dxfId="5607" priority="2577" operator="equal">
      <formula>0</formula>
    </cfRule>
  </conditionalFormatting>
  <conditionalFormatting sqref="O144">
    <cfRule type="cellIs" dxfId="5606" priority="2576" operator="equal">
      <formula>0</formula>
    </cfRule>
  </conditionalFormatting>
  <conditionalFormatting sqref="O136">
    <cfRule type="cellIs" dxfId="5605" priority="2575" operator="equal">
      <formula>0</formula>
    </cfRule>
  </conditionalFormatting>
  <conditionalFormatting sqref="O156">
    <cfRule type="cellIs" dxfId="5604" priority="2574" operator="equal">
      <formula>0</formula>
    </cfRule>
  </conditionalFormatting>
  <conditionalFormatting sqref="O148">
    <cfRule type="cellIs" dxfId="5603" priority="2573" operator="equal">
      <formula>0</formula>
    </cfRule>
  </conditionalFormatting>
  <conditionalFormatting sqref="O152">
    <cfRule type="cellIs" dxfId="5602" priority="2572" operator="equal">
      <formula>0</formula>
    </cfRule>
  </conditionalFormatting>
  <conditionalFormatting sqref="P64">
    <cfRule type="cellIs" dxfId="5601" priority="2570" operator="equal">
      <formula>0</formula>
    </cfRule>
    <cfRule type="cellIs" dxfId="5600" priority="2571" operator="notEqual">
      <formula>0</formula>
    </cfRule>
  </conditionalFormatting>
  <conditionalFormatting sqref="P84 P88 P96 P100">
    <cfRule type="cellIs" dxfId="5599" priority="2568" operator="equal">
      <formula>0</formula>
    </cfRule>
    <cfRule type="cellIs" dxfId="5598" priority="2569" operator="notEqual">
      <formula>0</formula>
    </cfRule>
  </conditionalFormatting>
  <conditionalFormatting sqref="P67 P87 P91 P99 P103">
    <cfRule type="cellIs" dxfId="5597" priority="2567" operator="equal">
      <formula>0</formula>
    </cfRule>
  </conditionalFormatting>
  <conditionalFormatting sqref="P68">
    <cfRule type="cellIs" dxfId="5596" priority="2565" operator="equal">
      <formula>0</formula>
    </cfRule>
    <cfRule type="cellIs" dxfId="5595" priority="2566" operator="notEqual">
      <formula>0</formula>
    </cfRule>
  </conditionalFormatting>
  <conditionalFormatting sqref="P71">
    <cfRule type="cellIs" dxfId="5594" priority="2564" operator="equal">
      <formula>0</formula>
    </cfRule>
  </conditionalFormatting>
  <conditionalFormatting sqref="P72">
    <cfRule type="cellIs" dxfId="5593" priority="2562" operator="equal">
      <formula>0</formula>
    </cfRule>
    <cfRule type="cellIs" dxfId="5592" priority="2563" operator="notEqual">
      <formula>0</formula>
    </cfRule>
  </conditionalFormatting>
  <conditionalFormatting sqref="P75">
    <cfRule type="cellIs" dxfId="5591" priority="2561" operator="equal">
      <formula>0</formula>
    </cfRule>
  </conditionalFormatting>
  <conditionalFormatting sqref="P76">
    <cfRule type="cellIs" dxfId="5590" priority="2559" operator="equal">
      <formula>0</formula>
    </cfRule>
    <cfRule type="cellIs" dxfId="5589" priority="2560" operator="notEqual">
      <formula>0</formula>
    </cfRule>
  </conditionalFormatting>
  <conditionalFormatting sqref="P79">
    <cfRule type="cellIs" dxfId="5588" priority="2558" operator="equal">
      <formula>0</formula>
    </cfRule>
  </conditionalFormatting>
  <conditionalFormatting sqref="P80">
    <cfRule type="cellIs" dxfId="5587" priority="2556" operator="equal">
      <formula>0</formula>
    </cfRule>
    <cfRule type="cellIs" dxfId="5586" priority="2557" operator="notEqual">
      <formula>0</formula>
    </cfRule>
  </conditionalFormatting>
  <conditionalFormatting sqref="P83">
    <cfRule type="cellIs" dxfId="5585" priority="2555" operator="equal">
      <formula>0</formula>
    </cfRule>
  </conditionalFormatting>
  <conditionalFormatting sqref="P107">
    <cfRule type="cellIs" dxfId="5584" priority="2552" operator="equal">
      <formula>0</formula>
    </cfRule>
  </conditionalFormatting>
  <conditionalFormatting sqref="P111">
    <cfRule type="cellIs" dxfId="5583" priority="2549" operator="equal">
      <formula>0</formula>
    </cfRule>
  </conditionalFormatting>
  <conditionalFormatting sqref="P104">
    <cfRule type="cellIs" dxfId="5582" priority="2553" operator="equal">
      <formula>0</formula>
    </cfRule>
    <cfRule type="cellIs" dxfId="5581" priority="2554" operator="notEqual">
      <formula>0</formula>
    </cfRule>
  </conditionalFormatting>
  <conditionalFormatting sqref="P108">
    <cfRule type="cellIs" dxfId="5580" priority="2550" operator="equal">
      <formula>0</formula>
    </cfRule>
    <cfRule type="cellIs" dxfId="5579" priority="2551" operator="notEqual">
      <formula>0</formula>
    </cfRule>
  </conditionalFormatting>
  <conditionalFormatting sqref="P92">
    <cfRule type="cellIs" dxfId="5578" priority="2547" operator="equal">
      <formula>0</formula>
    </cfRule>
    <cfRule type="cellIs" dxfId="5577" priority="2548" operator="notEqual">
      <formula>0</formula>
    </cfRule>
  </conditionalFormatting>
  <conditionalFormatting sqref="P95">
    <cfRule type="cellIs" dxfId="5576" priority="2546" operator="equal">
      <formula>0</formula>
    </cfRule>
  </conditionalFormatting>
  <conditionalFormatting sqref="Q64">
    <cfRule type="cellIs" dxfId="5575" priority="2544" operator="equal">
      <formula>0</formula>
    </cfRule>
    <cfRule type="cellIs" dxfId="5574" priority="2545" operator="notEqual">
      <formula>0</formula>
    </cfRule>
  </conditionalFormatting>
  <conditionalFormatting sqref="Q84 Q88 Q96 Q100">
    <cfRule type="cellIs" dxfId="5573" priority="2542" operator="equal">
      <formula>0</formula>
    </cfRule>
    <cfRule type="cellIs" dxfId="5572" priority="2543" operator="notEqual">
      <formula>0</formula>
    </cfRule>
  </conditionalFormatting>
  <conditionalFormatting sqref="Q67 Q87 Q91 Q99 Q103">
    <cfRule type="cellIs" dxfId="5571" priority="2541" operator="equal">
      <formula>0</formula>
    </cfRule>
  </conditionalFormatting>
  <conditionalFormatting sqref="Q68">
    <cfRule type="cellIs" dxfId="5570" priority="2539" operator="equal">
      <formula>0</formula>
    </cfRule>
    <cfRule type="cellIs" dxfId="5569" priority="2540" operator="notEqual">
      <formula>0</formula>
    </cfRule>
  </conditionalFormatting>
  <conditionalFormatting sqref="Q71">
    <cfRule type="cellIs" dxfId="5568" priority="2538" operator="equal">
      <formula>0</formula>
    </cfRule>
  </conditionalFormatting>
  <conditionalFormatting sqref="Q72">
    <cfRule type="cellIs" dxfId="5567" priority="2536" operator="equal">
      <formula>0</formula>
    </cfRule>
    <cfRule type="cellIs" dxfId="5566" priority="2537" operator="notEqual">
      <formula>0</formula>
    </cfRule>
  </conditionalFormatting>
  <conditionalFormatting sqref="Q75">
    <cfRule type="cellIs" dxfId="5565" priority="2535" operator="equal">
      <formula>0</formula>
    </cfRule>
  </conditionalFormatting>
  <conditionalFormatting sqref="Q76">
    <cfRule type="cellIs" dxfId="5564" priority="2533" operator="equal">
      <formula>0</formula>
    </cfRule>
    <cfRule type="cellIs" dxfId="5563" priority="2534" operator="notEqual">
      <formula>0</formula>
    </cfRule>
  </conditionalFormatting>
  <conditionalFormatting sqref="Q79">
    <cfRule type="cellIs" dxfId="5562" priority="2532" operator="equal">
      <formula>0</formula>
    </cfRule>
  </conditionalFormatting>
  <conditionalFormatting sqref="Q80">
    <cfRule type="cellIs" dxfId="5561" priority="2530" operator="equal">
      <formula>0</formula>
    </cfRule>
    <cfRule type="cellIs" dxfId="5560" priority="2531" operator="notEqual">
      <formula>0</formula>
    </cfRule>
  </conditionalFormatting>
  <conditionalFormatting sqref="Q83">
    <cfRule type="cellIs" dxfId="5559" priority="2529" operator="equal">
      <formula>0</formula>
    </cfRule>
  </conditionalFormatting>
  <conditionalFormatting sqref="Q107">
    <cfRule type="cellIs" dxfId="5558" priority="2526" operator="equal">
      <formula>0</formula>
    </cfRule>
  </conditionalFormatting>
  <conditionalFormatting sqref="Q111">
    <cfRule type="cellIs" dxfId="5557" priority="2523" operator="equal">
      <formula>0</formula>
    </cfRule>
  </conditionalFormatting>
  <conditionalFormatting sqref="Q104">
    <cfRule type="cellIs" dxfId="5556" priority="2527" operator="equal">
      <formula>0</formula>
    </cfRule>
    <cfRule type="cellIs" dxfId="5555" priority="2528" operator="notEqual">
      <formula>0</formula>
    </cfRule>
  </conditionalFormatting>
  <conditionalFormatting sqref="Q108">
    <cfRule type="cellIs" dxfId="5554" priority="2524" operator="equal">
      <formula>0</formula>
    </cfRule>
    <cfRule type="cellIs" dxfId="5553" priority="2525" operator="notEqual">
      <formula>0</formula>
    </cfRule>
  </conditionalFormatting>
  <conditionalFormatting sqref="Q92">
    <cfRule type="cellIs" dxfId="5552" priority="2521" operator="equal">
      <formula>0</formula>
    </cfRule>
    <cfRule type="cellIs" dxfId="5551" priority="2522" operator="notEqual">
      <formula>0</formula>
    </cfRule>
  </conditionalFormatting>
  <conditionalFormatting sqref="Q95">
    <cfRule type="cellIs" dxfId="5550" priority="2520" operator="equal">
      <formula>0</formula>
    </cfRule>
  </conditionalFormatting>
  <conditionalFormatting sqref="R64">
    <cfRule type="cellIs" dxfId="5549" priority="2518" operator="equal">
      <formula>0</formula>
    </cfRule>
    <cfRule type="cellIs" dxfId="5548" priority="2519" operator="notEqual">
      <formula>0</formula>
    </cfRule>
  </conditionalFormatting>
  <conditionalFormatting sqref="R84 R88 R96 R100">
    <cfRule type="cellIs" dxfId="5547" priority="2516" operator="equal">
      <formula>0</formula>
    </cfRule>
    <cfRule type="cellIs" dxfId="5546" priority="2517" operator="notEqual">
      <formula>0</formula>
    </cfRule>
  </conditionalFormatting>
  <conditionalFormatting sqref="R67 R87 R91 R99 R103">
    <cfRule type="cellIs" dxfId="5545" priority="2515" operator="equal">
      <formula>0</formula>
    </cfRule>
  </conditionalFormatting>
  <conditionalFormatting sqref="R68">
    <cfRule type="cellIs" dxfId="5544" priority="2513" operator="equal">
      <formula>0</formula>
    </cfRule>
    <cfRule type="cellIs" dxfId="5543" priority="2514" operator="notEqual">
      <formula>0</formula>
    </cfRule>
  </conditionalFormatting>
  <conditionalFormatting sqref="R71">
    <cfRule type="cellIs" dxfId="5542" priority="2512" operator="equal">
      <formula>0</formula>
    </cfRule>
  </conditionalFormatting>
  <conditionalFormatting sqref="R72">
    <cfRule type="cellIs" dxfId="5541" priority="2510" operator="equal">
      <formula>0</formula>
    </cfRule>
    <cfRule type="cellIs" dxfId="5540" priority="2511" operator="notEqual">
      <formula>0</formula>
    </cfRule>
  </conditionalFormatting>
  <conditionalFormatting sqref="R75">
    <cfRule type="cellIs" dxfId="5539" priority="2509" operator="equal">
      <formula>0</formula>
    </cfRule>
  </conditionalFormatting>
  <conditionalFormatting sqref="R76">
    <cfRule type="cellIs" dxfId="5538" priority="2507" operator="equal">
      <formula>0</formula>
    </cfRule>
    <cfRule type="cellIs" dxfId="5537" priority="2508" operator="notEqual">
      <formula>0</formula>
    </cfRule>
  </conditionalFormatting>
  <conditionalFormatting sqref="R79">
    <cfRule type="cellIs" dxfId="5536" priority="2506" operator="equal">
      <formula>0</formula>
    </cfRule>
  </conditionalFormatting>
  <conditionalFormatting sqref="R80">
    <cfRule type="cellIs" dxfId="5535" priority="2504" operator="equal">
      <formula>0</formula>
    </cfRule>
    <cfRule type="cellIs" dxfId="5534" priority="2505" operator="notEqual">
      <formula>0</formula>
    </cfRule>
  </conditionalFormatting>
  <conditionalFormatting sqref="R83">
    <cfRule type="cellIs" dxfId="5533" priority="2503" operator="equal">
      <formula>0</formula>
    </cfRule>
  </conditionalFormatting>
  <conditionalFormatting sqref="R107">
    <cfRule type="cellIs" dxfId="5532" priority="2500" operator="equal">
      <formula>0</formula>
    </cfRule>
  </conditionalFormatting>
  <conditionalFormatting sqref="R111">
    <cfRule type="cellIs" dxfId="5531" priority="2497" operator="equal">
      <formula>0</formula>
    </cfRule>
  </conditionalFormatting>
  <conditionalFormatting sqref="R104">
    <cfRule type="cellIs" dxfId="5530" priority="2501" operator="equal">
      <formula>0</formula>
    </cfRule>
    <cfRule type="cellIs" dxfId="5529" priority="2502" operator="notEqual">
      <formula>0</formula>
    </cfRule>
  </conditionalFormatting>
  <conditionalFormatting sqref="R108">
    <cfRule type="cellIs" dxfId="5528" priority="2498" operator="equal">
      <formula>0</formula>
    </cfRule>
    <cfRule type="cellIs" dxfId="5527" priority="2499" operator="notEqual">
      <formula>0</formula>
    </cfRule>
  </conditionalFormatting>
  <conditionalFormatting sqref="R92">
    <cfRule type="cellIs" dxfId="5526" priority="2495" operator="equal">
      <formula>0</formula>
    </cfRule>
    <cfRule type="cellIs" dxfId="5525" priority="2496" operator="notEqual">
      <formula>0</formula>
    </cfRule>
  </conditionalFormatting>
  <conditionalFormatting sqref="R95">
    <cfRule type="cellIs" dxfId="5524" priority="2494" operator="equal">
      <formula>0</formula>
    </cfRule>
  </conditionalFormatting>
  <conditionalFormatting sqref="S64">
    <cfRule type="cellIs" dxfId="5523" priority="2492" operator="equal">
      <formula>0</formula>
    </cfRule>
    <cfRule type="cellIs" dxfId="5522" priority="2493" operator="notEqual">
      <formula>0</formula>
    </cfRule>
  </conditionalFormatting>
  <conditionalFormatting sqref="S84 S88 S96 S100">
    <cfRule type="cellIs" dxfId="5521" priority="2490" operator="equal">
      <formula>0</formula>
    </cfRule>
    <cfRule type="cellIs" dxfId="5520" priority="2491" operator="notEqual">
      <formula>0</formula>
    </cfRule>
  </conditionalFormatting>
  <conditionalFormatting sqref="S67 S87 S91 S99 S103">
    <cfRule type="cellIs" dxfId="5519" priority="2489" operator="equal">
      <formula>0</formula>
    </cfRule>
  </conditionalFormatting>
  <conditionalFormatting sqref="S68">
    <cfRule type="cellIs" dxfId="5518" priority="2487" operator="equal">
      <formula>0</formula>
    </cfRule>
    <cfRule type="cellIs" dxfId="5517" priority="2488" operator="notEqual">
      <formula>0</formula>
    </cfRule>
  </conditionalFormatting>
  <conditionalFormatting sqref="S71">
    <cfRule type="cellIs" dxfId="5516" priority="2486" operator="equal">
      <formula>0</formula>
    </cfRule>
  </conditionalFormatting>
  <conditionalFormatting sqref="S72">
    <cfRule type="cellIs" dxfId="5515" priority="2484" operator="equal">
      <formula>0</formula>
    </cfRule>
    <cfRule type="cellIs" dxfId="5514" priority="2485" operator="notEqual">
      <formula>0</formula>
    </cfRule>
  </conditionalFormatting>
  <conditionalFormatting sqref="S75">
    <cfRule type="cellIs" dxfId="5513" priority="2483" operator="equal">
      <formula>0</formula>
    </cfRule>
  </conditionalFormatting>
  <conditionalFormatting sqref="S76">
    <cfRule type="cellIs" dxfId="5512" priority="2481" operator="equal">
      <formula>0</formula>
    </cfRule>
    <cfRule type="cellIs" dxfId="5511" priority="2482" operator="notEqual">
      <formula>0</formula>
    </cfRule>
  </conditionalFormatting>
  <conditionalFormatting sqref="S79">
    <cfRule type="cellIs" dxfId="5510" priority="2480" operator="equal">
      <formula>0</formula>
    </cfRule>
  </conditionalFormatting>
  <conditionalFormatting sqref="S80">
    <cfRule type="cellIs" dxfId="5509" priority="2478" operator="equal">
      <formula>0</formula>
    </cfRule>
    <cfRule type="cellIs" dxfId="5508" priority="2479" operator="notEqual">
      <formula>0</formula>
    </cfRule>
  </conditionalFormatting>
  <conditionalFormatting sqref="S83">
    <cfRule type="cellIs" dxfId="5507" priority="2477" operator="equal">
      <formula>0</formula>
    </cfRule>
  </conditionalFormatting>
  <conditionalFormatting sqref="S107">
    <cfRule type="cellIs" dxfId="5506" priority="2474" operator="equal">
      <formula>0</formula>
    </cfRule>
  </conditionalFormatting>
  <conditionalFormatting sqref="S111">
    <cfRule type="cellIs" dxfId="5505" priority="2471" operator="equal">
      <formula>0</formula>
    </cfRule>
  </conditionalFormatting>
  <conditionalFormatting sqref="S104">
    <cfRule type="cellIs" dxfId="5504" priority="2475" operator="equal">
      <formula>0</formula>
    </cfRule>
    <cfRule type="cellIs" dxfId="5503" priority="2476" operator="notEqual">
      <formula>0</formula>
    </cfRule>
  </conditionalFormatting>
  <conditionalFormatting sqref="S108">
    <cfRule type="cellIs" dxfId="5502" priority="2472" operator="equal">
      <formula>0</formula>
    </cfRule>
    <cfRule type="cellIs" dxfId="5501" priority="2473" operator="notEqual">
      <formula>0</formula>
    </cfRule>
  </conditionalFormatting>
  <conditionalFormatting sqref="S92">
    <cfRule type="cellIs" dxfId="5500" priority="2469" operator="equal">
      <formula>0</formula>
    </cfRule>
    <cfRule type="cellIs" dxfId="5499" priority="2470" operator="notEqual">
      <formula>0</formula>
    </cfRule>
  </conditionalFormatting>
  <conditionalFormatting sqref="S95">
    <cfRule type="cellIs" dxfId="5498" priority="2468" operator="equal">
      <formula>0</formula>
    </cfRule>
  </conditionalFormatting>
  <conditionalFormatting sqref="D65:D66">
    <cfRule type="cellIs" dxfId="5497" priority="2466" operator="equal">
      <formula>0</formula>
    </cfRule>
    <cfRule type="cellIs" dxfId="5496" priority="2467" operator="notEqual">
      <formula>0</formula>
    </cfRule>
  </conditionalFormatting>
  <conditionalFormatting sqref="D69:D70 D73:D74 D81:D82 D101:D102 D105:D106 D109:D110">
    <cfRule type="cellIs" dxfId="5495" priority="2464" operator="equal">
      <formula>0</formula>
    </cfRule>
    <cfRule type="cellIs" dxfId="5494" priority="2465" operator="notEqual">
      <formula>0</formula>
    </cfRule>
  </conditionalFormatting>
  <conditionalFormatting sqref="D67 D71 D75 D83 D103 D107 D111">
    <cfRule type="cellIs" dxfId="5493" priority="2463" operator="equal">
      <formula>0</formula>
    </cfRule>
  </conditionalFormatting>
  <conditionalFormatting sqref="D87">
    <cfRule type="cellIs" dxfId="5492" priority="2460" operator="equal">
      <formula>0</formula>
    </cfRule>
  </conditionalFormatting>
  <conditionalFormatting sqref="D79">
    <cfRule type="cellIs" dxfId="5491" priority="2457" operator="equal">
      <formula>0</formula>
    </cfRule>
  </conditionalFormatting>
  <conditionalFormatting sqref="D85:D86">
    <cfRule type="cellIs" dxfId="5490" priority="2461" operator="equal">
      <formula>0</formula>
    </cfRule>
    <cfRule type="cellIs" dxfId="5489" priority="2462" operator="notEqual">
      <formula>0</formula>
    </cfRule>
  </conditionalFormatting>
  <conditionalFormatting sqref="D99">
    <cfRule type="cellIs" dxfId="5488" priority="2454" operator="equal">
      <formula>0</formula>
    </cfRule>
  </conditionalFormatting>
  <conditionalFormatting sqref="D77:D78">
    <cfRule type="cellIs" dxfId="5487" priority="2458" operator="equal">
      <formula>0</formula>
    </cfRule>
    <cfRule type="cellIs" dxfId="5486" priority="2459" operator="notEqual">
      <formula>0</formula>
    </cfRule>
  </conditionalFormatting>
  <conditionalFormatting sqref="D91">
    <cfRule type="cellIs" dxfId="5485" priority="2451" operator="equal">
      <formula>0</formula>
    </cfRule>
  </conditionalFormatting>
  <conditionalFormatting sqref="D97:D98">
    <cfRule type="cellIs" dxfId="5484" priority="2455" operator="equal">
      <formula>0</formula>
    </cfRule>
    <cfRule type="cellIs" dxfId="5483" priority="2456" operator="notEqual">
      <formula>0</formula>
    </cfRule>
  </conditionalFormatting>
  <conditionalFormatting sqref="D89:D90">
    <cfRule type="cellIs" dxfId="5482" priority="2452" operator="equal">
      <formula>0</formula>
    </cfRule>
    <cfRule type="cellIs" dxfId="5481" priority="2453" operator="notEqual">
      <formula>0</formula>
    </cfRule>
  </conditionalFormatting>
  <conditionalFormatting sqref="D95">
    <cfRule type="cellIs" dxfId="5480" priority="2448" operator="equal">
      <formula>0</formula>
    </cfRule>
  </conditionalFormatting>
  <conditionalFormatting sqref="D93:D94">
    <cfRule type="cellIs" dxfId="5479" priority="2449" operator="equal">
      <formula>0</formula>
    </cfRule>
    <cfRule type="cellIs" dxfId="5478" priority="2450" operator="notEqual">
      <formula>0</formula>
    </cfRule>
  </conditionalFormatting>
  <conditionalFormatting sqref="E65:E66">
    <cfRule type="cellIs" dxfId="5477" priority="2446" operator="equal">
      <formula>0</formula>
    </cfRule>
    <cfRule type="cellIs" dxfId="5476" priority="2447" operator="notEqual">
      <formula>0</formula>
    </cfRule>
  </conditionalFormatting>
  <conditionalFormatting sqref="E69:E70 E73:E74 E81:E82 E101:E102 E105:E106 E109:E110">
    <cfRule type="cellIs" dxfId="5475" priority="2444" operator="equal">
      <formula>0</formula>
    </cfRule>
    <cfRule type="cellIs" dxfId="5474" priority="2445" operator="notEqual">
      <formula>0</formula>
    </cfRule>
  </conditionalFormatting>
  <conditionalFormatting sqref="E67 E71 E75 E83 E103 E107 E111">
    <cfRule type="cellIs" dxfId="5473" priority="2443" operator="equal">
      <formula>0</formula>
    </cfRule>
  </conditionalFormatting>
  <conditionalFormatting sqref="E87">
    <cfRule type="cellIs" dxfId="5472" priority="2440" operator="equal">
      <formula>0</formula>
    </cfRule>
  </conditionalFormatting>
  <conditionalFormatting sqref="E79">
    <cfRule type="cellIs" dxfId="5471" priority="2437" operator="equal">
      <formula>0</formula>
    </cfRule>
  </conditionalFormatting>
  <conditionalFormatting sqref="E85:E86">
    <cfRule type="cellIs" dxfId="5470" priority="2441" operator="equal">
      <formula>0</formula>
    </cfRule>
    <cfRule type="cellIs" dxfId="5469" priority="2442" operator="notEqual">
      <formula>0</formula>
    </cfRule>
  </conditionalFormatting>
  <conditionalFormatting sqref="E99">
    <cfRule type="cellIs" dxfId="5468" priority="2434" operator="equal">
      <formula>0</formula>
    </cfRule>
  </conditionalFormatting>
  <conditionalFormatting sqref="E77:E78">
    <cfRule type="cellIs" dxfId="5467" priority="2438" operator="equal">
      <formula>0</formula>
    </cfRule>
    <cfRule type="cellIs" dxfId="5466" priority="2439" operator="notEqual">
      <formula>0</formula>
    </cfRule>
  </conditionalFormatting>
  <conditionalFormatting sqref="E91">
    <cfRule type="cellIs" dxfId="5465" priority="2431" operator="equal">
      <formula>0</formula>
    </cfRule>
  </conditionalFormatting>
  <conditionalFormatting sqref="E97:E98">
    <cfRule type="cellIs" dxfId="5464" priority="2435" operator="equal">
      <formula>0</formula>
    </cfRule>
    <cfRule type="cellIs" dxfId="5463" priority="2436" operator="notEqual">
      <formula>0</formula>
    </cfRule>
  </conditionalFormatting>
  <conditionalFormatting sqref="E89:E90">
    <cfRule type="cellIs" dxfId="5462" priority="2432" operator="equal">
      <formula>0</formula>
    </cfRule>
    <cfRule type="cellIs" dxfId="5461" priority="2433" operator="notEqual">
      <formula>0</formula>
    </cfRule>
  </conditionalFormatting>
  <conditionalFormatting sqref="E95">
    <cfRule type="cellIs" dxfId="5460" priority="2428" operator="equal">
      <formula>0</formula>
    </cfRule>
  </conditionalFormatting>
  <conditionalFormatting sqref="E93:E94">
    <cfRule type="cellIs" dxfId="5459" priority="2429" operator="equal">
      <formula>0</formula>
    </cfRule>
    <cfRule type="cellIs" dxfId="5458" priority="2430" operator="notEqual">
      <formula>0</formula>
    </cfRule>
  </conditionalFormatting>
  <conditionalFormatting sqref="F65:F66">
    <cfRule type="cellIs" dxfId="5457" priority="2426" operator="equal">
      <formula>0</formula>
    </cfRule>
    <cfRule type="cellIs" dxfId="5456" priority="2427" operator="notEqual">
      <formula>0</formula>
    </cfRule>
  </conditionalFormatting>
  <conditionalFormatting sqref="F69:F70 F73:F74 F81:F82 F101:F102 F105:F106 F109:F110">
    <cfRule type="cellIs" dxfId="5455" priority="2424" operator="equal">
      <formula>0</formula>
    </cfRule>
    <cfRule type="cellIs" dxfId="5454" priority="2425" operator="notEqual">
      <formula>0</formula>
    </cfRule>
  </conditionalFormatting>
  <conditionalFormatting sqref="F67 F71 F75 F83 F103 F107 F111">
    <cfRule type="cellIs" dxfId="5453" priority="2423" operator="equal">
      <formula>0</formula>
    </cfRule>
  </conditionalFormatting>
  <conditionalFormatting sqref="F87">
    <cfRule type="cellIs" dxfId="5452" priority="2420" operator="equal">
      <formula>0</formula>
    </cfRule>
  </conditionalFormatting>
  <conditionalFormatting sqref="F79">
    <cfRule type="cellIs" dxfId="5451" priority="2417" operator="equal">
      <formula>0</formula>
    </cfRule>
  </conditionalFormatting>
  <conditionalFormatting sqref="F85:F86">
    <cfRule type="cellIs" dxfId="5450" priority="2421" operator="equal">
      <formula>0</formula>
    </cfRule>
    <cfRule type="cellIs" dxfId="5449" priority="2422" operator="notEqual">
      <formula>0</formula>
    </cfRule>
  </conditionalFormatting>
  <conditionalFormatting sqref="F99">
    <cfRule type="cellIs" dxfId="5448" priority="2414" operator="equal">
      <formula>0</formula>
    </cfRule>
  </conditionalFormatting>
  <conditionalFormatting sqref="F77:F78">
    <cfRule type="cellIs" dxfId="5447" priority="2418" operator="equal">
      <formula>0</formula>
    </cfRule>
    <cfRule type="cellIs" dxfId="5446" priority="2419" operator="notEqual">
      <formula>0</formula>
    </cfRule>
  </conditionalFormatting>
  <conditionalFormatting sqref="F91">
    <cfRule type="cellIs" dxfId="5445" priority="2411" operator="equal">
      <formula>0</formula>
    </cfRule>
  </conditionalFormatting>
  <conditionalFormatting sqref="F97:F98">
    <cfRule type="cellIs" dxfId="5444" priority="2415" operator="equal">
      <formula>0</formula>
    </cfRule>
    <cfRule type="cellIs" dxfId="5443" priority="2416" operator="notEqual">
      <formula>0</formula>
    </cfRule>
  </conditionalFormatting>
  <conditionalFormatting sqref="F89:F90">
    <cfRule type="cellIs" dxfId="5442" priority="2412" operator="equal">
      <formula>0</formula>
    </cfRule>
    <cfRule type="cellIs" dxfId="5441" priority="2413" operator="notEqual">
      <formula>0</formula>
    </cfRule>
  </conditionalFormatting>
  <conditionalFormatting sqref="F95">
    <cfRule type="cellIs" dxfId="5440" priority="2408" operator="equal">
      <formula>0</formula>
    </cfRule>
  </conditionalFormatting>
  <conditionalFormatting sqref="F93:F94">
    <cfRule type="cellIs" dxfId="5439" priority="2409" operator="equal">
      <formula>0</formula>
    </cfRule>
    <cfRule type="cellIs" dxfId="5438" priority="2410" operator="notEqual">
      <formula>0</formula>
    </cfRule>
  </conditionalFormatting>
  <conditionalFormatting sqref="G65:G66">
    <cfRule type="cellIs" dxfId="5437" priority="2406" operator="equal">
      <formula>0</formula>
    </cfRule>
    <cfRule type="cellIs" dxfId="5436" priority="2407" operator="notEqual">
      <formula>0</formula>
    </cfRule>
  </conditionalFormatting>
  <conditionalFormatting sqref="G69:G70 G73:G74 G81:G82 G101:G102 G105:G106 G109:G110">
    <cfRule type="cellIs" dxfId="5435" priority="2404" operator="equal">
      <formula>0</formula>
    </cfRule>
    <cfRule type="cellIs" dxfId="5434" priority="2405" operator="notEqual">
      <formula>0</formula>
    </cfRule>
  </conditionalFormatting>
  <conditionalFormatting sqref="G67 G71 G75 G83 G103 G107 G111">
    <cfRule type="cellIs" dxfId="5433" priority="2403" operator="equal">
      <formula>0</formula>
    </cfRule>
  </conditionalFormatting>
  <conditionalFormatting sqref="G87">
    <cfRule type="cellIs" dxfId="5432" priority="2400" operator="equal">
      <formula>0</formula>
    </cfRule>
  </conditionalFormatting>
  <conditionalFormatting sqref="G79">
    <cfRule type="cellIs" dxfId="5431" priority="2397" operator="equal">
      <formula>0</formula>
    </cfRule>
  </conditionalFormatting>
  <conditionalFormatting sqref="G85:G86">
    <cfRule type="cellIs" dxfId="5430" priority="2401" operator="equal">
      <formula>0</formula>
    </cfRule>
    <cfRule type="cellIs" dxfId="5429" priority="2402" operator="notEqual">
      <formula>0</formula>
    </cfRule>
  </conditionalFormatting>
  <conditionalFormatting sqref="G99">
    <cfRule type="cellIs" dxfId="5428" priority="2394" operator="equal">
      <formula>0</formula>
    </cfRule>
  </conditionalFormatting>
  <conditionalFormatting sqref="G77:G78">
    <cfRule type="cellIs" dxfId="5427" priority="2398" operator="equal">
      <formula>0</formula>
    </cfRule>
    <cfRule type="cellIs" dxfId="5426" priority="2399" operator="notEqual">
      <formula>0</formula>
    </cfRule>
  </conditionalFormatting>
  <conditionalFormatting sqref="G91">
    <cfRule type="cellIs" dxfId="5425" priority="2391" operator="equal">
      <formula>0</formula>
    </cfRule>
  </conditionalFormatting>
  <conditionalFormatting sqref="G97:G98">
    <cfRule type="cellIs" dxfId="5424" priority="2395" operator="equal">
      <formula>0</formula>
    </cfRule>
    <cfRule type="cellIs" dxfId="5423" priority="2396" operator="notEqual">
      <formula>0</formula>
    </cfRule>
  </conditionalFormatting>
  <conditionalFormatting sqref="G89:G90">
    <cfRule type="cellIs" dxfId="5422" priority="2392" operator="equal">
      <formula>0</formula>
    </cfRule>
    <cfRule type="cellIs" dxfId="5421" priority="2393" operator="notEqual">
      <formula>0</formula>
    </cfRule>
  </conditionalFormatting>
  <conditionalFormatting sqref="G95">
    <cfRule type="cellIs" dxfId="5420" priority="2388" operator="equal">
      <formula>0</formula>
    </cfRule>
  </conditionalFormatting>
  <conditionalFormatting sqref="G93:G94">
    <cfRule type="cellIs" dxfId="5419" priority="2389" operator="equal">
      <formula>0</formula>
    </cfRule>
    <cfRule type="cellIs" dxfId="5418" priority="2390" operator="notEqual">
      <formula>0</formula>
    </cfRule>
  </conditionalFormatting>
  <conditionalFormatting sqref="H65:H66">
    <cfRule type="cellIs" dxfId="5417" priority="2386" operator="equal">
      <formula>0</formula>
    </cfRule>
    <cfRule type="cellIs" dxfId="5416" priority="2387" operator="notEqual">
      <formula>0</formula>
    </cfRule>
  </conditionalFormatting>
  <conditionalFormatting sqref="H69:H70 H73:H74 H81:H82 H101:H102 H105:H106 H109:H110">
    <cfRule type="cellIs" dxfId="5415" priority="2384" operator="equal">
      <formula>0</formula>
    </cfRule>
    <cfRule type="cellIs" dxfId="5414" priority="2385" operator="notEqual">
      <formula>0</formula>
    </cfRule>
  </conditionalFormatting>
  <conditionalFormatting sqref="H67 H71 H75 H83 H103 H107 H111">
    <cfRule type="cellIs" dxfId="5413" priority="2383" operator="equal">
      <formula>0</formula>
    </cfRule>
  </conditionalFormatting>
  <conditionalFormatting sqref="H87">
    <cfRule type="cellIs" dxfId="5412" priority="2380" operator="equal">
      <formula>0</formula>
    </cfRule>
  </conditionalFormatting>
  <conditionalFormatting sqref="H79">
    <cfRule type="cellIs" dxfId="5411" priority="2377" operator="equal">
      <formula>0</formula>
    </cfRule>
  </conditionalFormatting>
  <conditionalFormatting sqref="H85:H86">
    <cfRule type="cellIs" dxfId="5410" priority="2381" operator="equal">
      <formula>0</formula>
    </cfRule>
    <cfRule type="cellIs" dxfId="5409" priority="2382" operator="notEqual">
      <formula>0</formula>
    </cfRule>
  </conditionalFormatting>
  <conditionalFormatting sqref="H99">
    <cfRule type="cellIs" dxfId="5408" priority="2374" operator="equal">
      <formula>0</formula>
    </cfRule>
  </conditionalFormatting>
  <conditionalFormatting sqref="H77:H78">
    <cfRule type="cellIs" dxfId="5407" priority="2378" operator="equal">
      <formula>0</formula>
    </cfRule>
    <cfRule type="cellIs" dxfId="5406" priority="2379" operator="notEqual">
      <formula>0</formula>
    </cfRule>
  </conditionalFormatting>
  <conditionalFormatting sqref="H91">
    <cfRule type="cellIs" dxfId="5405" priority="2371" operator="equal">
      <formula>0</formula>
    </cfRule>
  </conditionalFormatting>
  <conditionalFormatting sqref="H97:H98">
    <cfRule type="cellIs" dxfId="5404" priority="2375" operator="equal">
      <formula>0</formula>
    </cfRule>
    <cfRule type="cellIs" dxfId="5403" priority="2376" operator="notEqual">
      <formula>0</formula>
    </cfRule>
  </conditionalFormatting>
  <conditionalFormatting sqref="H89:H90">
    <cfRule type="cellIs" dxfId="5402" priority="2372" operator="equal">
      <formula>0</formula>
    </cfRule>
    <cfRule type="cellIs" dxfId="5401" priority="2373" operator="notEqual">
      <formula>0</formula>
    </cfRule>
  </conditionalFormatting>
  <conditionalFormatting sqref="H95">
    <cfRule type="cellIs" dxfId="5400" priority="2368" operator="equal">
      <formula>0</formula>
    </cfRule>
  </conditionalFormatting>
  <conditionalFormatting sqref="H93:H94">
    <cfRule type="cellIs" dxfId="5399" priority="2369" operator="equal">
      <formula>0</formula>
    </cfRule>
    <cfRule type="cellIs" dxfId="5398" priority="2370" operator="notEqual">
      <formula>0</formula>
    </cfRule>
  </conditionalFormatting>
  <conditionalFormatting sqref="I65:I66">
    <cfRule type="cellIs" dxfId="5397" priority="2366" operator="equal">
      <formula>0</formula>
    </cfRule>
    <cfRule type="cellIs" dxfId="5396" priority="2367" operator="notEqual">
      <formula>0</formula>
    </cfRule>
  </conditionalFormatting>
  <conditionalFormatting sqref="I69:I70 I73:I74 I81:I82 I101:I102 I105:I106 I109:I110">
    <cfRule type="cellIs" dxfId="5395" priority="2364" operator="equal">
      <formula>0</formula>
    </cfRule>
    <cfRule type="cellIs" dxfId="5394" priority="2365" operator="notEqual">
      <formula>0</formula>
    </cfRule>
  </conditionalFormatting>
  <conditionalFormatting sqref="I67 I71 I75 I83 I103 I107 I111">
    <cfRule type="cellIs" dxfId="5393" priority="2363" operator="equal">
      <formula>0</formula>
    </cfRule>
  </conditionalFormatting>
  <conditionalFormatting sqref="I87">
    <cfRule type="cellIs" dxfId="5392" priority="2360" operator="equal">
      <formula>0</formula>
    </cfRule>
  </conditionalFormatting>
  <conditionalFormatting sqref="I79">
    <cfRule type="cellIs" dxfId="5391" priority="2357" operator="equal">
      <formula>0</formula>
    </cfRule>
  </conditionalFormatting>
  <conditionalFormatting sqref="I85:I86">
    <cfRule type="cellIs" dxfId="5390" priority="2361" operator="equal">
      <formula>0</formula>
    </cfRule>
    <cfRule type="cellIs" dxfId="5389" priority="2362" operator="notEqual">
      <formula>0</formula>
    </cfRule>
  </conditionalFormatting>
  <conditionalFormatting sqref="I99">
    <cfRule type="cellIs" dxfId="5388" priority="2354" operator="equal">
      <formula>0</formula>
    </cfRule>
  </conditionalFormatting>
  <conditionalFormatting sqref="I77:I78">
    <cfRule type="cellIs" dxfId="5387" priority="2358" operator="equal">
      <formula>0</formula>
    </cfRule>
    <cfRule type="cellIs" dxfId="5386" priority="2359" operator="notEqual">
      <formula>0</formula>
    </cfRule>
  </conditionalFormatting>
  <conditionalFormatting sqref="I91">
    <cfRule type="cellIs" dxfId="5385" priority="2351" operator="equal">
      <formula>0</formula>
    </cfRule>
  </conditionalFormatting>
  <conditionalFormatting sqref="I97:I98">
    <cfRule type="cellIs" dxfId="5384" priority="2355" operator="equal">
      <formula>0</formula>
    </cfRule>
    <cfRule type="cellIs" dxfId="5383" priority="2356" operator="notEqual">
      <formula>0</formula>
    </cfRule>
  </conditionalFormatting>
  <conditionalFormatting sqref="I89:I90">
    <cfRule type="cellIs" dxfId="5382" priority="2352" operator="equal">
      <formula>0</formula>
    </cfRule>
    <cfRule type="cellIs" dxfId="5381" priority="2353" operator="notEqual">
      <formula>0</formula>
    </cfRule>
  </conditionalFormatting>
  <conditionalFormatting sqref="I95">
    <cfRule type="cellIs" dxfId="5380" priority="2348" operator="equal">
      <formula>0</formula>
    </cfRule>
  </conditionalFormatting>
  <conditionalFormatting sqref="I93:I94">
    <cfRule type="cellIs" dxfId="5379" priority="2349" operator="equal">
      <formula>0</formula>
    </cfRule>
    <cfRule type="cellIs" dxfId="5378" priority="2350" operator="notEqual">
      <formula>0</formula>
    </cfRule>
  </conditionalFormatting>
  <conditionalFormatting sqref="J65:J66">
    <cfRule type="cellIs" dxfId="5377" priority="2346" operator="equal">
      <formula>0</formula>
    </cfRule>
    <cfRule type="cellIs" dxfId="5376" priority="2347" operator="notEqual">
      <formula>0</formula>
    </cfRule>
  </conditionalFormatting>
  <conditionalFormatting sqref="J69:J70 J73:J74 J81:J82 J101:J102 J105:J106 J109:J110">
    <cfRule type="cellIs" dxfId="5375" priority="2344" operator="equal">
      <formula>0</formula>
    </cfRule>
    <cfRule type="cellIs" dxfId="5374" priority="2345" operator="notEqual">
      <formula>0</formula>
    </cfRule>
  </conditionalFormatting>
  <conditionalFormatting sqref="J67 J71 J75 J83 J103 J107 J111">
    <cfRule type="cellIs" dxfId="5373" priority="2343" operator="equal">
      <formula>0</formula>
    </cfRule>
  </conditionalFormatting>
  <conditionalFormatting sqref="J87">
    <cfRule type="cellIs" dxfId="5372" priority="2340" operator="equal">
      <formula>0</formula>
    </cfRule>
  </conditionalFormatting>
  <conditionalFormatting sqref="J79">
    <cfRule type="cellIs" dxfId="5371" priority="2337" operator="equal">
      <formula>0</formula>
    </cfRule>
  </conditionalFormatting>
  <conditionalFormatting sqref="J85:J86">
    <cfRule type="cellIs" dxfId="5370" priority="2341" operator="equal">
      <formula>0</formula>
    </cfRule>
    <cfRule type="cellIs" dxfId="5369" priority="2342" operator="notEqual">
      <formula>0</formula>
    </cfRule>
  </conditionalFormatting>
  <conditionalFormatting sqref="J99">
    <cfRule type="cellIs" dxfId="5368" priority="2334" operator="equal">
      <formula>0</formula>
    </cfRule>
  </conditionalFormatting>
  <conditionalFormatting sqref="J77:J78">
    <cfRule type="cellIs" dxfId="5367" priority="2338" operator="equal">
      <formula>0</formula>
    </cfRule>
    <cfRule type="cellIs" dxfId="5366" priority="2339" operator="notEqual">
      <formula>0</formula>
    </cfRule>
  </conditionalFormatting>
  <conditionalFormatting sqref="J91">
    <cfRule type="cellIs" dxfId="5365" priority="2331" operator="equal">
      <formula>0</formula>
    </cfRule>
  </conditionalFormatting>
  <conditionalFormatting sqref="J97:J98">
    <cfRule type="cellIs" dxfId="5364" priority="2335" operator="equal">
      <formula>0</formula>
    </cfRule>
    <cfRule type="cellIs" dxfId="5363" priority="2336" operator="notEqual">
      <formula>0</formula>
    </cfRule>
  </conditionalFormatting>
  <conditionalFormatting sqref="J89:J90">
    <cfRule type="cellIs" dxfId="5362" priority="2332" operator="equal">
      <formula>0</formula>
    </cfRule>
    <cfRule type="cellIs" dxfId="5361" priority="2333" operator="notEqual">
      <formula>0</formula>
    </cfRule>
  </conditionalFormatting>
  <conditionalFormatting sqref="J95">
    <cfRule type="cellIs" dxfId="5360" priority="2328" operator="equal">
      <formula>0</formula>
    </cfRule>
  </conditionalFormatting>
  <conditionalFormatting sqref="J93:J94">
    <cfRule type="cellIs" dxfId="5359" priority="2329" operator="equal">
      <formula>0</formula>
    </cfRule>
    <cfRule type="cellIs" dxfId="5358" priority="2330" operator="notEqual">
      <formula>0</formula>
    </cfRule>
  </conditionalFormatting>
  <conditionalFormatting sqref="K65:K66">
    <cfRule type="cellIs" dxfId="5357" priority="2326" operator="equal">
      <formula>0</formula>
    </cfRule>
    <cfRule type="cellIs" dxfId="5356" priority="2327" operator="notEqual">
      <formula>0</formula>
    </cfRule>
  </conditionalFormatting>
  <conditionalFormatting sqref="K69:K70 K73:K74 K81:K82 K101:K102 K105:K106 K109:K110">
    <cfRule type="cellIs" dxfId="5355" priority="2324" operator="equal">
      <formula>0</formula>
    </cfRule>
    <cfRule type="cellIs" dxfId="5354" priority="2325" operator="notEqual">
      <formula>0</formula>
    </cfRule>
  </conditionalFormatting>
  <conditionalFormatting sqref="K67 K71 K75 K83 K103 K107 K111">
    <cfRule type="cellIs" dxfId="5353" priority="2323" operator="equal">
      <formula>0</formula>
    </cfRule>
  </conditionalFormatting>
  <conditionalFormatting sqref="K87">
    <cfRule type="cellIs" dxfId="5352" priority="2320" operator="equal">
      <formula>0</formula>
    </cfRule>
  </conditionalFormatting>
  <conditionalFormatting sqref="K79">
    <cfRule type="cellIs" dxfId="5351" priority="2317" operator="equal">
      <formula>0</formula>
    </cfRule>
  </conditionalFormatting>
  <conditionalFormatting sqref="K85:K86">
    <cfRule type="cellIs" dxfId="5350" priority="2321" operator="equal">
      <formula>0</formula>
    </cfRule>
    <cfRule type="cellIs" dxfId="5349" priority="2322" operator="notEqual">
      <formula>0</formula>
    </cfRule>
  </conditionalFormatting>
  <conditionalFormatting sqref="K99">
    <cfRule type="cellIs" dxfId="5348" priority="2314" operator="equal">
      <formula>0</formula>
    </cfRule>
  </conditionalFormatting>
  <conditionalFormatting sqref="K77:K78">
    <cfRule type="cellIs" dxfId="5347" priority="2318" operator="equal">
      <formula>0</formula>
    </cfRule>
    <cfRule type="cellIs" dxfId="5346" priority="2319" operator="notEqual">
      <formula>0</formula>
    </cfRule>
  </conditionalFormatting>
  <conditionalFormatting sqref="K91">
    <cfRule type="cellIs" dxfId="5345" priority="2311" operator="equal">
      <formula>0</formula>
    </cfRule>
  </conditionalFormatting>
  <conditionalFormatting sqref="K97:K98">
    <cfRule type="cellIs" dxfId="5344" priority="2315" operator="equal">
      <formula>0</formula>
    </cfRule>
    <cfRule type="cellIs" dxfId="5343" priority="2316" operator="notEqual">
      <formula>0</formula>
    </cfRule>
  </conditionalFormatting>
  <conditionalFormatting sqref="K89:K90">
    <cfRule type="cellIs" dxfId="5342" priority="2312" operator="equal">
      <formula>0</formula>
    </cfRule>
    <cfRule type="cellIs" dxfId="5341" priority="2313" operator="notEqual">
      <formula>0</formula>
    </cfRule>
  </conditionalFormatting>
  <conditionalFormatting sqref="K95">
    <cfRule type="cellIs" dxfId="5340" priority="2308" operator="equal">
      <formula>0</formula>
    </cfRule>
  </conditionalFormatting>
  <conditionalFormatting sqref="K93:K94">
    <cfRule type="cellIs" dxfId="5339" priority="2309" operator="equal">
      <formula>0</formula>
    </cfRule>
    <cfRule type="cellIs" dxfId="5338" priority="2310" operator="notEqual">
      <formula>0</formula>
    </cfRule>
  </conditionalFormatting>
  <conditionalFormatting sqref="L67 L71 L75 L83 L103 L107 L111">
    <cfRule type="cellIs" dxfId="5337" priority="2307" operator="equal">
      <formula>0</formula>
    </cfRule>
  </conditionalFormatting>
  <conditionalFormatting sqref="L87">
    <cfRule type="cellIs" dxfId="5336" priority="2306" operator="equal">
      <formula>0</formula>
    </cfRule>
  </conditionalFormatting>
  <conditionalFormatting sqref="L79">
    <cfRule type="cellIs" dxfId="5335" priority="2305" operator="equal">
      <formula>0</formula>
    </cfRule>
  </conditionalFormatting>
  <conditionalFormatting sqref="L99">
    <cfRule type="cellIs" dxfId="5334" priority="2304" operator="equal">
      <formula>0</formula>
    </cfRule>
  </conditionalFormatting>
  <conditionalFormatting sqref="L91">
    <cfRule type="cellIs" dxfId="5333" priority="2303" operator="equal">
      <formula>0</formula>
    </cfRule>
  </conditionalFormatting>
  <conditionalFormatting sqref="L95">
    <cfRule type="cellIs" dxfId="5332" priority="2302" operator="equal">
      <formula>0</formula>
    </cfRule>
  </conditionalFormatting>
  <conditionalFormatting sqref="M67 M71 M75 M83 M103 M107 M111">
    <cfRule type="cellIs" dxfId="5331" priority="2301" operator="equal">
      <formula>0</formula>
    </cfRule>
  </conditionalFormatting>
  <conditionalFormatting sqref="M87">
    <cfRule type="cellIs" dxfId="5330" priority="2300" operator="equal">
      <formula>0</formula>
    </cfRule>
  </conditionalFormatting>
  <conditionalFormatting sqref="M79">
    <cfRule type="cellIs" dxfId="5329" priority="2299" operator="equal">
      <formula>0</formula>
    </cfRule>
  </conditionalFormatting>
  <conditionalFormatting sqref="M99">
    <cfRule type="cellIs" dxfId="5328" priority="2298" operator="equal">
      <formula>0</formula>
    </cfRule>
  </conditionalFormatting>
  <conditionalFormatting sqref="M91">
    <cfRule type="cellIs" dxfId="5327" priority="2297" operator="equal">
      <formula>0</formula>
    </cfRule>
  </conditionalFormatting>
  <conditionalFormatting sqref="M95">
    <cfRule type="cellIs" dxfId="5326" priority="2296" operator="equal">
      <formula>0</formula>
    </cfRule>
  </conditionalFormatting>
  <conditionalFormatting sqref="N67 N71 N75 N83 N103 N107 N111">
    <cfRule type="cellIs" dxfId="5325" priority="2295" operator="equal">
      <formula>0</formula>
    </cfRule>
  </conditionalFormatting>
  <conditionalFormatting sqref="N87">
    <cfRule type="cellIs" dxfId="5324" priority="2294" operator="equal">
      <formula>0</formula>
    </cfRule>
  </conditionalFormatting>
  <conditionalFormatting sqref="N79">
    <cfRule type="cellIs" dxfId="5323" priority="2293" operator="equal">
      <formula>0</formula>
    </cfRule>
  </conditionalFormatting>
  <conditionalFormatting sqref="N99">
    <cfRule type="cellIs" dxfId="5322" priority="2292" operator="equal">
      <formula>0</formula>
    </cfRule>
  </conditionalFormatting>
  <conditionalFormatting sqref="N91">
    <cfRule type="cellIs" dxfId="5321" priority="2291" operator="equal">
      <formula>0</formula>
    </cfRule>
  </conditionalFormatting>
  <conditionalFormatting sqref="N95">
    <cfRule type="cellIs" dxfId="5320" priority="2290" operator="equal">
      <formula>0</formula>
    </cfRule>
  </conditionalFormatting>
  <conditionalFormatting sqref="O67 O71 O75 O83 O103 O107 O111">
    <cfRule type="cellIs" dxfId="5319" priority="2289" operator="equal">
      <formula>0</formula>
    </cfRule>
  </conditionalFormatting>
  <conditionalFormatting sqref="O87">
    <cfRule type="cellIs" dxfId="5318" priority="2288" operator="equal">
      <formula>0</formula>
    </cfRule>
  </conditionalFormatting>
  <conditionalFormatting sqref="O79">
    <cfRule type="cellIs" dxfId="5317" priority="2287" operator="equal">
      <formula>0</formula>
    </cfRule>
  </conditionalFormatting>
  <conditionalFormatting sqref="O99">
    <cfRule type="cellIs" dxfId="5316" priority="2286" operator="equal">
      <formula>0</formula>
    </cfRule>
  </conditionalFormatting>
  <conditionalFormatting sqref="O91">
    <cfRule type="cellIs" dxfId="5315" priority="2285" operator="equal">
      <formula>0</formula>
    </cfRule>
  </conditionalFormatting>
  <conditionalFormatting sqref="O95">
    <cfRule type="cellIs" dxfId="5314" priority="2284" operator="equal">
      <formula>0</formula>
    </cfRule>
  </conditionalFormatting>
  <conditionalFormatting sqref="Y12:Y13 Y28:Y29 Y32:Y33 Y40:Y41 Y44:Y45 Y48:Y49 Y52:Y53 Y56:Y57">
    <cfRule type="cellIs" dxfId="5313" priority="2283" operator="greaterThan">
      <formula>0</formula>
    </cfRule>
  </conditionalFormatting>
  <conditionalFormatting sqref="Y12:Y13 Y28:Y29 Y32:Y33 Y40:Y41 Y44:Y45 Y48:Y49 Y52:Y53 Y56:Y57">
    <cfRule type="cellIs" dxfId="5312" priority="2282" operator="equal">
      <formula>0</formula>
    </cfRule>
  </conditionalFormatting>
  <conditionalFormatting sqref="Y14 Y30 Y42 Y46 Y50 Y58 Y34:Y38">
    <cfRule type="cellIs" dxfId="5311" priority="2281" operator="equal">
      <formula>0</formula>
    </cfRule>
  </conditionalFormatting>
  <conditionalFormatting sqref="Y8:Y9">
    <cfRule type="cellIs" dxfId="5310" priority="2280" operator="greaterThan">
      <formula>0</formula>
    </cfRule>
  </conditionalFormatting>
  <conditionalFormatting sqref="Y8:Y9">
    <cfRule type="cellIs" dxfId="5309" priority="2279" operator="equal">
      <formula>0</formula>
    </cfRule>
  </conditionalFormatting>
  <conditionalFormatting sqref="Y10">
    <cfRule type="cellIs" dxfId="5308" priority="2278" operator="equal">
      <formula>0</formula>
    </cfRule>
  </conditionalFormatting>
  <conditionalFormatting sqref="Y16:Y17">
    <cfRule type="cellIs" dxfId="5307" priority="2277" operator="greaterThan">
      <formula>0</formula>
    </cfRule>
  </conditionalFormatting>
  <conditionalFormatting sqref="Y16:Y17">
    <cfRule type="cellIs" dxfId="5306" priority="2276" operator="equal">
      <formula>0</formula>
    </cfRule>
  </conditionalFormatting>
  <conditionalFormatting sqref="Y18">
    <cfRule type="cellIs" dxfId="5305" priority="2275" operator="equal">
      <formula>0</formula>
    </cfRule>
  </conditionalFormatting>
  <conditionalFormatting sqref="Y20:Y21">
    <cfRule type="cellIs" dxfId="5304" priority="2274" operator="greaterThan">
      <formula>0</formula>
    </cfRule>
  </conditionalFormatting>
  <conditionalFormatting sqref="Y20:Y21">
    <cfRule type="cellIs" dxfId="5303" priority="2273" operator="equal">
      <formula>0</formula>
    </cfRule>
  </conditionalFormatting>
  <conditionalFormatting sqref="Y22">
    <cfRule type="cellIs" dxfId="5302" priority="2272" operator="equal">
      <formula>0</formula>
    </cfRule>
  </conditionalFormatting>
  <conditionalFormatting sqref="Y24:Y25">
    <cfRule type="cellIs" dxfId="5301" priority="2271" operator="greaterThan">
      <formula>0</formula>
    </cfRule>
  </conditionalFormatting>
  <conditionalFormatting sqref="Y24:Y25">
    <cfRule type="cellIs" dxfId="5300" priority="2270" operator="equal">
      <formula>0</formula>
    </cfRule>
  </conditionalFormatting>
  <conditionalFormatting sqref="Y26">
    <cfRule type="cellIs" dxfId="5299" priority="2269" operator="equal">
      <formula>0</formula>
    </cfRule>
  </conditionalFormatting>
  <conditionalFormatting sqref="Z12:Z13 Z28:Z29 Z32:Z33 Z40:Z41 Z44:Z45 Z48:Z49 Z52:Z53 Z56:Z57">
    <cfRule type="cellIs" dxfId="5298" priority="2268" operator="greaterThan">
      <formula>0</formula>
    </cfRule>
  </conditionalFormatting>
  <conditionalFormatting sqref="Z12:Z13 Z28:Z29 Z32:Z33 Z40:Z41 Z44:Z45 Z48:Z49 Z52:Z53 Z56:Z57">
    <cfRule type="cellIs" dxfId="5297" priority="2267" operator="equal">
      <formula>0</formula>
    </cfRule>
  </conditionalFormatting>
  <conditionalFormatting sqref="Z14 Z30 Z42 Z46 Z50 Z54 Z58 Z34:Z38">
    <cfRule type="cellIs" dxfId="5296" priority="2266" operator="equal">
      <formula>0</formula>
    </cfRule>
  </conditionalFormatting>
  <conditionalFormatting sqref="Z8:Z9">
    <cfRule type="cellIs" dxfId="5295" priority="2265" operator="greaterThan">
      <formula>0</formula>
    </cfRule>
  </conditionalFormatting>
  <conditionalFormatting sqref="Z8:Z9">
    <cfRule type="cellIs" dxfId="5294" priority="2264" operator="equal">
      <formula>0</formula>
    </cfRule>
  </conditionalFormatting>
  <conditionalFormatting sqref="Z10">
    <cfRule type="cellIs" dxfId="5293" priority="2263" operator="equal">
      <formula>0</formula>
    </cfRule>
  </conditionalFormatting>
  <conditionalFormatting sqref="Z16:Z17">
    <cfRule type="cellIs" dxfId="5292" priority="2262" operator="greaterThan">
      <formula>0</formula>
    </cfRule>
  </conditionalFormatting>
  <conditionalFormatting sqref="Z16:Z17">
    <cfRule type="cellIs" dxfId="5291" priority="2261" operator="equal">
      <formula>0</formula>
    </cfRule>
  </conditionalFormatting>
  <conditionalFormatting sqref="Z18">
    <cfRule type="cellIs" dxfId="5290" priority="2260" operator="equal">
      <formula>0</formula>
    </cfRule>
  </conditionalFormatting>
  <conditionalFormatting sqref="Z20:Z21">
    <cfRule type="cellIs" dxfId="5289" priority="2259" operator="greaterThan">
      <formula>0</formula>
    </cfRule>
  </conditionalFormatting>
  <conditionalFormatting sqref="Z20:Z21">
    <cfRule type="cellIs" dxfId="5288" priority="2258" operator="equal">
      <formula>0</formula>
    </cfRule>
  </conditionalFormatting>
  <conditionalFormatting sqref="Z22">
    <cfRule type="cellIs" dxfId="5287" priority="2257" operator="equal">
      <formula>0</formula>
    </cfRule>
  </conditionalFormatting>
  <conditionalFormatting sqref="Z24:Z25">
    <cfRule type="cellIs" dxfId="5286" priority="2256" operator="greaterThan">
      <formula>0</formula>
    </cfRule>
  </conditionalFormatting>
  <conditionalFormatting sqref="Z24:Z25">
    <cfRule type="cellIs" dxfId="5285" priority="2255" operator="equal">
      <formula>0</formula>
    </cfRule>
  </conditionalFormatting>
  <conditionalFormatting sqref="Z26">
    <cfRule type="cellIs" dxfId="5284" priority="2254" operator="equal">
      <formula>0</formula>
    </cfRule>
  </conditionalFormatting>
  <conditionalFormatting sqref="AA12:AA13 AA28:AA29 AA32:AA33 AA40:AA41 AA44:AA45 AA48:AA49 AA52:AA53 AA56:AA57">
    <cfRule type="cellIs" dxfId="5283" priority="2253" operator="greaterThan">
      <formula>0</formula>
    </cfRule>
  </conditionalFormatting>
  <conditionalFormatting sqref="AA12:AA13 AA28:AA29 AA32:AA33 AA40:AA41 AA44:AA45 AA48:AA49 AA52:AA53 AA56:AA57">
    <cfRule type="cellIs" dxfId="5282" priority="2252" operator="equal">
      <formula>0</formula>
    </cfRule>
  </conditionalFormatting>
  <conditionalFormatting sqref="AA14 AA30 AA42 AA46 AA50 AA54 AA58 AA34:AA38">
    <cfRule type="cellIs" dxfId="5281" priority="2251" operator="equal">
      <formula>0</formula>
    </cfRule>
  </conditionalFormatting>
  <conditionalFormatting sqref="AA8:AA9">
    <cfRule type="cellIs" dxfId="5280" priority="2250" operator="greaterThan">
      <formula>0</formula>
    </cfRule>
  </conditionalFormatting>
  <conditionalFormatting sqref="AA8:AA9">
    <cfRule type="cellIs" dxfId="5279" priority="2249" operator="equal">
      <formula>0</formula>
    </cfRule>
  </conditionalFormatting>
  <conditionalFormatting sqref="AA10">
    <cfRule type="cellIs" dxfId="5278" priority="2248" operator="equal">
      <formula>0</formula>
    </cfRule>
  </conditionalFormatting>
  <conditionalFormatting sqref="AA16:AA17">
    <cfRule type="cellIs" dxfId="5277" priority="2247" operator="greaterThan">
      <formula>0</formula>
    </cfRule>
  </conditionalFormatting>
  <conditionalFormatting sqref="AA16:AA17">
    <cfRule type="cellIs" dxfId="5276" priority="2246" operator="equal">
      <formula>0</formula>
    </cfRule>
  </conditionalFormatting>
  <conditionalFormatting sqref="AA18">
    <cfRule type="cellIs" dxfId="5275" priority="2245" operator="equal">
      <formula>0</formula>
    </cfRule>
  </conditionalFormatting>
  <conditionalFormatting sqref="AA20:AA21">
    <cfRule type="cellIs" dxfId="5274" priority="2244" operator="greaterThan">
      <formula>0</formula>
    </cfRule>
  </conditionalFormatting>
  <conditionalFormatting sqref="AA20:AA21">
    <cfRule type="cellIs" dxfId="5273" priority="2243" operator="equal">
      <formula>0</formula>
    </cfRule>
  </conditionalFormatting>
  <conditionalFormatting sqref="AA22">
    <cfRule type="cellIs" dxfId="5272" priority="2242" operator="equal">
      <formula>0</formula>
    </cfRule>
  </conditionalFormatting>
  <conditionalFormatting sqref="AA24:AA25">
    <cfRule type="cellIs" dxfId="5271" priority="2241" operator="greaterThan">
      <formula>0</formula>
    </cfRule>
  </conditionalFormatting>
  <conditionalFormatting sqref="AA24:AA25">
    <cfRule type="cellIs" dxfId="5270" priority="2240" operator="equal">
      <formula>0</formula>
    </cfRule>
  </conditionalFormatting>
  <conditionalFormatting sqref="AA26">
    <cfRule type="cellIs" dxfId="5269" priority="2239" operator="equal">
      <formula>0</formula>
    </cfRule>
  </conditionalFormatting>
  <conditionalFormatting sqref="AB12:AB13 AB28:AB29 AB32:AB33 AB40:AB41 AB44:AB45 AB48:AB49 AB52:AB53 AB56:AB57">
    <cfRule type="cellIs" dxfId="5268" priority="2238" operator="greaterThan">
      <formula>0</formula>
    </cfRule>
  </conditionalFormatting>
  <conditionalFormatting sqref="AB12:AB13 AB28:AB29 AB32:AB33 AB40:AB41 AB44:AB45 AB48:AB49 AB52:AB53 AB56:AB57">
    <cfRule type="cellIs" dxfId="5267" priority="2237" operator="equal">
      <formula>0</formula>
    </cfRule>
  </conditionalFormatting>
  <conditionalFormatting sqref="AB14 AB30 AB42 AB46 AB50 AB54 AB58 AB34:AB38">
    <cfRule type="cellIs" dxfId="5266" priority="2236" operator="equal">
      <formula>0</formula>
    </cfRule>
  </conditionalFormatting>
  <conditionalFormatting sqref="AB8:AB9">
    <cfRule type="cellIs" dxfId="5265" priority="2235" operator="greaterThan">
      <formula>0</formula>
    </cfRule>
  </conditionalFormatting>
  <conditionalFormatting sqref="AB8:AB9">
    <cfRule type="cellIs" dxfId="5264" priority="2234" operator="equal">
      <formula>0</formula>
    </cfRule>
  </conditionalFormatting>
  <conditionalFormatting sqref="AB10">
    <cfRule type="cellIs" dxfId="5263" priority="2233" operator="equal">
      <formula>0</formula>
    </cfRule>
  </conditionalFormatting>
  <conditionalFormatting sqref="AB16:AB17">
    <cfRule type="cellIs" dxfId="5262" priority="2232" operator="greaterThan">
      <formula>0</formula>
    </cfRule>
  </conditionalFormatting>
  <conditionalFormatting sqref="AB16:AB17">
    <cfRule type="cellIs" dxfId="5261" priority="2231" operator="equal">
      <formula>0</formula>
    </cfRule>
  </conditionalFormatting>
  <conditionalFormatting sqref="AB18">
    <cfRule type="cellIs" dxfId="5260" priority="2230" operator="equal">
      <formula>0</formula>
    </cfRule>
  </conditionalFormatting>
  <conditionalFormatting sqref="AB20:AB21">
    <cfRule type="cellIs" dxfId="5259" priority="2229" operator="greaterThan">
      <formula>0</formula>
    </cfRule>
  </conditionalFormatting>
  <conditionalFormatting sqref="AB20:AB21">
    <cfRule type="cellIs" dxfId="5258" priority="2228" operator="equal">
      <formula>0</formula>
    </cfRule>
  </conditionalFormatting>
  <conditionalFormatting sqref="AB22">
    <cfRule type="cellIs" dxfId="5257" priority="2227" operator="equal">
      <formula>0</formula>
    </cfRule>
  </conditionalFormatting>
  <conditionalFormatting sqref="AB24:AB25">
    <cfRule type="cellIs" dxfId="5256" priority="2226" operator="greaterThan">
      <formula>0</formula>
    </cfRule>
  </conditionalFormatting>
  <conditionalFormatting sqref="AB24:AB25">
    <cfRule type="cellIs" dxfId="5255" priority="2225" operator="equal">
      <formula>0</formula>
    </cfRule>
  </conditionalFormatting>
  <conditionalFormatting sqref="AB26">
    <cfRule type="cellIs" dxfId="5254" priority="2224" operator="equal">
      <formula>0</formula>
    </cfRule>
  </conditionalFormatting>
  <conditionalFormatting sqref="AC12:AC13 AC28:AC29 AC32:AC33 AC40:AC41 AC44:AC45 AC48:AC49 AC52:AC53 AC56:AC57">
    <cfRule type="cellIs" dxfId="5253" priority="2223" operator="greaterThan">
      <formula>0</formula>
    </cfRule>
  </conditionalFormatting>
  <conditionalFormatting sqref="AC12:AC13 AC28:AC29 AC32:AC33 AC40:AC41 AC44:AC45 AC48:AC49 AC52:AC53 AC56:AC57">
    <cfRule type="cellIs" dxfId="5252" priority="2222" operator="equal">
      <formula>0</formula>
    </cfRule>
  </conditionalFormatting>
  <conditionalFormatting sqref="AC14 AC30 AC42 AC46 AC50 AC54 AC58 AC34:AC38">
    <cfRule type="cellIs" dxfId="5251" priority="2221" operator="equal">
      <formula>0</formula>
    </cfRule>
  </conditionalFormatting>
  <conditionalFormatting sqref="AC8:AC9">
    <cfRule type="cellIs" dxfId="5250" priority="2220" operator="greaterThan">
      <formula>0</formula>
    </cfRule>
  </conditionalFormatting>
  <conditionalFormatting sqref="AC8:AC9">
    <cfRule type="cellIs" dxfId="5249" priority="2219" operator="equal">
      <formula>0</formula>
    </cfRule>
  </conditionalFormatting>
  <conditionalFormatting sqref="AC10">
    <cfRule type="cellIs" dxfId="5248" priority="2218" operator="equal">
      <formula>0</formula>
    </cfRule>
  </conditionalFormatting>
  <conditionalFormatting sqref="AC16:AC17">
    <cfRule type="cellIs" dxfId="5247" priority="2217" operator="greaterThan">
      <formula>0</formula>
    </cfRule>
  </conditionalFormatting>
  <conditionalFormatting sqref="AC16:AC17">
    <cfRule type="cellIs" dxfId="5246" priority="2216" operator="equal">
      <formula>0</formula>
    </cfRule>
  </conditionalFormatting>
  <conditionalFormatting sqref="AC18">
    <cfRule type="cellIs" dxfId="5245" priority="2215" operator="equal">
      <formula>0</formula>
    </cfRule>
  </conditionalFormatting>
  <conditionalFormatting sqref="AC20:AC21">
    <cfRule type="cellIs" dxfId="5244" priority="2214" operator="greaterThan">
      <formula>0</formula>
    </cfRule>
  </conditionalFormatting>
  <conditionalFormatting sqref="AC20:AC21">
    <cfRule type="cellIs" dxfId="5243" priority="2213" operator="equal">
      <formula>0</formula>
    </cfRule>
  </conditionalFormatting>
  <conditionalFormatting sqref="AC22">
    <cfRule type="cellIs" dxfId="5242" priority="2212" operator="equal">
      <formula>0</formula>
    </cfRule>
  </conditionalFormatting>
  <conditionalFormatting sqref="AC24:AC25">
    <cfRule type="cellIs" dxfId="5241" priority="2211" operator="greaterThan">
      <formula>0</formula>
    </cfRule>
  </conditionalFormatting>
  <conditionalFormatting sqref="AC24:AC25">
    <cfRule type="cellIs" dxfId="5240" priority="2210" operator="equal">
      <formula>0</formula>
    </cfRule>
  </conditionalFormatting>
  <conditionalFormatting sqref="AC26">
    <cfRule type="cellIs" dxfId="5239" priority="2209" operator="equal">
      <formula>0</formula>
    </cfRule>
  </conditionalFormatting>
  <conditionalFormatting sqref="AD12:AD13 AD28:AD29 AD32:AD33 AD40:AD41 AD44:AD45 AD48:AD49 AD52:AD53 AD56:AD57">
    <cfRule type="cellIs" dxfId="5238" priority="2208" operator="greaterThan">
      <formula>0</formula>
    </cfRule>
  </conditionalFormatting>
  <conditionalFormatting sqref="AD12:AD13 AD28:AD29 AD32:AD33 AD40:AD41 AD44:AD45 AD48:AD49 AD52:AD53 AD56:AD57">
    <cfRule type="cellIs" dxfId="5237" priority="2207" operator="equal">
      <formula>0</formula>
    </cfRule>
  </conditionalFormatting>
  <conditionalFormatting sqref="AD14 AD30 AD42 AD46 AD50 AD54 AD58 AD34:AD38">
    <cfRule type="cellIs" dxfId="5236" priority="2206" operator="equal">
      <formula>0</formula>
    </cfRule>
  </conditionalFormatting>
  <conditionalFormatting sqref="AD8:AD9">
    <cfRule type="cellIs" dxfId="5235" priority="2205" operator="greaterThan">
      <formula>0</formula>
    </cfRule>
  </conditionalFormatting>
  <conditionalFormatting sqref="AD8:AD9">
    <cfRule type="cellIs" dxfId="5234" priority="2204" operator="equal">
      <formula>0</formula>
    </cfRule>
  </conditionalFormatting>
  <conditionalFormatting sqref="AD10">
    <cfRule type="cellIs" dxfId="5233" priority="2203" operator="equal">
      <formula>0</formula>
    </cfRule>
  </conditionalFormatting>
  <conditionalFormatting sqref="AD16:AD17">
    <cfRule type="cellIs" dxfId="5232" priority="2202" operator="greaterThan">
      <formula>0</formula>
    </cfRule>
  </conditionalFormatting>
  <conditionalFormatting sqref="AD16:AD17">
    <cfRule type="cellIs" dxfId="5231" priority="2201" operator="equal">
      <formula>0</formula>
    </cfRule>
  </conditionalFormatting>
  <conditionalFormatting sqref="AD18">
    <cfRule type="cellIs" dxfId="5230" priority="2200" operator="equal">
      <formula>0</formula>
    </cfRule>
  </conditionalFormatting>
  <conditionalFormatting sqref="AD20:AD21">
    <cfRule type="cellIs" dxfId="5229" priority="2199" operator="greaterThan">
      <formula>0</formula>
    </cfRule>
  </conditionalFormatting>
  <conditionalFormatting sqref="AD20:AD21">
    <cfRule type="cellIs" dxfId="5228" priority="2198" operator="equal">
      <formula>0</formula>
    </cfRule>
  </conditionalFormatting>
  <conditionalFormatting sqref="AD22">
    <cfRule type="cellIs" dxfId="5227" priority="2197" operator="equal">
      <formula>0</formula>
    </cfRule>
  </conditionalFormatting>
  <conditionalFormatting sqref="AD24:AD25">
    <cfRule type="cellIs" dxfId="5226" priority="2196" operator="greaterThan">
      <formula>0</formula>
    </cfRule>
  </conditionalFormatting>
  <conditionalFormatting sqref="AD24:AD25">
    <cfRule type="cellIs" dxfId="5225" priority="2195" operator="equal">
      <formula>0</formula>
    </cfRule>
  </conditionalFormatting>
  <conditionalFormatting sqref="AD26">
    <cfRule type="cellIs" dxfId="5224" priority="2194" operator="equal">
      <formula>0</formula>
    </cfRule>
  </conditionalFormatting>
  <conditionalFormatting sqref="AE12:AE13 AE28:AE29 AE32:AE33 AE40:AE41 AE44:AE45 AE48:AE49 AE52:AE53 AE56:AE57">
    <cfRule type="cellIs" dxfId="5223" priority="2193" operator="greaterThan">
      <formula>0</formula>
    </cfRule>
  </conditionalFormatting>
  <conditionalFormatting sqref="AE12:AE13 AE28:AE29 AE32:AE33 AE40:AE41 AE44:AE45 AE48:AE49 AE52:AE53 AE56:AE57">
    <cfRule type="cellIs" dxfId="5222" priority="2192" operator="equal">
      <formula>0</formula>
    </cfRule>
  </conditionalFormatting>
  <conditionalFormatting sqref="AE14 AE30 AE42 AE46 AE50 AE54 AE58 AE34:AE38">
    <cfRule type="cellIs" dxfId="5221" priority="2191" operator="equal">
      <formula>0</formula>
    </cfRule>
  </conditionalFormatting>
  <conditionalFormatting sqref="AE8:AE9">
    <cfRule type="cellIs" dxfId="5220" priority="2190" operator="greaterThan">
      <formula>0</formula>
    </cfRule>
  </conditionalFormatting>
  <conditionalFormatting sqref="AE8:AE9">
    <cfRule type="cellIs" dxfId="5219" priority="2189" operator="equal">
      <formula>0</formula>
    </cfRule>
  </conditionalFormatting>
  <conditionalFormatting sqref="AE10">
    <cfRule type="cellIs" dxfId="5218" priority="2188" operator="equal">
      <formula>0</formula>
    </cfRule>
  </conditionalFormatting>
  <conditionalFormatting sqref="AE16:AE17">
    <cfRule type="cellIs" dxfId="5217" priority="2187" operator="greaterThan">
      <formula>0</formula>
    </cfRule>
  </conditionalFormatting>
  <conditionalFormatting sqref="AE16:AE17">
    <cfRule type="cellIs" dxfId="5216" priority="2186" operator="equal">
      <formula>0</formula>
    </cfRule>
  </conditionalFormatting>
  <conditionalFormatting sqref="AE18">
    <cfRule type="cellIs" dxfId="5215" priority="2185" operator="equal">
      <formula>0</formula>
    </cfRule>
  </conditionalFormatting>
  <conditionalFormatting sqref="AE20:AE21">
    <cfRule type="cellIs" dxfId="5214" priority="2184" operator="greaterThan">
      <formula>0</formula>
    </cfRule>
  </conditionalFormatting>
  <conditionalFormatting sqref="AE20:AE21">
    <cfRule type="cellIs" dxfId="5213" priority="2183" operator="equal">
      <formula>0</formula>
    </cfRule>
  </conditionalFormatting>
  <conditionalFormatting sqref="AE22">
    <cfRule type="cellIs" dxfId="5212" priority="2182" operator="equal">
      <formula>0</formula>
    </cfRule>
  </conditionalFormatting>
  <conditionalFormatting sqref="AE24:AE25">
    <cfRule type="cellIs" dxfId="5211" priority="2181" operator="greaterThan">
      <formula>0</formula>
    </cfRule>
  </conditionalFormatting>
  <conditionalFormatting sqref="AE24:AE25">
    <cfRule type="cellIs" dxfId="5210" priority="2180" operator="equal">
      <formula>0</formula>
    </cfRule>
  </conditionalFormatting>
  <conditionalFormatting sqref="AE26">
    <cfRule type="cellIs" dxfId="5209" priority="2179" operator="equal">
      <formula>0</formula>
    </cfRule>
  </conditionalFormatting>
  <conditionalFormatting sqref="AF12:AF13 AF28:AF29 AF32:AF33 AF40:AF41 AF44:AF45 AF48:AF49 AF52:AF53 AF56:AF57">
    <cfRule type="cellIs" dxfId="5208" priority="2178" operator="greaterThan">
      <formula>0</formula>
    </cfRule>
  </conditionalFormatting>
  <conditionalFormatting sqref="AF12:AF13 AF28:AF29 AF32:AF33 AF40:AF41 AF44:AF45 AF48:AF49 AF52:AF53 AF56:AF57">
    <cfRule type="cellIs" dxfId="5207" priority="2177" operator="equal">
      <formula>0</formula>
    </cfRule>
  </conditionalFormatting>
  <conditionalFormatting sqref="AF14 AF30 AF42 AF46 AF50 AF54 AF58 AF34:AF38">
    <cfRule type="cellIs" dxfId="5206" priority="2176" operator="equal">
      <formula>0</formula>
    </cfRule>
  </conditionalFormatting>
  <conditionalFormatting sqref="AF8:AF9">
    <cfRule type="cellIs" dxfId="5205" priority="2175" operator="greaterThan">
      <formula>0</formula>
    </cfRule>
  </conditionalFormatting>
  <conditionalFormatting sqref="AF8:AF9">
    <cfRule type="cellIs" dxfId="5204" priority="2174" operator="equal">
      <formula>0</formula>
    </cfRule>
  </conditionalFormatting>
  <conditionalFormatting sqref="AF10">
    <cfRule type="cellIs" dxfId="5203" priority="2173" operator="equal">
      <formula>0</formula>
    </cfRule>
  </conditionalFormatting>
  <conditionalFormatting sqref="AF16:AF17">
    <cfRule type="cellIs" dxfId="5202" priority="2172" operator="greaterThan">
      <formula>0</formula>
    </cfRule>
  </conditionalFormatting>
  <conditionalFormatting sqref="AF16:AF17">
    <cfRule type="cellIs" dxfId="5201" priority="2171" operator="equal">
      <formula>0</formula>
    </cfRule>
  </conditionalFormatting>
  <conditionalFormatting sqref="AF18">
    <cfRule type="cellIs" dxfId="5200" priority="2170" operator="equal">
      <formula>0</formula>
    </cfRule>
  </conditionalFormatting>
  <conditionalFormatting sqref="AF20:AF21">
    <cfRule type="cellIs" dxfId="5199" priority="2169" operator="greaterThan">
      <formula>0</formula>
    </cfRule>
  </conditionalFormatting>
  <conditionalFormatting sqref="AF20:AF21">
    <cfRule type="cellIs" dxfId="5198" priority="2168" operator="equal">
      <formula>0</formula>
    </cfRule>
  </conditionalFormatting>
  <conditionalFormatting sqref="AF22">
    <cfRule type="cellIs" dxfId="5197" priority="2167" operator="equal">
      <formula>0</formula>
    </cfRule>
  </conditionalFormatting>
  <conditionalFormatting sqref="AF24:AF25">
    <cfRule type="cellIs" dxfId="5196" priority="2166" operator="greaterThan">
      <formula>0</formula>
    </cfRule>
  </conditionalFormatting>
  <conditionalFormatting sqref="AF24:AF25">
    <cfRule type="cellIs" dxfId="5195" priority="2165" operator="equal">
      <formula>0</formula>
    </cfRule>
  </conditionalFormatting>
  <conditionalFormatting sqref="AF26">
    <cfRule type="cellIs" dxfId="5194" priority="2164" operator="equal">
      <formula>0</formula>
    </cfRule>
  </conditionalFormatting>
  <conditionalFormatting sqref="AG14 AG30 AG42 AG46 AG50 AG54 AG58 AG34:AG38">
    <cfRule type="cellIs" dxfId="5193" priority="2163" operator="equal">
      <formula>0</formula>
    </cfRule>
  </conditionalFormatting>
  <conditionalFormatting sqref="AG10">
    <cfRule type="cellIs" dxfId="5192" priority="2162" operator="equal">
      <formula>0</formula>
    </cfRule>
  </conditionalFormatting>
  <conditionalFormatting sqref="AG18">
    <cfRule type="cellIs" dxfId="5191" priority="2161" operator="equal">
      <formula>0</formula>
    </cfRule>
  </conditionalFormatting>
  <conditionalFormatting sqref="AG22">
    <cfRule type="cellIs" dxfId="5190" priority="2160" operator="equal">
      <formula>0</formula>
    </cfRule>
  </conditionalFormatting>
  <conditionalFormatting sqref="AG26">
    <cfRule type="cellIs" dxfId="5189" priority="2159" operator="equal">
      <formula>0</formula>
    </cfRule>
  </conditionalFormatting>
  <conditionalFormatting sqref="AH14 AH30 AH42 AH46 AH50 AH54 AH58 AH34:AH38">
    <cfRule type="cellIs" dxfId="5188" priority="2158" operator="equal">
      <formula>0</formula>
    </cfRule>
  </conditionalFormatting>
  <conditionalFormatting sqref="AH10">
    <cfRule type="cellIs" dxfId="5187" priority="2157" operator="equal">
      <formula>0</formula>
    </cfRule>
  </conditionalFormatting>
  <conditionalFormatting sqref="AH18">
    <cfRule type="cellIs" dxfId="5186" priority="2156" operator="equal">
      <formula>0</formula>
    </cfRule>
  </conditionalFormatting>
  <conditionalFormatting sqref="AH22">
    <cfRule type="cellIs" dxfId="5185" priority="2155" operator="equal">
      <formula>0</formula>
    </cfRule>
  </conditionalFormatting>
  <conditionalFormatting sqref="AH26">
    <cfRule type="cellIs" dxfId="5184" priority="2154" operator="equal">
      <formula>0</formula>
    </cfRule>
  </conditionalFormatting>
  <conditionalFormatting sqref="AI14 AI30 AI42 AI46 AI50 AI54 AI58 AI34:AI38">
    <cfRule type="cellIs" dxfId="5183" priority="2153" operator="equal">
      <formula>0</formula>
    </cfRule>
  </conditionalFormatting>
  <conditionalFormatting sqref="AI10">
    <cfRule type="cellIs" dxfId="5182" priority="2152" operator="equal">
      <formula>0</formula>
    </cfRule>
  </conditionalFormatting>
  <conditionalFormatting sqref="AI18">
    <cfRule type="cellIs" dxfId="5181" priority="2151" operator="equal">
      <formula>0</formula>
    </cfRule>
  </conditionalFormatting>
  <conditionalFormatting sqref="AI22">
    <cfRule type="cellIs" dxfId="5180" priority="2150" operator="equal">
      <formula>0</formula>
    </cfRule>
  </conditionalFormatting>
  <conditionalFormatting sqref="AI26">
    <cfRule type="cellIs" dxfId="5179" priority="2149" operator="equal">
      <formula>0</formula>
    </cfRule>
  </conditionalFormatting>
  <conditionalFormatting sqref="AJ14 AJ30 AJ42 AJ46 AJ50 AJ54 AJ58 AJ34:AJ38">
    <cfRule type="cellIs" dxfId="5178" priority="2148" operator="equal">
      <formula>0</formula>
    </cfRule>
  </conditionalFormatting>
  <conditionalFormatting sqref="AJ10">
    <cfRule type="cellIs" dxfId="5177" priority="2147" operator="equal">
      <formula>0</formula>
    </cfRule>
  </conditionalFormatting>
  <conditionalFormatting sqref="AJ18">
    <cfRule type="cellIs" dxfId="5176" priority="2146" operator="equal">
      <formula>0</formula>
    </cfRule>
  </conditionalFormatting>
  <conditionalFormatting sqref="AJ22">
    <cfRule type="cellIs" dxfId="5175" priority="2145" operator="equal">
      <formula>0</formula>
    </cfRule>
  </conditionalFormatting>
  <conditionalFormatting sqref="AJ26">
    <cfRule type="cellIs" dxfId="5174" priority="2144" operator="equal">
      <formula>0</formula>
    </cfRule>
  </conditionalFormatting>
  <conditionalFormatting sqref="AK11">
    <cfRule type="cellIs" dxfId="5173" priority="2142" operator="equal">
      <formula>0</formula>
    </cfRule>
    <cfRule type="cellIs" dxfId="5172" priority="2143" operator="notEqual">
      <formula>0</formula>
    </cfRule>
  </conditionalFormatting>
  <conditionalFormatting sqref="AK27 AK31 AK39 AK43 AK47 AK51 AK55">
    <cfRule type="cellIs" dxfId="5171" priority="2141" operator="greaterThan">
      <formula>0</formula>
    </cfRule>
  </conditionalFormatting>
  <conditionalFormatting sqref="AK14 AK30 AK42 AK46 AK50 AK54 AK58 AK34:AK38">
    <cfRule type="cellIs" dxfId="5170" priority="2140" operator="equal">
      <formula>0</formula>
    </cfRule>
  </conditionalFormatting>
  <conditionalFormatting sqref="AK7">
    <cfRule type="cellIs" dxfId="5169" priority="2138" operator="equal">
      <formula>0</formula>
    </cfRule>
    <cfRule type="cellIs" dxfId="5168" priority="2139" operator="notEqual">
      <formula>0</formula>
    </cfRule>
  </conditionalFormatting>
  <conditionalFormatting sqref="AK10">
    <cfRule type="cellIs" dxfId="5167" priority="2137" operator="equal">
      <formula>0</formula>
    </cfRule>
  </conditionalFormatting>
  <conditionalFormatting sqref="AK15">
    <cfRule type="cellIs" dxfId="5166" priority="2135" operator="equal">
      <formula>0</formula>
    </cfRule>
    <cfRule type="cellIs" dxfId="5165" priority="2136" operator="notEqual">
      <formula>0</formula>
    </cfRule>
  </conditionalFormatting>
  <conditionalFormatting sqref="AK18">
    <cfRule type="cellIs" dxfId="5164" priority="2134" operator="equal">
      <formula>0</formula>
    </cfRule>
  </conditionalFormatting>
  <conditionalFormatting sqref="AK19">
    <cfRule type="cellIs" dxfId="5163" priority="2132" operator="equal">
      <formula>0</formula>
    </cfRule>
    <cfRule type="cellIs" dxfId="5162" priority="2133" operator="notEqual">
      <formula>0</formula>
    </cfRule>
  </conditionalFormatting>
  <conditionalFormatting sqref="AK22">
    <cfRule type="cellIs" dxfId="5161" priority="2131" operator="equal">
      <formula>0</formula>
    </cfRule>
  </conditionalFormatting>
  <conditionalFormatting sqref="AK23">
    <cfRule type="cellIs" dxfId="5160" priority="2129" operator="equal">
      <formula>0</formula>
    </cfRule>
    <cfRule type="cellIs" dxfId="5159" priority="2130" operator="notEqual">
      <formula>0</formula>
    </cfRule>
  </conditionalFormatting>
  <conditionalFormatting sqref="AK26">
    <cfRule type="cellIs" dxfId="5158" priority="2128" operator="equal">
      <formula>0</formula>
    </cfRule>
  </conditionalFormatting>
  <conditionalFormatting sqref="AL11">
    <cfRule type="cellIs" dxfId="5157" priority="2126" operator="equal">
      <formula>0</formula>
    </cfRule>
    <cfRule type="cellIs" dxfId="5156" priority="2127" operator="notEqual">
      <formula>0</formula>
    </cfRule>
  </conditionalFormatting>
  <conditionalFormatting sqref="AL27 AL31 AL39 AL43 AL47 AL51 AL55">
    <cfRule type="cellIs" dxfId="5155" priority="2125" operator="greaterThan">
      <formula>0</formula>
    </cfRule>
  </conditionalFormatting>
  <conditionalFormatting sqref="AL14 AL30 AL42 AL46 AL50 AL54 AL58 AL34:AL38">
    <cfRule type="cellIs" dxfId="5154" priority="2124" operator="equal">
      <formula>0</formula>
    </cfRule>
  </conditionalFormatting>
  <conditionalFormatting sqref="AL7">
    <cfRule type="cellIs" dxfId="5153" priority="2122" operator="equal">
      <formula>0</formula>
    </cfRule>
    <cfRule type="cellIs" dxfId="5152" priority="2123" operator="notEqual">
      <formula>0</formula>
    </cfRule>
  </conditionalFormatting>
  <conditionalFormatting sqref="AL10">
    <cfRule type="cellIs" dxfId="5151" priority="2121" operator="equal">
      <formula>0</formula>
    </cfRule>
  </conditionalFormatting>
  <conditionalFormatting sqref="AL15">
    <cfRule type="cellIs" dxfId="5150" priority="2119" operator="equal">
      <formula>0</formula>
    </cfRule>
    <cfRule type="cellIs" dxfId="5149" priority="2120" operator="notEqual">
      <formula>0</formula>
    </cfRule>
  </conditionalFormatting>
  <conditionalFormatting sqref="AL18">
    <cfRule type="cellIs" dxfId="5148" priority="2118" operator="equal">
      <formula>0</formula>
    </cfRule>
  </conditionalFormatting>
  <conditionalFormatting sqref="AL19">
    <cfRule type="cellIs" dxfId="5147" priority="2116" operator="equal">
      <formula>0</formula>
    </cfRule>
    <cfRule type="cellIs" dxfId="5146" priority="2117" operator="notEqual">
      <formula>0</formula>
    </cfRule>
  </conditionalFormatting>
  <conditionalFormatting sqref="AL22">
    <cfRule type="cellIs" dxfId="5145" priority="2115" operator="equal">
      <formula>0</formula>
    </cfRule>
  </conditionalFormatting>
  <conditionalFormatting sqref="AL23">
    <cfRule type="cellIs" dxfId="5144" priority="2113" operator="equal">
      <formula>0</formula>
    </cfRule>
    <cfRule type="cellIs" dxfId="5143" priority="2114" operator="notEqual">
      <formula>0</formula>
    </cfRule>
  </conditionalFormatting>
  <conditionalFormatting sqref="AL26">
    <cfRule type="cellIs" dxfId="5142" priority="2112" operator="equal">
      <formula>0</formula>
    </cfRule>
  </conditionalFormatting>
  <conditionalFormatting sqref="AM11">
    <cfRule type="cellIs" dxfId="5141" priority="2110" operator="equal">
      <formula>0</formula>
    </cfRule>
    <cfRule type="cellIs" dxfId="5140" priority="2111" operator="notEqual">
      <formula>0</formula>
    </cfRule>
  </conditionalFormatting>
  <conditionalFormatting sqref="AM27 AM31 AM39 AM43 AM47 AM51 AM55">
    <cfRule type="cellIs" dxfId="5139" priority="2109" operator="greaterThan">
      <formula>0</formula>
    </cfRule>
  </conditionalFormatting>
  <conditionalFormatting sqref="AM14 AM30 AM42 AM46 AM50 AM54 AM58 AM34:AM38">
    <cfRule type="cellIs" dxfId="5138" priority="2108" operator="equal">
      <formula>0</formula>
    </cfRule>
  </conditionalFormatting>
  <conditionalFormatting sqref="AM7">
    <cfRule type="cellIs" dxfId="5137" priority="2106" operator="equal">
      <formula>0</formula>
    </cfRule>
    <cfRule type="cellIs" dxfId="5136" priority="2107" operator="notEqual">
      <formula>0</formula>
    </cfRule>
  </conditionalFormatting>
  <conditionalFormatting sqref="AM10">
    <cfRule type="cellIs" dxfId="5135" priority="2105" operator="equal">
      <formula>0</formula>
    </cfRule>
  </conditionalFormatting>
  <conditionalFormatting sqref="AM15">
    <cfRule type="cellIs" dxfId="5134" priority="2103" operator="equal">
      <formula>0</formula>
    </cfRule>
    <cfRule type="cellIs" dxfId="5133" priority="2104" operator="notEqual">
      <formula>0</formula>
    </cfRule>
  </conditionalFormatting>
  <conditionalFormatting sqref="AM18">
    <cfRule type="cellIs" dxfId="5132" priority="2102" operator="equal">
      <formula>0</formula>
    </cfRule>
  </conditionalFormatting>
  <conditionalFormatting sqref="AM19">
    <cfRule type="cellIs" dxfId="5131" priority="2100" operator="equal">
      <formula>0</formula>
    </cfRule>
    <cfRule type="cellIs" dxfId="5130" priority="2101" operator="notEqual">
      <formula>0</formula>
    </cfRule>
  </conditionalFormatting>
  <conditionalFormatting sqref="AM22">
    <cfRule type="cellIs" dxfId="5129" priority="2099" operator="equal">
      <formula>0</formula>
    </cfRule>
  </conditionalFormatting>
  <conditionalFormatting sqref="AM23">
    <cfRule type="cellIs" dxfId="5128" priority="2097" operator="equal">
      <formula>0</formula>
    </cfRule>
    <cfRule type="cellIs" dxfId="5127" priority="2098" operator="notEqual">
      <formula>0</formula>
    </cfRule>
  </conditionalFormatting>
  <conditionalFormatting sqref="AM26">
    <cfRule type="cellIs" dxfId="5126" priority="2096" operator="equal">
      <formula>0</formula>
    </cfRule>
  </conditionalFormatting>
  <conditionalFormatting sqref="AN11">
    <cfRule type="cellIs" dxfId="5125" priority="2094" operator="equal">
      <formula>0</formula>
    </cfRule>
    <cfRule type="cellIs" dxfId="5124" priority="2095" operator="notEqual">
      <formula>0</formula>
    </cfRule>
  </conditionalFormatting>
  <conditionalFormatting sqref="AN27 AN31 AN39 AN43 AN47 AN51 AN55">
    <cfRule type="cellIs" dxfId="5123" priority="2093" operator="greaterThan">
      <formula>0</formula>
    </cfRule>
  </conditionalFormatting>
  <conditionalFormatting sqref="AN14 AN30 AN42 AN46 AN50 AN54 AN58 AN34:AN38">
    <cfRule type="cellIs" dxfId="5122" priority="2092" operator="equal">
      <formula>0</formula>
    </cfRule>
  </conditionalFormatting>
  <conditionalFormatting sqref="AN7">
    <cfRule type="cellIs" dxfId="5121" priority="2090" operator="equal">
      <formula>0</formula>
    </cfRule>
    <cfRule type="cellIs" dxfId="5120" priority="2091" operator="notEqual">
      <formula>0</formula>
    </cfRule>
  </conditionalFormatting>
  <conditionalFormatting sqref="AN10">
    <cfRule type="cellIs" dxfId="5119" priority="2089" operator="equal">
      <formula>0</formula>
    </cfRule>
  </conditionalFormatting>
  <conditionalFormatting sqref="AN15">
    <cfRule type="cellIs" dxfId="5118" priority="2087" operator="equal">
      <formula>0</formula>
    </cfRule>
    <cfRule type="cellIs" dxfId="5117" priority="2088" operator="notEqual">
      <formula>0</formula>
    </cfRule>
  </conditionalFormatting>
  <conditionalFormatting sqref="AN18">
    <cfRule type="cellIs" dxfId="5116" priority="2086" operator="equal">
      <formula>0</formula>
    </cfRule>
  </conditionalFormatting>
  <conditionalFormatting sqref="AN19">
    <cfRule type="cellIs" dxfId="5115" priority="2084" operator="equal">
      <formula>0</formula>
    </cfRule>
    <cfRule type="cellIs" dxfId="5114" priority="2085" operator="notEqual">
      <formula>0</formula>
    </cfRule>
  </conditionalFormatting>
  <conditionalFormatting sqref="AN22">
    <cfRule type="cellIs" dxfId="5113" priority="2083" operator="equal">
      <formula>0</formula>
    </cfRule>
  </conditionalFormatting>
  <conditionalFormatting sqref="AN23">
    <cfRule type="cellIs" dxfId="5112" priority="2081" operator="equal">
      <formula>0</formula>
    </cfRule>
    <cfRule type="cellIs" dxfId="5111" priority="2082" operator="notEqual">
      <formula>0</formula>
    </cfRule>
  </conditionalFormatting>
  <conditionalFormatting sqref="AN26">
    <cfRule type="cellIs" dxfId="5110" priority="2080" operator="equal">
      <formula>0</formula>
    </cfRule>
  </conditionalFormatting>
  <conditionalFormatting sqref="Y69:Y70 Y85:Y86 Y89:Y90 Y97:Y98 Y101:Y102 Y105:Y106 Y109:Y110 Y113:Y114">
    <cfRule type="cellIs" dxfId="5109" priority="2079" operator="greaterThan">
      <formula>0</formula>
    </cfRule>
  </conditionalFormatting>
  <conditionalFormatting sqref="Y69:Y70 Y85:Y86 Y89:Y90 Y97:Y98 Y101:Y102 Y105:Y106 Y109:Y110 Y113:Y114">
    <cfRule type="cellIs" dxfId="5108" priority="2078" operator="equal">
      <formula>0</formula>
    </cfRule>
  </conditionalFormatting>
  <conditionalFormatting sqref="Y71 Y87 Y99 Y103 Y107 Y115 Y91:Y95">
    <cfRule type="cellIs" dxfId="5107" priority="2077" operator="equal">
      <formula>0</formula>
    </cfRule>
  </conditionalFormatting>
  <conditionalFormatting sqref="Y65:Y66">
    <cfRule type="cellIs" dxfId="5106" priority="2076" operator="greaterThan">
      <formula>0</formula>
    </cfRule>
  </conditionalFormatting>
  <conditionalFormatting sqref="Y65:Y66">
    <cfRule type="cellIs" dxfId="5105" priority="2075" operator="equal">
      <formula>0</formula>
    </cfRule>
  </conditionalFormatting>
  <conditionalFormatting sqref="Y67">
    <cfRule type="cellIs" dxfId="5104" priority="2074" operator="equal">
      <formula>0</formula>
    </cfRule>
  </conditionalFormatting>
  <conditionalFormatting sqref="Y73:Y74">
    <cfRule type="cellIs" dxfId="5103" priority="2073" operator="greaterThan">
      <formula>0</formula>
    </cfRule>
  </conditionalFormatting>
  <conditionalFormatting sqref="Y73:Y74">
    <cfRule type="cellIs" dxfId="5102" priority="2072" operator="equal">
      <formula>0</formula>
    </cfRule>
  </conditionalFormatting>
  <conditionalFormatting sqref="Y75">
    <cfRule type="cellIs" dxfId="5101" priority="2071" operator="equal">
      <formula>0</formula>
    </cfRule>
  </conditionalFormatting>
  <conditionalFormatting sqref="Y77:Y78">
    <cfRule type="cellIs" dxfId="5100" priority="2070" operator="greaterThan">
      <formula>0</formula>
    </cfRule>
  </conditionalFormatting>
  <conditionalFormatting sqref="Y77:Y78">
    <cfRule type="cellIs" dxfId="5099" priority="2069" operator="equal">
      <formula>0</formula>
    </cfRule>
  </conditionalFormatting>
  <conditionalFormatting sqref="Y79">
    <cfRule type="cellIs" dxfId="5098" priority="2068" operator="equal">
      <formula>0</formula>
    </cfRule>
  </conditionalFormatting>
  <conditionalFormatting sqref="Y81:Y82">
    <cfRule type="cellIs" dxfId="5097" priority="2067" operator="greaterThan">
      <formula>0</formula>
    </cfRule>
  </conditionalFormatting>
  <conditionalFormatting sqref="Y81:Y82">
    <cfRule type="cellIs" dxfId="5096" priority="2066" operator="equal">
      <formula>0</formula>
    </cfRule>
  </conditionalFormatting>
  <conditionalFormatting sqref="Y83">
    <cfRule type="cellIs" dxfId="5095" priority="2065" operator="equal">
      <formula>0</formula>
    </cfRule>
  </conditionalFormatting>
  <conditionalFormatting sqref="Z69:Z70 Z85:Z86 Z89:Z90 Z97:Z98 Z101:Z102 Z105:Z106 Z109:Z110 Z113:Z114">
    <cfRule type="cellIs" dxfId="5094" priority="2064" operator="greaterThan">
      <formula>0</formula>
    </cfRule>
  </conditionalFormatting>
  <conditionalFormatting sqref="Z69:Z70 Z85:Z86 Z89:Z90 Z97:Z98 Z101:Z102 Z105:Z106 Z109:Z110 Z113:Z114">
    <cfRule type="cellIs" dxfId="5093" priority="2063" operator="equal">
      <formula>0</formula>
    </cfRule>
  </conditionalFormatting>
  <conditionalFormatting sqref="Z71 Z87 Z99 Z103 Z107 Z111 Z115 Z91:Z95">
    <cfRule type="cellIs" dxfId="5092" priority="2062" operator="equal">
      <formula>0</formula>
    </cfRule>
  </conditionalFormatting>
  <conditionalFormatting sqref="Z65:Z66">
    <cfRule type="cellIs" dxfId="5091" priority="2061" operator="greaterThan">
      <formula>0</formula>
    </cfRule>
  </conditionalFormatting>
  <conditionalFormatting sqref="Z65:Z66">
    <cfRule type="cellIs" dxfId="5090" priority="2060" operator="equal">
      <formula>0</formula>
    </cfRule>
  </conditionalFormatting>
  <conditionalFormatting sqref="Z67">
    <cfRule type="cellIs" dxfId="5089" priority="2059" operator="equal">
      <formula>0</formula>
    </cfRule>
  </conditionalFormatting>
  <conditionalFormatting sqref="Z73:Z74">
    <cfRule type="cellIs" dxfId="5088" priority="2058" operator="greaterThan">
      <formula>0</formula>
    </cfRule>
  </conditionalFormatting>
  <conditionalFormatting sqref="Z73:Z74">
    <cfRule type="cellIs" dxfId="5087" priority="2057" operator="equal">
      <formula>0</formula>
    </cfRule>
  </conditionalFormatting>
  <conditionalFormatting sqref="Z75">
    <cfRule type="cellIs" dxfId="5086" priority="2056" operator="equal">
      <formula>0</formula>
    </cfRule>
  </conditionalFormatting>
  <conditionalFormatting sqref="Z77:Z78">
    <cfRule type="cellIs" dxfId="5085" priority="2055" operator="greaterThan">
      <formula>0</formula>
    </cfRule>
  </conditionalFormatting>
  <conditionalFormatting sqref="Z77:Z78">
    <cfRule type="cellIs" dxfId="5084" priority="2054" operator="equal">
      <formula>0</formula>
    </cfRule>
  </conditionalFormatting>
  <conditionalFormatting sqref="Z79">
    <cfRule type="cellIs" dxfId="5083" priority="2053" operator="equal">
      <formula>0</formula>
    </cfRule>
  </conditionalFormatting>
  <conditionalFormatting sqref="Z81:Z82">
    <cfRule type="cellIs" dxfId="5082" priority="2052" operator="greaterThan">
      <formula>0</formula>
    </cfRule>
  </conditionalFormatting>
  <conditionalFormatting sqref="Z81:Z82">
    <cfRule type="cellIs" dxfId="5081" priority="2051" operator="equal">
      <formula>0</formula>
    </cfRule>
  </conditionalFormatting>
  <conditionalFormatting sqref="Z83">
    <cfRule type="cellIs" dxfId="5080" priority="2050" operator="equal">
      <formula>0</formula>
    </cfRule>
  </conditionalFormatting>
  <conditionalFormatting sqref="AA69:AA70 AA85:AA86 AA89:AA90 AA97:AA98 AA101:AA102 AA105:AA106 AA109:AA110 AA113:AA114">
    <cfRule type="cellIs" dxfId="5079" priority="2049" operator="greaterThan">
      <formula>0</formula>
    </cfRule>
  </conditionalFormatting>
  <conditionalFormatting sqref="AA69:AA70 AA85:AA86 AA89:AA90 AA97:AA98 AA101:AA102 AA105:AA106 AA109:AA110 AA113:AA114">
    <cfRule type="cellIs" dxfId="5078" priority="2048" operator="equal">
      <formula>0</formula>
    </cfRule>
  </conditionalFormatting>
  <conditionalFormatting sqref="AA71 AA87 AA99 AA103 AA107 AA111 AA115 AA91:AA95">
    <cfRule type="cellIs" dxfId="5077" priority="2047" operator="equal">
      <formula>0</formula>
    </cfRule>
  </conditionalFormatting>
  <conditionalFormatting sqref="AA65:AA66">
    <cfRule type="cellIs" dxfId="5076" priority="2046" operator="greaterThan">
      <formula>0</formula>
    </cfRule>
  </conditionalFormatting>
  <conditionalFormatting sqref="AA65:AA66">
    <cfRule type="cellIs" dxfId="5075" priority="2045" operator="equal">
      <formula>0</formula>
    </cfRule>
  </conditionalFormatting>
  <conditionalFormatting sqref="AA67">
    <cfRule type="cellIs" dxfId="5074" priority="2044" operator="equal">
      <formula>0</formula>
    </cfRule>
  </conditionalFormatting>
  <conditionalFormatting sqref="AA73:AA74">
    <cfRule type="cellIs" dxfId="5073" priority="2043" operator="greaterThan">
      <formula>0</formula>
    </cfRule>
  </conditionalFormatting>
  <conditionalFormatting sqref="AA73:AA74">
    <cfRule type="cellIs" dxfId="5072" priority="2042" operator="equal">
      <formula>0</formula>
    </cfRule>
  </conditionalFormatting>
  <conditionalFormatting sqref="AA75">
    <cfRule type="cellIs" dxfId="5071" priority="2041" operator="equal">
      <formula>0</formula>
    </cfRule>
  </conditionalFormatting>
  <conditionalFormatting sqref="AA77:AA78">
    <cfRule type="cellIs" dxfId="5070" priority="2040" operator="greaterThan">
      <formula>0</formula>
    </cfRule>
  </conditionalFormatting>
  <conditionalFormatting sqref="AA77:AA78">
    <cfRule type="cellIs" dxfId="5069" priority="2039" operator="equal">
      <formula>0</formula>
    </cfRule>
  </conditionalFormatting>
  <conditionalFormatting sqref="AA79">
    <cfRule type="cellIs" dxfId="5068" priority="2038" operator="equal">
      <formula>0</formula>
    </cfRule>
  </conditionalFormatting>
  <conditionalFormatting sqref="AA81:AA82">
    <cfRule type="cellIs" dxfId="5067" priority="2037" operator="greaterThan">
      <formula>0</formula>
    </cfRule>
  </conditionalFormatting>
  <conditionalFormatting sqref="AA81:AA82">
    <cfRule type="cellIs" dxfId="5066" priority="2036" operator="equal">
      <formula>0</formula>
    </cfRule>
  </conditionalFormatting>
  <conditionalFormatting sqref="AA83">
    <cfRule type="cellIs" dxfId="5065" priority="2035" operator="equal">
      <formula>0</formula>
    </cfRule>
  </conditionalFormatting>
  <conditionalFormatting sqref="AB69:AB70 AB85:AB86 AB89:AB90 AB97:AB98 AB101:AB102 AB105:AB106 AB109:AB110 AB113:AB114">
    <cfRule type="cellIs" dxfId="5064" priority="2034" operator="greaterThan">
      <formula>0</formula>
    </cfRule>
  </conditionalFormatting>
  <conditionalFormatting sqref="AB69:AB70 AB85:AB86 AB89:AB90 AB97:AB98 AB101:AB102 AB105:AB106 AB109:AB110 AB113:AB114">
    <cfRule type="cellIs" dxfId="5063" priority="2033" operator="equal">
      <formula>0</formula>
    </cfRule>
  </conditionalFormatting>
  <conditionalFormatting sqref="AB71 AB87 AB99 AB103 AB107 AB111 AB115 AB91:AB95">
    <cfRule type="cellIs" dxfId="5062" priority="2032" operator="equal">
      <formula>0</formula>
    </cfRule>
  </conditionalFormatting>
  <conditionalFormatting sqref="AB65:AB66">
    <cfRule type="cellIs" dxfId="5061" priority="2031" operator="greaterThan">
      <formula>0</formula>
    </cfRule>
  </conditionalFormatting>
  <conditionalFormatting sqref="AB65:AB66">
    <cfRule type="cellIs" dxfId="5060" priority="2030" operator="equal">
      <formula>0</formula>
    </cfRule>
  </conditionalFormatting>
  <conditionalFormatting sqref="AB67">
    <cfRule type="cellIs" dxfId="5059" priority="2029" operator="equal">
      <formula>0</formula>
    </cfRule>
  </conditionalFormatting>
  <conditionalFormatting sqref="AB73:AB74">
    <cfRule type="cellIs" dxfId="5058" priority="2028" operator="greaterThan">
      <formula>0</formula>
    </cfRule>
  </conditionalFormatting>
  <conditionalFormatting sqref="AB73:AB74">
    <cfRule type="cellIs" dxfId="5057" priority="2027" operator="equal">
      <formula>0</formula>
    </cfRule>
  </conditionalFormatting>
  <conditionalFormatting sqref="AB75">
    <cfRule type="cellIs" dxfId="5056" priority="2026" operator="equal">
      <formula>0</formula>
    </cfRule>
  </conditionalFormatting>
  <conditionalFormatting sqref="AB77:AB78">
    <cfRule type="cellIs" dxfId="5055" priority="2025" operator="greaterThan">
      <formula>0</formula>
    </cfRule>
  </conditionalFormatting>
  <conditionalFormatting sqref="AB77:AB78">
    <cfRule type="cellIs" dxfId="5054" priority="2024" operator="equal">
      <formula>0</formula>
    </cfRule>
  </conditionalFormatting>
  <conditionalFormatting sqref="AB79">
    <cfRule type="cellIs" dxfId="5053" priority="2023" operator="equal">
      <formula>0</formula>
    </cfRule>
  </conditionalFormatting>
  <conditionalFormatting sqref="AB81:AB82">
    <cfRule type="cellIs" dxfId="5052" priority="2022" operator="greaterThan">
      <formula>0</formula>
    </cfRule>
  </conditionalFormatting>
  <conditionalFormatting sqref="AB81:AB82">
    <cfRule type="cellIs" dxfId="5051" priority="2021" operator="equal">
      <formula>0</formula>
    </cfRule>
  </conditionalFormatting>
  <conditionalFormatting sqref="AB83">
    <cfRule type="cellIs" dxfId="5050" priority="2020" operator="equal">
      <formula>0</formula>
    </cfRule>
  </conditionalFormatting>
  <conditionalFormatting sqref="AC69:AC70 AC85:AC86 AC89:AC90 AC97:AC98 AC101:AC102 AC105:AC106 AC109:AC110 AC113:AC114">
    <cfRule type="cellIs" dxfId="5049" priority="2019" operator="greaterThan">
      <formula>0</formula>
    </cfRule>
  </conditionalFormatting>
  <conditionalFormatting sqref="AC69:AC70 AC85:AC86 AC89:AC90 AC97:AC98 AC101:AC102 AC105:AC106 AC109:AC110 AC113:AC114">
    <cfRule type="cellIs" dxfId="5048" priority="2018" operator="equal">
      <formula>0</formula>
    </cfRule>
  </conditionalFormatting>
  <conditionalFormatting sqref="AC71 AC87 AC99 AC103 AC107 AC111 AC115 AC91:AC95">
    <cfRule type="cellIs" dxfId="5047" priority="2017" operator="equal">
      <formula>0</formula>
    </cfRule>
  </conditionalFormatting>
  <conditionalFormatting sqref="AC65:AC66">
    <cfRule type="cellIs" dxfId="5046" priority="2016" operator="greaterThan">
      <formula>0</formula>
    </cfRule>
  </conditionalFormatting>
  <conditionalFormatting sqref="AC65:AC66">
    <cfRule type="cellIs" dxfId="5045" priority="2015" operator="equal">
      <formula>0</formula>
    </cfRule>
  </conditionalFormatting>
  <conditionalFormatting sqref="AC67">
    <cfRule type="cellIs" dxfId="5044" priority="2014" operator="equal">
      <formula>0</formula>
    </cfRule>
  </conditionalFormatting>
  <conditionalFormatting sqref="AC73:AC74">
    <cfRule type="cellIs" dxfId="5043" priority="2013" operator="greaterThan">
      <formula>0</formula>
    </cfRule>
  </conditionalFormatting>
  <conditionalFormatting sqref="AC73:AC74">
    <cfRule type="cellIs" dxfId="5042" priority="2012" operator="equal">
      <formula>0</formula>
    </cfRule>
  </conditionalFormatting>
  <conditionalFormatting sqref="AC75">
    <cfRule type="cellIs" dxfId="5041" priority="2011" operator="equal">
      <formula>0</formula>
    </cfRule>
  </conditionalFormatting>
  <conditionalFormatting sqref="AC77:AC78">
    <cfRule type="cellIs" dxfId="5040" priority="2010" operator="greaterThan">
      <formula>0</formula>
    </cfRule>
  </conditionalFormatting>
  <conditionalFormatting sqref="AC77:AC78">
    <cfRule type="cellIs" dxfId="5039" priority="2009" operator="equal">
      <formula>0</formula>
    </cfRule>
  </conditionalFormatting>
  <conditionalFormatting sqref="AC79">
    <cfRule type="cellIs" dxfId="5038" priority="2008" operator="equal">
      <formula>0</formula>
    </cfRule>
  </conditionalFormatting>
  <conditionalFormatting sqref="AC81:AC82">
    <cfRule type="cellIs" dxfId="5037" priority="2007" operator="greaterThan">
      <formula>0</formula>
    </cfRule>
  </conditionalFormatting>
  <conditionalFormatting sqref="AC81:AC82">
    <cfRule type="cellIs" dxfId="5036" priority="2006" operator="equal">
      <formula>0</formula>
    </cfRule>
  </conditionalFormatting>
  <conditionalFormatting sqref="AC83">
    <cfRule type="cellIs" dxfId="5035" priority="2005" operator="equal">
      <formula>0</formula>
    </cfRule>
  </conditionalFormatting>
  <conditionalFormatting sqref="AD69:AD70 AD85:AD86 AD89:AD90 AD97:AD98 AD101:AD102 AD105:AD106 AD109:AD110 AD113:AD114">
    <cfRule type="cellIs" dxfId="5034" priority="2004" operator="greaterThan">
      <formula>0</formula>
    </cfRule>
  </conditionalFormatting>
  <conditionalFormatting sqref="AD69:AD70 AD85:AD86 AD89:AD90 AD97:AD98 AD101:AD102 AD105:AD106 AD109:AD110 AD113:AD114">
    <cfRule type="cellIs" dxfId="5033" priority="2003" operator="equal">
      <formula>0</formula>
    </cfRule>
  </conditionalFormatting>
  <conditionalFormatting sqref="AD71 AD87 AD99 AD103 AD107 AD111 AD115 AD91:AD95">
    <cfRule type="cellIs" dxfId="5032" priority="2002" operator="equal">
      <formula>0</formula>
    </cfRule>
  </conditionalFormatting>
  <conditionalFormatting sqref="AD65:AD66">
    <cfRule type="cellIs" dxfId="5031" priority="2001" operator="greaterThan">
      <formula>0</formula>
    </cfRule>
  </conditionalFormatting>
  <conditionalFormatting sqref="AD65:AD66">
    <cfRule type="cellIs" dxfId="5030" priority="2000" operator="equal">
      <formula>0</formula>
    </cfRule>
  </conditionalFormatting>
  <conditionalFormatting sqref="AD67">
    <cfRule type="cellIs" dxfId="5029" priority="1999" operator="equal">
      <formula>0</formula>
    </cfRule>
  </conditionalFormatting>
  <conditionalFormatting sqref="AD73:AD74">
    <cfRule type="cellIs" dxfId="5028" priority="1998" operator="greaterThan">
      <formula>0</formula>
    </cfRule>
  </conditionalFormatting>
  <conditionalFormatting sqref="AD73:AD74">
    <cfRule type="cellIs" dxfId="5027" priority="1997" operator="equal">
      <formula>0</formula>
    </cfRule>
  </conditionalFormatting>
  <conditionalFormatting sqref="AD75">
    <cfRule type="cellIs" dxfId="5026" priority="1996" operator="equal">
      <formula>0</formula>
    </cfRule>
  </conditionalFormatting>
  <conditionalFormatting sqref="AD77:AD78">
    <cfRule type="cellIs" dxfId="5025" priority="1995" operator="greaterThan">
      <formula>0</formula>
    </cfRule>
  </conditionalFormatting>
  <conditionalFormatting sqref="AD77:AD78">
    <cfRule type="cellIs" dxfId="5024" priority="1994" operator="equal">
      <formula>0</formula>
    </cfRule>
  </conditionalFormatting>
  <conditionalFormatting sqref="AD79">
    <cfRule type="cellIs" dxfId="5023" priority="1993" operator="equal">
      <formula>0</formula>
    </cfRule>
  </conditionalFormatting>
  <conditionalFormatting sqref="AD81:AD82">
    <cfRule type="cellIs" dxfId="5022" priority="1992" operator="greaterThan">
      <formula>0</formula>
    </cfRule>
  </conditionalFormatting>
  <conditionalFormatting sqref="AD81:AD82">
    <cfRule type="cellIs" dxfId="5021" priority="1991" operator="equal">
      <formula>0</formula>
    </cfRule>
  </conditionalFormatting>
  <conditionalFormatting sqref="AD83">
    <cfRule type="cellIs" dxfId="5020" priority="1990" operator="equal">
      <formula>0</formula>
    </cfRule>
  </conditionalFormatting>
  <conditionalFormatting sqref="AE69:AE70 AE85:AE86 AE89:AE90 AE97:AE98 AE101:AE102 AE105:AE106 AE109:AE110 AE113:AE114">
    <cfRule type="cellIs" dxfId="5019" priority="1989" operator="greaterThan">
      <formula>0</formula>
    </cfRule>
  </conditionalFormatting>
  <conditionalFormatting sqref="AE69:AE70 AE85:AE86 AE89:AE90 AE97:AE98 AE101:AE102 AE105:AE106 AE109:AE110 AE113:AE114">
    <cfRule type="cellIs" dxfId="5018" priority="1988" operator="equal">
      <formula>0</formula>
    </cfRule>
  </conditionalFormatting>
  <conditionalFormatting sqref="AE71 AE87 AE99 AE103 AE107 AE111 AE115 AE91:AE95">
    <cfRule type="cellIs" dxfId="5017" priority="1987" operator="equal">
      <formula>0</formula>
    </cfRule>
  </conditionalFormatting>
  <conditionalFormatting sqref="AE65:AE66">
    <cfRule type="cellIs" dxfId="5016" priority="1986" operator="greaterThan">
      <formula>0</formula>
    </cfRule>
  </conditionalFormatting>
  <conditionalFormatting sqref="AE65:AE66">
    <cfRule type="cellIs" dxfId="5015" priority="1985" operator="equal">
      <formula>0</formula>
    </cfRule>
  </conditionalFormatting>
  <conditionalFormatting sqref="AE67">
    <cfRule type="cellIs" dxfId="5014" priority="1984" operator="equal">
      <formula>0</formula>
    </cfRule>
  </conditionalFormatting>
  <conditionalFormatting sqref="AE73:AE74">
    <cfRule type="cellIs" dxfId="5013" priority="1983" operator="greaterThan">
      <formula>0</formula>
    </cfRule>
  </conditionalFormatting>
  <conditionalFormatting sqref="AE73:AE74">
    <cfRule type="cellIs" dxfId="5012" priority="1982" operator="equal">
      <formula>0</formula>
    </cfRule>
  </conditionalFormatting>
  <conditionalFormatting sqref="AE75">
    <cfRule type="cellIs" dxfId="5011" priority="1981" operator="equal">
      <formula>0</formula>
    </cfRule>
  </conditionalFormatting>
  <conditionalFormatting sqref="AE77:AE78">
    <cfRule type="cellIs" dxfId="5010" priority="1980" operator="greaterThan">
      <formula>0</formula>
    </cfRule>
  </conditionalFormatting>
  <conditionalFormatting sqref="AE77:AE78">
    <cfRule type="cellIs" dxfId="5009" priority="1979" operator="equal">
      <formula>0</formula>
    </cfRule>
  </conditionalFormatting>
  <conditionalFormatting sqref="AE79">
    <cfRule type="cellIs" dxfId="5008" priority="1978" operator="equal">
      <formula>0</formula>
    </cfRule>
  </conditionalFormatting>
  <conditionalFormatting sqref="AE81:AE82">
    <cfRule type="cellIs" dxfId="5007" priority="1977" operator="greaterThan">
      <formula>0</formula>
    </cfRule>
  </conditionalFormatting>
  <conditionalFormatting sqref="AE81:AE82">
    <cfRule type="cellIs" dxfId="5006" priority="1976" operator="equal">
      <formula>0</formula>
    </cfRule>
  </conditionalFormatting>
  <conditionalFormatting sqref="AE83">
    <cfRule type="cellIs" dxfId="5005" priority="1975" operator="equal">
      <formula>0</formula>
    </cfRule>
  </conditionalFormatting>
  <conditionalFormatting sqref="AF69:AF70 AF85:AF86 AF89:AF90 AF97:AF98 AF101:AF102 AF105:AF106 AF109:AF110 AF113:AF114">
    <cfRule type="cellIs" dxfId="5004" priority="1974" operator="greaterThan">
      <formula>0</formula>
    </cfRule>
  </conditionalFormatting>
  <conditionalFormatting sqref="AF69:AF70 AF85:AF86 AF89:AF90 AF97:AF98 AF101:AF102 AF105:AF106 AF109:AF110 AF113:AF114">
    <cfRule type="cellIs" dxfId="5003" priority="1973" operator="equal">
      <formula>0</formula>
    </cfRule>
  </conditionalFormatting>
  <conditionalFormatting sqref="AF71 AF87 AF99 AF103 AF107 AF111 AF115 AF91:AF95">
    <cfRule type="cellIs" dxfId="5002" priority="1972" operator="equal">
      <formula>0</formula>
    </cfRule>
  </conditionalFormatting>
  <conditionalFormatting sqref="AF65:AF66">
    <cfRule type="cellIs" dxfId="5001" priority="1971" operator="greaterThan">
      <formula>0</formula>
    </cfRule>
  </conditionalFormatting>
  <conditionalFormatting sqref="AF65:AF66">
    <cfRule type="cellIs" dxfId="5000" priority="1970" operator="equal">
      <formula>0</formula>
    </cfRule>
  </conditionalFormatting>
  <conditionalFormatting sqref="AF67">
    <cfRule type="cellIs" dxfId="4999" priority="1969" operator="equal">
      <formula>0</formula>
    </cfRule>
  </conditionalFormatting>
  <conditionalFormatting sqref="AF73:AF74">
    <cfRule type="cellIs" dxfId="4998" priority="1968" operator="greaterThan">
      <formula>0</formula>
    </cfRule>
  </conditionalFormatting>
  <conditionalFormatting sqref="AF73:AF74">
    <cfRule type="cellIs" dxfId="4997" priority="1967" operator="equal">
      <formula>0</formula>
    </cfRule>
  </conditionalFormatting>
  <conditionalFormatting sqref="AF75">
    <cfRule type="cellIs" dxfId="4996" priority="1966" operator="equal">
      <formula>0</formula>
    </cfRule>
  </conditionalFormatting>
  <conditionalFormatting sqref="AF77:AF78">
    <cfRule type="cellIs" dxfId="4995" priority="1965" operator="greaterThan">
      <formula>0</formula>
    </cfRule>
  </conditionalFormatting>
  <conditionalFormatting sqref="AF77:AF78">
    <cfRule type="cellIs" dxfId="4994" priority="1964" operator="equal">
      <formula>0</formula>
    </cfRule>
  </conditionalFormatting>
  <conditionalFormatting sqref="AF79">
    <cfRule type="cellIs" dxfId="4993" priority="1963" operator="equal">
      <formula>0</formula>
    </cfRule>
  </conditionalFormatting>
  <conditionalFormatting sqref="AF81:AF82">
    <cfRule type="cellIs" dxfId="4992" priority="1962" operator="greaterThan">
      <formula>0</formula>
    </cfRule>
  </conditionalFormatting>
  <conditionalFormatting sqref="AF81:AF82">
    <cfRule type="cellIs" dxfId="4991" priority="1961" operator="equal">
      <formula>0</formula>
    </cfRule>
  </conditionalFormatting>
  <conditionalFormatting sqref="AF83">
    <cfRule type="cellIs" dxfId="4990" priority="1960" operator="equal">
      <formula>0</formula>
    </cfRule>
  </conditionalFormatting>
  <conditionalFormatting sqref="AG71 AG87 AG99 AG103 AG107 AG111 AG115 AG91:AG95">
    <cfRule type="cellIs" dxfId="4989" priority="1959" operator="equal">
      <formula>0</formula>
    </cfRule>
  </conditionalFormatting>
  <conditionalFormatting sqref="AG67">
    <cfRule type="cellIs" dxfId="4988" priority="1958" operator="equal">
      <formula>0</formula>
    </cfRule>
  </conditionalFormatting>
  <conditionalFormatting sqref="AG75">
    <cfRule type="cellIs" dxfId="4987" priority="1957" operator="equal">
      <formula>0</formula>
    </cfRule>
  </conditionalFormatting>
  <conditionalFormatting sqref="AG79">
    <cfRule type="cellIs" dxfId="4986" priority="1956" operator="equal">
      <formula>0</formula>
    </cfRule>
  </conditionalFormatting>
  <conditionalFormatting sqref="AG83">
    <cfRule type="cellIs" dxfId="4985" priority="1955" operator="equal">
      <formula>0</formula>
    </cfRule>
  </conditionalFormatting>
  <conditionalFormatting sqref="AH71 AH87 AH99 AH103 AH107 AH111 AH115 AH91:AH95">
    <cfRule type="cellIs" dxfId="4984" priority="1954" operator="equal">
      <formula>0</formula>
    </cfRule>
  </conditionalFormatting>
  <conditionalFormatting sqref="AH67">
    <cfRule type="cellIs" dxfId="4983" priority="1953" operator="equal">
      <formula>0</formula>
    </cfRule>
  </conditionalFormatting>
  <conditionalFormatting sqref="AH75">
    <cfRule type="cellIs" dxfId="4982" priority="1952" operator="equal">
      <formula>0</formula>
    </cfRule>
  </conditionalFormatting>
  <conditionalFormatting sqref="AH79">
    <cfRule type="cellIs" dxfId="4981" priority="1951" operator="equal">
      <formula>0</formula>
    </cfRule>
  </conditionalFormatting>
  <conditionalFormatting sqref="AH83">
    <cfRule type="cellIs" dxfId="4980" priority="1950" operator="equal">
      <formula>0</formula>
    </cfRule>
  </conditionalFormatting>
  <conditionalFormatting sqref="AI71 AI87 AI99 AI103 AI107 AI111 AI115 AI91:AI95">
    <cfRule type="cellIs" dxfId="4979" priority="1949" operator="equal">
      <formula>0</formula>
    </cfRule>
  </conditionalFormatting>
  <conditionalFormatting sqref="AI67">
    <cfRule type="cellIs" dxfId="4978" priority="1948" operator="equal">
      <formula>0</formula>
    </cfRule>
  </conditionalFormatting>
  <conditionalFormatting sqref="AI75">
    <cfRule type="cellIs" dxfId="4977" priority="1947" operator="equal">
      <formula>0</formula>
    </cfRule>
  </conditionalFormatting>
  <conditionalFormatting sqref="AI79">
    <cfRule type="cellIs" dxfId="4976" priority="1946" operator="equal">
      <formula>0</formula>
    </cfRule>
  </conditionalFormatting>
  <conditionalFormatting sqref="AI83">
    <cfRule type="cellIs" dxfId="4975" priority="1945" operator="equal">
      <formula>0</formula>
    </cfRule>
  </conditionalFormatting>
  <conditionalFormatting sqref="AJ71 AJ87 AJ99 AJ103 AJ107 AJ111 AJ115 AJ91:AJ95">
    <cfRule type="cellIs" dxfId="4974" priority="1944" operator="equal">
      <formula>0</formula>
    </cfRule>
  </conditionalFormatting>
  <conditionalFormatting sqref="AJ67">
    <cfRule type="cellIs" dxfId="4973" priority="1943" operator="equal">
      <formula>0</formula>
    </cfRule>
  </conditionalFormatting>
  <conditionalFormatting sqref="AJ75">
    <cfRule type="cellIs" dxfId="4972" priority="1942" operator="equal">
      <formula>0</formula>
    </cfRule>
  </conditionalFormatting>
  <conditionalFormatting sqref="AJ79">
    <cfRule type="cellIs" dxfId="4971" priority="1941" operator="equal">
      <formula>0</formula>
    </cfRule>
  </conditionalFormatting>
  <conditionalFormatting sqref="AJ83">
    <cfRule type="cellIs" dxfId="4970" priority="1940" operator="equal">
      <formula>0</formula>
    </cfRule>
  </conditionalFormatting>
  <conditionalFormatting sqref="AK68">
    <cfRule type="cellIs" dxfId="4969" priority="1938" operator="equal">
      <formula>0</formula>
    </cfRule>
    <cfRule type="cellIs" dxfId="4968" priority="1939" operator="notEqual">
      <formula>0</formula>
    </cfRule>
  </conditionalFormatting>
  <conditionalFormatting sqref="AK84 AK88 AK96 AK100 AK104 AK108 AK112">
    <cfRule type="cellIs" dxfId="4967" priority="1937" operator="greaterThan">
      <formula>0</formula>
    </cfRule>
  </conditionalFormatting>
  <conditionalFormatting sqref="AK71 AK87 AK99 AK103 AK107 AK111 AK115 AK91:AK95">
    <cfRule type="cellIs" dxfId="4966" priority="1936" operator="equal">
      <formula>0</formula>
    </cfRule>
  </conditionalFormatting>
  <conditionalFormatting sqref="AK64">
    <cfRule type="cellIs" dxfId="4965" priority="1934" operator="equal">
      <formula>0</formula>
    </cfRule>
    <cfRule type="cellIs" dxfId="4964" priority="1935" operator="notEqual">
      <formula>0</formula>
    </cfRule>
  </conditionalFormatting>
  <conditionalFormatting sqref="AK67">
    <cfRule type="cellIs" dxfId="4963" priority="1933" operator="equal">
      <formula>0</formula>
    </cfRule>
  </conditionalFormatting>
  <conditionalFormatting sqref="AK72">
    <cfRule type="cellIs" dxfId="4962" priority="1931" operator="equal">
      <formula>0</formula>
    </cfRule>
    <cfRule type="cellIs" dxfId="4961" priority="1932" operator="notEqual">
      <formula>0</formula>
    </cfRule>
  </conditionalFormatting>
  <conditionalFormatting sqref="AK75">
    <cfRule type="cellIs" dxfId="4960" priority="1930" operator="equal">
      <formula>0</formula>
    </cfRule>
  </conditionalFormatting>
  <conditionalFormatting sqref="AK76">
    <cfRule type="cellIs" dxfId="4959" priority="1928" operator="equal">
      <formula>0</formula>
    </cfRule>
    <cfRule type="cellIs" dxfId="4958" priority="1929" operator="notEqual">
      <formula>0</formula>
    </cfRule>
  </conditionalFormatting>
  <conditionalFormatting sqref="AK79">
    <cfRule type="cellIs" dxfId="4957" priority="1927" operator="equal">
      <formula>0</formula>
    </cfRule>
  </conditionalFormatting>
  <conditionalFormatting sqref="AK80">
    <cfRule type="cellIs" dxfId="4956" priority="1925" operator="equal">
      <formula>0</formula>
    </cfRule>
    <cfRule type="cellIs" dxfId="4955" priority="1926" operator="notEqual">
      <formula>0</formula>
    </cfRule>
  </conditionalFormatting>
  <conditionalFormatting sqref="AK83">
    <cfRule type="cellIs" dxfId="4954" priority="1924" operator="equal">
      <formula>0</formula>
    </cfRule>
  </conditionalFormatting>
  <conditionalFormatting sqref="AL68">
    <cfRule type="cellIs" dxfId="4953" priority="1922" operator="equal">
      <formula>0</formula>
    </cfRule>
    <cfRule type="cellIs" dxfId="4952" priority="1923" operator="notEqual">
      <formula>0</formula>
    </cfRule>
  </conditionalFormatting>
  <conditionalFormatting sqref="AL84 AL88 AL96 AL100 AL104 AL108 AL112">
    <cfRule type="cellIs" dxfId="4951" priority="1921" operator="greaterThan">
      <formula>0</formula>
    </cfRule>
  </conditionalFormatting>
  <conditionalFormatting sqref="AL71 AL87 AL99 AL103 AL107 AL111 AL115 AL91:AL95">
    <cfRule type="cellIs" dxfId="4950" priority="1920" operator="equal">
      <formula>0</formula>
    </cfRule>
  </conditionalFormatting>
  <conditionalFormatting sqref="AL64">
    <cfRule type="cellIs" dxfId="4949" priority="1918" operator="equal">
      <formula>0</formula>
    </cfRule>
    <cfRule type="cellIs" dxfId="4948" priority="1919" operator="notEqual">
      <formula>0</formula>
    </cfRule>
  </conditionalFormatting>
  <conditionalFormatting sqref="AL67">
    <cfRule type="cellIs" dxfId="4947" priority="1917" operator="equal">
      <formula>0</formula>
    </cfRule>
  </conditionalFormatting>
  <conditionalFormatting sqref="AL72">
    <cfRule type="cellIs" dxfId="4946" priority="1915" operator="equal">
      <formula>0</formula>
    </cfRule>
    <cfRule type="cellIs" dxfId="4945" priority="1916" operator="notEqual">
      <formula>0</formula>
    </cfRule>
  </conditionalFormatting>
  <conditionalFormatting sqref="AL75">
    <cfRule type="cellIs" dxfId="4944" priority="1914" operator="equal">
      <formula>0</formula>
    </cfRule>
  </conditionalFormatting>
  <conditionalFormatting sqref="AL76">
    <cfRule type="cellIs" dxfId="4943" priority="1912" operator="equal">
      <formula>0</formula>
    </cfRule>
    <cfRule type="cellIs" dxfId="4942" priority="1913" operator="notEqual">
      <formula>0</formula>
    </cfRule>
  </conditionalFormatting>
  <conditionalFormatting sqref="AL79">
    <cfRule type="cellIs" dxfId="4941" priority="1911" operator="equal">
      <formula>0</formula>
    </cfRule>
  </conditionalFormatting>
  <conditionalFormatting sqref="AL80">
    <cfRule type="cellIs" dxfId="4940" priority="1909" operator="equal">
      <formula>0</formula>
    </cfRule>
    <cfRule type="cellIs" dxfId="4939" priority="1910" operator="notEqual">
      <formula>0</formula>
    </cfRule>
  </conditionalFormatting>
  <conditionalFormatting sqref="AL83">
    <cfRule type="cellIs" dxfId="4938" priority="1908" operator="equal">
      <formula>0</formula>
    </cfRule>
  </conditionalFormatting>
  <conditionalFormatting sqref="AM68">
    <cfRule type="cellIs" dxfId="4937" priority="1906" operator="equal">
      <formula>0</formula>
    </cfRule>
    <cfRule type="cellIs" dxfId="4936" priority="1907" operator="notEqual">
      <formula>0</formula>
    </cfRule>
  </conditionalFormatting>
  <conditionalFormatting sqref="AM84 AM88 AM96 AM100 AM104 AM108 AM112">
    <cfRule type="cellIs" dxfId="4935" priority="1905" operator="greaterThan">
      <formula>0</formula>
    </cfRule>
  </conditionalFormatting>
  <conditionalFormatting sqref="AM71 AM87 AM99 AM103 AM107 AM111 AM115 AM91:AM95">
    <cfRule type="cellIs" dxfId="4934" priority="1904" operator="equal">
      <formula>0</formula>
    </cfRule>
  </conditionalFormatting>
  <conditionalFormatting sqref="AM64">
    <cfRule type="cellIs" dxfId="4933" priority="1902" operator="equal">
      <formula>0</formula>
    </cfRule>
    <cfRule type="cellIs" dxfId="4932" priority="1903" operator="notEqual">
      <formula>0</formula>
    </cfRule>
  </conditionalFormatting>
  <conditionalFormatting sqref="AM67">
    <cfRule type="cellIs" dxfId="4931" priority="1901" operator="equal">
      <formula>0</formula>
    </cfRule>
  </conditionalFormatting>
  <conditionalFormatting sqref="AM72">
    <cfRule type="cellIs" dxfId="4930" priority="1899" operator="equal">
      <formula>0</formula>
    </cfRule>
    <cfRule type="cellIs" dxfId="4929" priority="1900" operator="notEqual">
      <formula>0</formula>
    </cfRule>
  </conditionalFormatting>
  <conditionalFormatting sqref="AM75">
    <cfRule type="cellIs" dxfId="4928" priority="1898" operator="equal">
      <formula>0</formula>
    </cfRule>
  </conditionalFormatting>
  <conditionalFormatting sqref="AM76">
    <cfRule type="cellIs" dxfId="4927" priority="1896" operator="equal">
      <formula>0</formula>
    </cfRule>
    <cfRule type="cellIs" dxfId="4926" priority="1897" operator="notEqual">
      <formula>0</formula>
    </cfRule>
  </conditionalFormatting>
  <conditionalFormatting sqref="AM79">
    <cfRule type="cellIs" dxfId="4925" priority="1895" operator="equal">
      <formula>0</formula>
    </cfRule>
  </conditionalFormatting>
  <conditionalFormatting sqref="AM80">
    <cfRule type="cellIs" dxfId="4924" priority="1893" operator="equal">
      <formula>0</formula>
    </cfRule>
    <cfRule type="cellIs" dxfId="4923" priority="1894" operator="notEqual">
      <formula>0</formula>
    </cfRule>
  </conditionalFormatting>
  <conditionalFormatting sqref="AM83">
    <cfRule type="cellIs" dxfId="4922" priority="1892" operator="equal">
      <formula>0</formula>
    </cfRule>
  </conditionalFormatting>
  <conditionalFormatting sqref="AN68">
    <cfRule type="cellIs" dxfId="4921" priority="1890" operator="equal">
      <formula>0</formula>
    </cfRule>
    <cfRule type="cellIs" dxfId="4920" priority="1891" operator="notEqual">
      <formula>0</formula>
    </cfRule>
  </conditionalFormatting>
  <conditionalFormatting sqref="AN84 AN88 AN96 AN100 AN104 AN108 AN112">
    <cfRule type="cellIs" dxfId="4919" priority="1889" operator="greaterThan">
      <formula>0</formula>
    </cfRule>
  </conditionalFormatting>
  <conditionalFormatting sqref="AN71 AN87 AN99 AN103 AN107 AN111 AN115 AN91:AN95">
    <cfRule type="cellIs" dxfId="4918" priority="1888" operator="equal">
      <formula>0</formula>
    </cfRule>
  </conditionalFormatting>
  <conditionalFormatting sqref="AN64">
    <cfRule type="cellIs" dxfId="4917" priority="1886" operator="equal">
      <formula>0</formula>
    </cfRule>
    <cfRule type="cellIs" dxfId="4916" priority="1887" operator="notEqual">
      <formula>0</formula>
    </cfRule>
  </conditionalFormatting>
  <conditionalFormatting sqref="AN67">
    <cfRule type="cellIs" dxfId="4915" priority="1885" operator="equal">
      <formula>0</formula>
    </cfRule>
  </conditionalFormatting>
  <conditionalFormatting sqref="AN72">
    <cfRule type="cellIs" dxfId="4914" priority="1883" operator="equal">
      <formula>0</formula>
    </cfRule>
    <cfRule type="cellIs" dxfId="4913" priority="1884" operator="notEqual">
      <formula>0</formula>
    </cfRule>
  </conditionalFormatting>
  <conditionalFormatting sqref="AN75">
    <cfRule type="cellIs" dxfId="4912" priority="1882" operator="equal">
      <formula>0</formula>
    </cfRule>
  </conditionalFormatting>
  <conditionalFormatting sqref="AN76">
    <cfRule type="cellIs" dxfId="4911" priority="1880" operator="equal">
      <formula>0</formula>
    </cfRule>
    <cfRule type="cellIs" dxfId="4910" priority="1881" operator="notEqual">
      <formula>0</formula>
    </cfRule>
  </conditionalFormatting>
  <conditionalFormatting sqref="AN79">
    <cfRule type="cellIs" dxfId="4909" priority="1879" operator="equal">
      <formula>0</formula>
    </cfRule>
  </conditionalFormatting>
  <conditionalFormatting sqref="AN80">
    <cfRule type="cellIs" dxfId="4908" priority="1877" operator="equal">
      <formula>0</formula>
    </cfRule>
    <cfRule type="cellIs" dxfId="4907" priority="1878" operator="notEqual">
      <formula>0</formula>
    </cfRule>
  </conditionalFormatting>
  <conditionalFormatting sqref="AN83">
    <cfRule type="cellIs" dxfId="4906" priority="1876" operator="equal">
      <formula>0</formula>
    </cfRule>
  </conditionalFormatting>
  <conditionalFormatting sqref="Y126:Y127 Y142:Y143 Y146:Y147 Y154:Y155 Y158:Y159 Y162:Y163 Y166:Y167 Y170:Y171">
    <cfRule type="cellIs" dxfId="4905" priority="1875" operator="greaterThan">
      <formula>0</formula>
    </cfRule>
  </conditionalFormatting>
  <conditionalFormatting sqref="Y126:Y127 Y142:Y143 Y146:Y147 Y154:Y155 Y158:Y159 Y162:Y163 Y166:Y167 Y170:Y171">
    <cfRule type="cellIs" dxfId="4904" priority="1874" operator="equal">
      <formula>0</formula>
    </cfRule>
  </conditionalFormatting>
  <conditionalFormatting sqref="Y128 Y144 Y156 Y160 Y164 Y172 Y148:Y152 Y168">
    <cfRule type="cellIs" dxfId="4903" priority="1873" operator="equal">
      <formula>0</formula>
    </cfRule>
  </conditionalFormatting>
  <conditionalFormatting sqref="Y122:Y123">
    <cfRule type="cellIs" dxfId="4902" priority="1872" operator="greaterThan">
      <formula>0</formula>
    </cfRule>
  </conditionalFormatting>
  <conditionalFormatting sqref="Y122:Y123">
    <cfRule type="cellIs" dxfId="4901" priority="1871" operator="equal">
      <formula>0</formula>
    </cfRule>
  </conditionalFormatting>
  <conditionalFormatting sqref="Y124">
    <cfRule type="cellIs" dxfId="4900" priority="1870" operator="equal">
      <formula>0</formula>
    </cfRule>
  </conditionalFormatting>
  <conditionalFormatting sqref="Y130:Y131">
    <cfRule type="cellIs" dxfId="4899" priority="1869" operator="greaterThan">
      <formula>0</formula>
    </cfRule>
  </conditionalFormatting>
  <conditionalFormatting sqref="Y130:Y131">
    <cfRule type="cellIs" dxfId="4898" priority="1868" operator="equal">
      <formula>0</formula>
    </cfRule>
  </conditionalFormatting>
  <conditionalFormatting sqref="Y132">
    <cfRule type="cellIs" dxfId="4897" priority="1867" operator="equal">
      <formula>0</formula>
    </cfRule>
  </conditionalFormatting>
  <conditionalFormatting sqref="Y134:Y135">
    <cfRule type="cellIs" dxfId="4896" priority="1866" operator="greaterThan">
      <formula>0</formula>
    </cfRule>
  </conditionalFormatting>
  <conditionalFormatting sqref="Y134:Y135">
    <cfRule type="cellIs" dxfId="4895" priority="1865" operator="equal">
      <formula>0</formula>
    </cfRule>
  </conditionalFormatting>
  <conditionalFormatting sqref="Y136">
    <cfRule type="cellIs" dxfId="4894" priority="1864" operator="equal">
      <formula>0</formula>
    </cfRule>
  </conditionalFormatting>
  <conditionalFormatting sqref="Y138:Y139">
    <cfRule type="cellIs" dxfId="4893" priority="1863" operator="greaterThan">
      <formula>0</formula>
    </cfRule>
  </conditionalFormatting>
  <conditionalFormatting sqref="Y138:Y139">
    <cfRule type="cellIs" dxfId="4892" priority="1862" operator="equal">
      <formula>0</formula>
    </cfRule>
  </conditionalFormatting>
  <conditionalFormatting sqref="Y140">
    <cfRule type="cellIs" dxfId="4891" priority="1861" operator="equal">
      <formula>0</formula>
    </cfRule>
  </conditionalFormatting>
  <conditionalFormatting sqref="Z126:Z127 Z142:Z143 Z146:Z147 Z154:Z155 Z158:Z159 Z162:Z163 Z166:Z167 Z170:Z171">
    <cfRule type="cellIs" dxfId="4890" priority="1860" operator="greaterThan">
      <formula>0</formula>
    </cfRule>
  </conditionalFormatting>
  <conditionalFormatting sqref="Z126:Z127 Z142:Z143 Z146:Z147 Z154:Z155 Z158:Z159 Z162:Z163 Z166:Z167 Z170:Z171">
    <cfRule type="cellIs" dxfId="4889" priority="1859" operator="equal">
      <formula>0</formula>
    </cfRule>
  </conditionalFormatting>
  <conditionalFormatting sqref="Z128 Z144 Z156 Z160 Z164 Z168 Z172 Z148:Z152">
    <cfRule type="cellIs" dxfId="4888" priority="1858" operator="equal">
      <formula>0</formula>
    </cfRule>
  </conditionalFormatting>
  <conditionalFormatting sqref="Z122:Z123">
    <cfRule type="cellIs" dxfId="4887" priority="1857" operator="greaterThan">
      <formula>0</formula>
    </cfRule>
  </conditionalFormatting>
  <conditionalFormatting sqref="Z122:Z123">
    <cfRule type="cellIs" dxfId="4886" priority="1856" operator="equal">
      <formula>0</formula>
    </cfRule>
  </conditionalFormatting>
  <conditionalFormatting sqref="Z124">
    <cfRule type="cellIs" dxfId="4885" priority="1855" operator="equal">
      <formula>0</formula>
    </cfRule>
  </conditionalFormatting>
  <conditionalFormatting sqref="Z130:Z131">
    <cfRule type="cellIs" dxfId="4884" priority="1854" operator="greaterThan">
      <formula>0</formula>
    </cfRule>
  </conditionalFormatting>
  <conditionalFormatting sqref="Z130:Z131">
    <cfRule type="cellIs" dxfId="4883" priority="1853" operator="equal">
      <formula>0</formula>
    </cfRule>
  </conditionalFormatting>
  <conditionalFormatting sqref="Z132">
    <cfRule type="cellIs" dxfId="4882" priority="1852" operator="equal">
      <formula>0</formula>
    </cfRule>
  </conditionalFormatting>
  <conditionalFormatting sqref="Z134:Z135">
    <cfRule type="cellIs" dxfId="4881" priority="1851" operator="greaterThan">
      <formula>0</formula>
    </cfRule>
  </conditionalFormatting>
  <conditionalFormatting sqref="Z134:Z135">
    <cfRule type="cellIs" dxfId="4880" priority="1850" operator="equal">
      <formula>0</formula>
    </cfRule>
  </conditionalFormatting>
  <conditionalFormatting sqref="Z136">
    <cfRule type="cellIs" dxfId="4879" priority="1849" operator="equal">
      <formula>0</formula>
    </cfRule>
  </conditionalFormatting>
  <conditionalFormatting sqref="Z138:Z139">
    <cfRule type="cellIs" dxfId="4878" priority="1848" operator="greaterThan">
      <formula>0</formula>
    </cfRule>
  </conditionalFormatting>
  <conditionalFormatting sqref="Z138:Z139">
    <cfRule type="cellIs" dxfId="4877" priority="1847" operator="equal">
      <formula>0</formula>
    </cfRule>
  </conditionalFormatting>
  <conditionalFormatting sqref="Z140">
    <cfRule type="cellIs" dxfId="4876" priority="1846" operator="equal">
      <formula>0</formula>
    </cfRule>
  </conditionalFormatting>
  <conditionalFormatting sqref="AA126:AA127 AA142:AA143 AA146:AA147 AA154:AA155 AA158:AA159 AA162:AA163 AA166:AA167 AA170:AA171">
    <cfRule type="cellIs" dxfId="4875" priority="1845" operator="greaterThan">
      <formula>0</formula>
    </cfRule>
  </conditionalFormatting>
  <conditionalFormatting sqref="AA126:AA127 AA142:AA143 AA146:AA147 AA154:AA155 AA158:AA159 AA162:AA163 AA166:AA167 AA170:AA171">
    <cfRule type="cellIs" dxfId="4874" priority="1844" operator="equal">
      <formula>0</formula>
    </cfRule>
  </conditionalFormatting>
  <conditionalFormatting sqref="AA128 AA144 AA156 AA160 AA164 AA168 AA172 AA148:AA152">
    <cfRule type="cellIs" dxfId="4873" priority="1843" operator="equal">
      <formula>0</formula>
    </cfRule>
  </conditionalFormatting>
  <conditionalFormatting sqref="AA122:AA123">
    <cfRule type="cellIs" dxfId="4872" priority="1842" operator="greaterThan">
      <formula>0</formula>
    </cfRule>
  </conditionalFormatting>
  <conditionalFormatting sqref="AA122:AA123">
    <cfRule type="cellIs" dxfId="4871" priority="1841" operator="equal">
      <formula>0</formula>
    </cfRule>
  </conditionalFormatting>
  <conditionalFormatting sqref="AA124">
    <cfRule type="cellIs" dxfId="4870" priority="1840" operator="equal">
      <formula>0</formula>
    </cfRule>
  </conditionalFormatting>
  <conditionalFormatting sqref="AA130:AA131">
    <cfRule type="cellIs" dxfId="4869" priority="1839" operator="greaterThan">
      <formula>0</formula>
    </cfRule>
  </conditionalFormatting>
  <conditionalFormatting sqref="AA130:AA131">
    <cfRule type="cellIs" dxfId="4868" priority="1838" operator="equal">
      <formula>0</formula>
    </cfRule>
  </conditionalFormatting>
  <conditionalFormatting sqref="AA132">
    <cfRule type="cellIs" dxfId="4867" priority="1837" operator="equal">
      <formula>0</formula>
    </cfRule>
  </conditionalFormatting>
  <conditionalFormatting sqref="AA134:AA135">
    <cfRule type="cellIs" dxfId="4866" priority="1836" operator="greaterThan">
      <formula>0</formula>
    </cfRule>
  </conditionalFormatting>
  <conditionalFormatting sqref="AA134:AA135">
    <cfRule type="cellIs" dxfId="4865" priority="1835" operator="equal">
      <formula>0</formula>
    </cfRule>
  </conditionalFormatting>
  <conditionalFormatting sqref="AA136">
    <cfRule type="cellIs" dxfId="4864" priority="1834" operator="equal">
      <formula>0</formula>
    </cfRule>
  </conditionalFormatting>
  <conditionalFormatting sqref="AA138:AA139">
    <cfRule type="cellIs" dxfId="4863" priority="1833" operator="greaterThan">
      <formula>0</formula>
    </cfRule>
  </conditionalFormatting>
  <conditionalFormatting sqref="AA138:AA139">
    <cfRule type="cellIs" dxfId="4862" priority="1832" operator="equal">
      <formula>0</formula>
    </cfRule>
  </conditionalFormatting>
  <conditionalFormatting sqref="AA140">
    <cfRule type="cellIs" dxfId="4861" priority="1831" operator="equal">
      <formula>0</formula>
    </cfRule>
  </conditionalFormatting>
  <conditionalFormatting sqref="AB126:AB127 AB142:AB143 AB146:AB147 AB154:AB155 AB158:AB159 AB162:AB163 AB166:AB167 AB170:AB171">
    <cfRule type="cellIs" dxfId="4860" priority="1830" operator="greaterThan">
      <formula>0</formula>
    </cfRule>
  </conditionalFormatting>
  <conditionalFormatting sqref="AB126:AB127 AB142:AB143 AB146:AB147 AB154:AB155 AB158:AB159 AB162:AB163 AB166:AB167 AB170:AB171">
    <cfRule type="cellIs" dxfId="4859" priority="1829" operator="equal">
      <formula>0</formula>
    </cfRule>
  </conditionalFormatting>
  <conditionalFormatting sqref="AB128 AB144 AB156 AB160 AB164 AB168 AB172 AB148:AB152">
    <cfRule type="cellIs" dxfId="4858" priority="1828" operator="equal">
      <formula>0</formula>
    </cfRule>
  </conditionalFormatting>
  <conditionalFormatting sqref="AB122:AB123">
    <cfRule type="cellIs" dxfId="4857" priority="1827" operator="greaterThan">
      <formula>0</formula>
    </cfRule>
  </conditionalFormatting>
  <conditionalFormatting sqref="AB122:AB123">
    <cfRule type="cellIs" dxfId="4856" priority="1826" operator="equal">
      <formula>0</formula>
    </cfRule>
  </conditionalFormatting>
  <conditionalFormatting sqref="AB124">
    <cfRule type="cellIs" dxfId="4855" priority="1825" operator="equal">
      <formula>0</formula>
    </cfRule>
  </conditionalFormatting>
  <conditionalFormatting sqref="AB130:AB131">
    <cfRule type="cellIs" dxfId="4854" priority="1824" operator="greaterThan">
      <formula>0</formula>
    </cfRule>
  </conditionalFormatting>
  <conditionalFormatting sqref="AB130:AB131">
    <cfRule type="cellIs" dxfId="4853" priority="1823" operator="equal">
      <formula>0</formula>
    </cfRule>
  </conditionalFormatting>
  <conditionalFormatting sqref="AB132">
    <cfRule type="cellIs" dxfId="4852" priority="1822" operator="equal">
      <formula>0</formula>
    </cfRule>
  </conditionalFormatting>
  <conditionalFormatting sqref="AB134:AB135">
    <cfRule type="cellIs" dxfId="4851" priority="1821" operator="greaterThan">
      <formula>0</formula>
    </cfRule>
  </conditionalFormatting>
  <conditionalFormatting sqref="AB134:AB135">
    <cfRule type="cellIs" dxfId="4850" priority="1820" operator="equal">
      <formula>0</formula>
    </cfRule>
  </conditionalFormatting>
  <conditionalFormatting sqref="AB136">
    <cfRule type="cellIs" dxfId="4849" priority="1819" operator="equal">
      <formula>0</formula>
    </cfRule>
  </conditionalFormatting>
  <conditionalFormatting sqref="AB138:AB139">
    <cfRule type="cellIs" dxfId="4848" priority="1818" operator="greaterThan">
      <formula>0</formula>
    </cfRule>
  </conditionalFormatting>
  <conditionalFormatting sqref="AB138:AB139">
    <cfRule type="cellIs" dxfId="4847" priority="1817" operator="equal">
      <formula>0</formula>
    </cfRule>
  </conditionalFormatting>
  <conditionalFormatting sqref="AB140">
    <cfRule type="cellIs" dxfId="4846" priority="1816" operator="equal">
      <formula>0</formula>
    </cfRule>
  </conditionalFormatting>
  <conditionalFormatting sqref="AC126:AC127 AC142:AC143 AC146:AC147 AC154:AC155 AC158:AC159 AC162:AC163 AC166:AC167 AC170:AC171">
    <cfRule type="cellIs" dxfId="4845" priority="1815" operator="greaterThan">
      <formula>0</formula>
    </cfRule>
  </conditionalFormatting>
  <conditionalFormatting sqref="AC126:AC127 AC142:AC143 AC146:AC147 AC154:AC155 AC158:AC159 AC162:AC163 AC166:AC167 AC170:AC171">
    <cfRule type="cellIs" dxfId="4844" priority="1814" operator="equal">
      <formula>0</formula>
    </cfRule>
  </conditionalFormatting>
  <conditionalFormatting sqref="AC128 AC144 AC156 AC160 AC164 AC168 AC172 AC148:AC152">
    <cfRule type="cellIs" dxfId="4843" priority="1813" operator="equal">
      <formula>0</formula>
    </cfRule>
  </conditionalFormatting>
  <conditionalFormatting sqref="AC122:AC123">
    <cfRule type="cellIs" dxfId="4842" priority="1812" operator="greaterThan">
      <formula>0</formula>
    </cfRule>
  </conditionalFormatting>
  <conditionalFormatting sqref="AC122:AC123">
    <cfRule type="cellIs" dxfId="4841" priority="1811" operator="equal">
      <formula>0</formula>
    </cfRule>
  </conditionalFormatting>
  <conditionalFormatting sqref="AC124">
    <cfRule type="cellIs" dxfId="4840" priority="1810" operator="equal">
      <formula>0</formula>
    </cfRule>
  </conditionalFormatting>
  <conditionalFormatting sqref="AC130:AC131">
    <cfRule type="cellIs" dxfId="4839" priority="1809" operator="greaterThan">
      <formula>0</formula>
    </cfRule>
  </conditionalFormatting>
  <conditionalFormatting sqref="AC130:AC131">
    <cfRule type="cellIs" dxfId="4838" priority="1808" operator="equal">
      <formula>0</formula>
    </cfRule>
  </conditionalFormatting>
  <conditionalFormatting sqref="AC132">
    <cfRule type="cellIs" dxfId="4837" priority="1807" operator="equal">
      <formula>0</formula>
    </cfRule>
  </conditionalFormatting>
  <conditionalFormatting sqref="AC134:AC135">
    <cfRule type="cellIs" dxfId="4836" priority="1806" operator="greaterThan">
      <formula>0</formula>
    </cfRule>
  </conditionalFormatting>
  <conditionalFormatting sqref="AC134:AC135">
    <cfRule type="cellIs" dxfId="4835" priority="1805" operator="equal">
      <formula>0</formula>
    </cfRule>
  </conditionalFormatting>
  <conditionalFormatting sqref="AC136">
    <cfRule type="cellIs" dxfId="4834" priority="1804" operator="equal">
      <formula>0</formula>
    </cfRule>
  </conditionalFormatting>
  <conditionalFormatting sqref="AC138:AC139">
    <cfRule type="cellIs" dxfId="4833" priority="1803" operator="greaterThan">
      <formula>0</formula>
    </cfRule>
  </conditionalFormatting>
  <conditionalFormatting sqref="AC138:AC139">
    <cfRule type="cellIs" dxfId="4832" priority="1802" operator="equal">
      <formula>0</formula>
    </cfRule>
  </conditionalFormatting>
  <conditionalFormatting sqref="AC140">
    <cfRule type="cellIs" dxfId="4831" priority="1801" operator="equal">
      <formula>0</formula>
    </cfRule>
  </conditionalFormatting>
  <conditionalFormatting sqref="AD126:AD127 AD142:AD143 AD146:AD147 AD154:AD155 AD158:AD159 AD162:AD163 AD166:AD167 AD170:AD171">
    <cfRule type="cellIs" dxfId="4830" priority="1800" operator="greaterThan">
      <formula>0</formula>
    </cfRule>
  </conditionalFormatting>
  <conditionalFormatting sqref="AD126:AD127 AD142:AD143 AD146:AD147 AD154:AD155 AD158:AD159 AD162:AD163 AD166:AD167 AD170:AD171">
    <cfRule type="cellIs" dxfId="4829" priority="1799" operator="equal">
      <formula>0</formula>
    </cfRule>
  </conditionalFormatting>
  <conditionalFormatting sqref="AD128 AD144 AD156 AD160 AD164 AD168 AD172 AD148:AD152">
    <cfRule type="cellIs" dxfId="4828" priority="1798" operator="equal">
      <formula>0</formula>
    </cfRule>
  </conditionalFormatting>
  <conditionalFormatting sqref="AD122:AD123">
    <cfRule type="cellIs" dxfId="4827" priority="1797" operator="greaterThan">
      <formula>0</formula>
    </cfRule>
  </conditionalFormatting>
  <conditionalFormatting sqref="AD122:AD123">
    <cfRule type="cellIs" dxfId="4826" priority="1796" operator="equal">
      <formula>0</formula>
    </cfRule>
  </conditionalFormatting>
  <conditionalFormatting sqref="AD124">
    <cfRule type="cellIs" dxfId="4825" priority="1795" operator="equal">
      <formula>0</formula>
    </cfRule>
  </conditionalFormatting>
  <conditionalFormatting sqref="AD130:AD131">
    <cfRule type="cellIs" dxfId="4824" priority="1794" operator="greaterThan">
      <formula>0</formula>
    </cfRule>
  </conditionalFormatting>
  <conditionalFormatting sqref="AD130:AD131">
    <cfRule type="cellIs" dxfId="4823" priority="1793" operator="equal">
      <formula>0</formula>
    </cfRule>
  </conditionalFormatting>
  <conditionalFormatting sqref="AD132">
    <cfRule type="cellIs" dxfId="4822" priority="1792" operator="equal">
      <formula>0</formula>
    </cfRule>
  </conditionalFormatting>
  <conditionalFormatting sqref="AD134:AD135">
    <cfRule type="cellIs" dxfId="4821" priority="1791" operator="greaterThan">
      <formula>0</formula>
    </cfRule>
  </conditionalFormatting>
  <conditionalFormatting sqref="AD134:AD135">
    <cfRule type="cellIs" dxfId="4820" priority="1790" operator="equal">
      <formula>0</formula>
    </cfRule>
  </conditionalFormatting>
  <conditionalFormatting sqref="AD136">
    <cfRule type="cellIs" dxfId="4819" priority="1789" operator="equal">
      <formula>0</formula>
    </cfRule>
  </conditionalFormatting>
  <conditionalFormatting sqref="AD138:AD139">
    <cfRule type="cellIs" dxfId="4818" priority="1788" operator="greaterThan">
      <formula>0</formula>
    </cfRule>
  </conditionalFormatting>
  <conditionalFormatting sqref="AD138:AD139">
    <cfRule type="cellIs" dxfId="4817" priority="1787" operator="equal">
      <formula>0</formula>
    </cfRule>
  </conditionalFormatting>
  <conditionalFormatting sqref="AD140">
    <cfRule type="cellIs" dxfId="4816" priority="1786" operator="equal">
      <formula>0</formula>
    </cfRule>
  </conditionalFormatting>
  <conditionalFormatting sqref="AE126:AE127 AE142:AE143 AE146:AE147 AE154:AE155 AE158:AE159 AE162:AE163 AE166:AE167 AE170:AE171">
    <cfRule type="cellIs" dxfId="4815" priority="1785" operator="greaterThan">
      <formula>0</formula>
    </cfRule>
  </conditionalFormatting>
  <conditionalFormatting sqref="AE126:AE127 AE142:AE143 AE146:AE147 AE154:AE155 AE158:AE159 AE162:AE163 AE166:AE167 AE170:AE171">
    <cfRule type="cellIs" dxfId="4814" priority="1784" operator="equal">
      <formula>0</formula>
    </cfRule>
  </conditionalFormatting>
  <conditionalFormatting sqref="AE128 AE144 AE156 AE160 AE164 AE168 AE172 AE148:AE152">
    <cfRule type="cellIs" dxfId="4813" priority="1783" operator="equal">
      <formula>0</formula>
    </cfRule>
  </conditionalFormatting>
  <conditionalFormatting sqref="AE122:AE123">
    <cfRule type="cellIs" dxfId="4812" priority="1782" operator="greaterThan">
      <formula>0</formula>
    </cfRule>
  </conditionalFormatting>
  <conditionalFormatting sqref="AE122:AE123">
    <cfRule type="cellIs" dxfId="4811" priority="1781" operator="equal">
      <formula>0</formula>
    </cfRule>
  </conditionalFormatting>
  <conditionalFormatting sqref="AE124">
    <cfRule type="cellIs" dxfId="4810" priority="1780" operator="equal">
      <formula>0</formula>
    </cfRule>
  </conditionalFormatting>
  <conditionalFormatting sqref="AE130:AE131">
    <cfRule type="cellIs" dxfId="4809" priority="1779" operator="greaterThan">
      <formula>0</formula>
    </cfRule>
  </conditionalFormatting>
  <conditionalFormatting sqref="AE130:AE131">
    <cfRule type="cellIs" dxfId="4808" priority="1778" operator="equal">
      <formula>0</formula>
    </cfRule>
  </conditionalFormatting>
  <conditionalFormatting sqref="AE132">
    <cfRule type="cellIs" dxfId="4807" priority="1777" operator="equal">
      <formula>0</formula>
    </cfRule>
  </conditionalFormatting>
  <conditionalFormatting sqref="AE134:AE135">
    <cfRule type="cellIs" dxfId="4806" priority="1776" operator="greaterThan">
      <formula>0</formula>
    </cfRule>
  </conditionalFormatting>
  <conditionalFormatting sqref="AE134:AE135">
    <cfRule type="cellIs" dxfId="4805" priority="1775" operator="equal">
      <formula>0</formula>
    </cfRule>
  </conditionalFormatting>
  <conditionalFormatting sqref="AE136">
    <cfRule type="cellIs" dxfId="4804" priority="1774" operator="equal">
      <formula>0</formula>
    </cfRule>
  </conditionalFormatting>
  <conditionalFormatting sqref="AE138:AE139">
    <cfRule type="cellIs" dxfId="4803" priority="1773" operator="greaterThan">
      <formula>0</formula>
    </cfRule>
  </conditionalFormatting>
  <conditionalFormatting sqref="AE138:AE139">
    <cfRule type="cellIs" dxfId="4802" priority="1772" operator="equal">
      <formula>0</formula>
    </cfRule>
  </conditionalFormatting>
  <conditionalFormatting sqref="AE140">
    <cfRule type="cellIs" dxfId="4801" priority="1771" operator="equal">
      <formula>0</formula>
    </cfRule>
  </conditionalFormatting>
  <conditionalFormatting sqref="AF126:AF127 AF142:AF143 AF146:AF147 AF154:AF155 AF158:AF159 AF162:AF163 AF166:AF167 AF170:AF171">
    <cfRule type="cellIs" dxfId="4800" priority="1770" operator="greaterThan">
      <formula>0</formula>
    </cfRule>
  </conditionalFormatting>
  <conditionalFormatting sqref="AF126:AF127 AF142:AF143 AF146:AF147 AF154:AF155 AF158:AF159 AF162:AF163 AF166:AF167 AF170:AF171">
    <cfRule type="cellIs" dxfId="4799" priority="1769" operator="equal">
      <formula>0</formula>
    </cfRule>
  </conditionalFormatting>
  <conditionalFormatting sqref="AF128 AF144 AF156 AF160 AF164 AF168 AF172 AF148:AF152">
    <cfRule type="cellIs" dxfId="4798" priority="1768" operator="equal">
      <formula>0</formula>
    </cfRule>
  </conditionalFormatting>
  <conditionalFormatting sqref="AF122:AF123">
    <cfRule type="cellIs" dxfId="4797" priority="1767" operator="greaterThan">
      <formula>0</formula>
    </cfRule>
  </conditionalFormatting>
  <conditionalFormatting sqref="AF122:AF123">
    <cfRule type="cellIs" dxfId="4796" priority="1766" operator="equal">
      <formula>0</formula>
    </cfRule>
  </conditionalFormatting>
  <conditionalFormatting sqref="AF124">
    <cfRule type="cellIs" dxfId="4795" priority="1765" operator="equal">
      <formula>0</formula>
    </cfRule>
  </conditionalFormatting>
  <conditionalFormatting sqref="AF130:AF131">
    <cfRule type="cellIs" dxfId="4794" priority="1764" operator="greaterThan">
      <formula>0</formula>
    </cfRule>
  </conditionalFormatting>
  <conditionalFormatting sqref="AF130:AF131">
    <cfRule type="cellIs" dxfId="4793" priority="1763" operator="equal">
      <formula>0</formula>
    </cfRule>
  </conditionalFormatting>
  <conditionalFormatting sqref="AF132">
    <cfRule type="cellIs" dxfId="4792" priority="1762" operator="equal">
      <formula>0</formula>
    </cfRule>
  </conditionalFormatting>
  <conditionalFormatting sqref="AF134:AF135">
    <cfRule type="cellIs" dxfId="4791" priority="1761" operator="greaterThan">
      <formula>0</formula>
    </cfRule>
  </conditionalFormatting>
  <conditionalFormatting sqref="AF134:AF135">
    <cfRule type="cellIs" dxfId="4790" priority="1760" operator="equal">
      <formula>0</formula>
    </cfRule>
  </conditionalFormatting>
  <conditionalFormatting sqref="AF136">
    <cfRule type="cellIs" dxfId="4789" priority="1759" operator="equal">
      <formula>0</formula>
    </cfRule>
  </conditionalFormatting>
  <conditionalFormatting sqref="AF138:AF139">
    <cfRule type="cellIs" dxfId="4788" priority="1758" operator="greaterThan">
      <formula>0</formula>
    </cfRule>
  </conditionalFormatting>
  <conditionalFormatting sqref="AF138:AF139">
    <cfRule type="cellIs" dxfId="4787" priority="1757" operator="equal">
      <formula>0</formula>
    </cfRule>
  </conditionalFormatting>
  <conditionalFormatting sqref="AF140">
    <cfRule type="cellIs" dxfId="4786" priority="1756" operator="equal">
      <formula>0</formula>
    </cfRule>
  </conditionalFormatting>
  <conditionalFormatting sqref="AG128 AG144 AG156 AG160 AG164 AG168 AG172 AG148:AG152">
    <cfRule type="cellIs" dxfId="4785" priority="1755" operator="equal">
      <formula>0</formula>
    </cfRule>
  </conditionalFormatting>
  <conditionalFormatting sqref="AG124">
    <cfRule type="cellIs" dxfId="4784" priority="1754" operator="equal">
      <formula>0</formula>
    </cfRule>
  </conditionalFormatting>
  <conditionalFormatting sqref="AG132">
    <cfRule type="cellIs" dxfId="4783" priority="1753" operator="equal">
      <formula>0</formula>
    </cfRule>
  </conditionalFormatting>
  <conditionalFormatting sqref="AG136">
    <cfRule type="cellIs" dxfId="4782" priority="1752" operator="equal">
      <formula>0</formula>
    </cfRule>
  </conditionalFormatting>
  <conditionalFormatting sqref="AG140">
    <cfRule type="cellIs" dxfId="4781" priority="1751" operator="equal">
      <formula>0</formula>
    </cfRule>
  </conditionalFormatting>
  <conditionalFormatting sqref="AH128 AH144 AH156 AH160 AH164 AH168 AH172 AH148:AH152">
    <cfRule type="cellIs" dxfId="4780" priority="1750" operator="equal">
      <formula>0</formula>
    </cfRule>
  </conditionalFormatting>
  <conditionalFormatting sqref="AH124">
    <cfRule type="cellIs" dxfId="4779" priority="1749" operator="equal">
      <formula>0</formula>
    </cfRule>
  </conditionalFormatting>
  <conditionalFormatting sqref="AH132">
    <cfRule type="cellIs" dxfId="4778" priority="1748" operator="equal">
      <formula>0</formula>
    </cfRule>
  </conditionalFormatting>
  <conditionalFormatting sqref="AH136">
    <cfRule type="cellIs" dxfId="4777" priority="1747" operator="equal">
      <formula>0</formula>
    </cfRule>
  </conditionalFormatting>
  <conditionalFormatting sqref="AH140">
    <cfRule type="cellIs" dxfId="4776" priority="1746" operator="equal">
      <formula>0</formula>
    </cfRule>
  </conditionalFormatting>
  <conditionalFormatting sqref="AI128 AI144 AI156 AI160 AI164 AI168 AI172 AI148:AI152">
    <cfRule type="cellIs" dxfId="4775" priority="1745" operator="equal">
      <formula>0</formula>
    </cfRule>
  </conditionalFormatting>
  <conditionalFormatting sqref="AI124">
    <cfRule type="cellIs" dxfId="4774" priority="1744" operator="equal">
      <formula>0</formula>
    </cfRule>
  </conditionalFormatting>
  <conditionalFormatting sqref="AI132">
    <cfRule type="cellIs" dxfId="4773" priority="1743" operator="equal">
      <formula>0</formula>
    </cfRule>
  </conditionalFormatting>
  <conditionalFormatting sqref="AI136">
    <cfRule type="cellIs" dxfId="4772" priority="1742" operator="equal">
      <formula>0</formula>
    </cfRule>
  </conditionalFormatting>
  <conditionalFormatting sqref="AI140">
    <cfRule type="cellIs" dxfId="4771" priority="1741" operator="equal">
      <formula>0</formula>
    </cfRule>
  </conditionalFormatting>
  <conditionalFormatting sqref="AJ128 AJ144 AJ156 AJ160 AJ164 AJ168 AJ172 AJ148:AJ152">
    <cfRule type="cellIs" dxfId="4770" priority="1740" operator="equal">
      <formula>0</formula>
    </cfRule>
  </conditionalFormatting>
  <conditionalFormatting sqref="AJ124">
    <cfRule type="cellIs" dxfId="4769" priority="1739" operator="equal">
      <formula>0</formula>
    </cfRule>
  </conditionalFormatting>
  <conditionalFormatting sqref="AJ132">
    <cfRule type="cellIs" dxfId="4768" priority="1738" operator="equal">
      <formula>0</formula>
    </cfRule>
  </conditionalFormatting>
  <conditionalFormatting sqref="AJ136">
    <cfRule type="cellIs" dxfId="4767" priority="1737" operator="equal">
      <formula>0</formula>
    </cfRule>
  </conditionalFormatting>
  <conditionalFormatting sqref="AJ140">
    <cfRule type="cellIs" dxfId="4766" priority="1736" operator="equal">
      <formula>0</formula>
    </cfRule>
  </conditionalFormatting>
  <conditionalFormatting sqref="AK125">
    <cfRule type="cellIs" dxfId="4765" priority="1734" operator="equal">
      <formula>0</formula>
    </cfRule>
    <cfRule type="cellIs" dxfId="4764" priority="1735" operator="notEqual">
      <formula>0</formula>
    </cfRule>
  </conditionalFormatting>
  <conditionalFormatting sqref="AK141 AK145 AK153 AK157 AK161 AK165 AK169">
    <cfRule type="cellIs" dxfId="4763" priority="1733" operator="greaterThan">
      <formula>0</formula>
    </cfRule>
  </conditionalFormatting>
  <conditionalFormatting sqref="AK128 AK144 AK156 AK160 AK164 AK168 AK172 AK148:AK152">
    <cfRule type="cellIs" dxfId="4762" priority="1732" operator="equal">
      <formula>0</formula>
    </cfRule>
  </conditionalFormatting>
  <conditionalFormatting sqref="AK121">
    <cfRule type="cellIs" dxfId="4761" priority="1730" operator="equal">
      <formula>0</formula>
    </cfRule>
    <cfRule type="cellIs" dxfId="4760" priority="1731" operator="notEqual">
      <formula>0</formula>
    </cfRule>
  </conditionalFormatting>
  <conditionalFormatting sqref="AK124">
    <cfRule type="cellIs" dxfId="4759" priority="1729" operator="equal">
      <formula>0</formula>
    </cfRule>
  </conditionalFormatting>
  <conditionalFormatting sqref="AK129">
    <cfRule type="cellIs" dxfId="4758" priority="1727" operator="equal">
      <formula>0</formula>
    </cfRule>
    <cfRule type="cellIs" dxfId="4757" priority="1728" operator="notEqual">
      <formula>0</formula>
    </cfRule>
  </conditionalFormatting>
  <conditionalFormatting sqref="AK132">
    <cfRule type="cellIs" dxfId="4756" priority="1726" operator="equal">
      <formula>0</formula>
    </cfRule>
  </conditionalFormatting>
  <conditionalFormatting sqref="AK133">
    <cfRule type="cellIs" dxfId="4755" priority="1724" operator="equal">
      <formula>0</formula>
    </cfRule>
    <cfRule type="cellIs" dxfId="4754" priority="1725" operator="notEqual">
      <formula>0</formula>
    </cfRule>
  </conditionalFormatting>
  <conditionalFormatting sqref="AK136">
    <cfRule type="cellIs" dxfId="4753" priority="1723" operator="equal">
      <formula>0</formula>
    </cfRule>
  </conditionalFormatting>
  <conditionalFormatting sqref="AK137">
    <cfRule type="cellIs" dxfId="4752" priority="1721" operator="equal">
      <formula>0</formula>
    </cfRule>
    <cfRule type="cellIs" dxfId="4751" priority="1722" operator="notEqual">
      <formula>0</formula>
    </cfRule>
  </conditionalFormatting>
  <conditionalFormatting sqref="AK140">
    <cfRule type="cellIs" dxfId="4750" priority="1720" operator="equal">
      <formula>0</formula>
    </cfRule>
  </conditionalFormatting>
  <conditionalFormatting sqref="AL125">
    <cfRule type="cellIs" dxfId="4749" priority="1718" operator="equal">
      <formula>0</formula>
    </cfRule>
    <cfRule type="cellIs" dxfId="4748" priority="1719" operator="notEqual">
      <formula>0</formula>
    </cfRule>
  </conditionalFormatting>
  <conditionalFormatting sqref="AL141 AL145 AL153 AL157 AL161 AL165 AL169">
    <cfRule type="cellIs" dxfId="4747" priority="1717" operator="greaterThan">
      <formula>0</formula>
    </cfRule>
  </conditionalFormatting>
  <conditionalFormatting sqref="AL128 AL144 AL156 AL160 AL164 AL168 AL172 AL148:AL152">
    <cfRule type="cellIs" dxfId="4746" priority="1716" operator="equal">
      <formula>0</formula>
    </cfRule>
  </conditionalFormatting>
  <conditionalFormatting sqref="AL121">
    <cfRule type="cellIs" dxfId="4745" priority="1714" operator="equal">
      <formula>0</formula>
    </cfRule>
    <cfRule type="cellIs" dxfId="4744" priority="1715" operator="notEqual">
      <formula>0</formula>
    </cfRule>
  </conditionalFormatting>
  <conditionalFormatting sqref="AL124">
    <cfRule type="cellIs" dxfId="4743" priority="1713" operator="equal">
      <formula>0</formula>
    </cfRule>
  </conditionalFormatting>
  <conditionalFormatting sqref="AL129">
    <cfRule type="cellIs" dxfId="4742" priority="1711" operator="equal">
      <formula>0</formula>
    </cfRule>
    <cfRule type="cellIs" dxfId="4741" priority="1712" operator="notEqual">
      <formula>0</formula>
    </cfRule>
  </conditionalFormatting>
  <conditionalFormatting sqref="AL132">
    <cfRule type="cellIs" dxfId="4740" priority="1710" operator="equal">
      <formula>0</formula>
    </cfRule>
  </conditionalFormatting>
  <conditionalFormatting sqref="AL133">
    <cfRule type="cellIs" dxfId="4739" priority="1708" operator="equal">
      <formula>0</formula>
    </cfRule>
    <cfRule type="cellIs" dxfId="4738" priority="1709" operator="notEqual">
      <formula>0</formula>
    </cfRule>
  </conditionalFormatting>
  <conditionalFormatting sqref="AL136">
    <cfRule type="cellIs" dxfId="4737" priority="1707" operator="equal">
      <formula>0</formula>
    </cfRule>
  </conditionalFormatting>
  <conditionalFormatting sqref="AL137">
    <cfRule type="cellIs" dxfId="4736" priority="1705" operator="equal">
      <formula>0</formula>
    </cfRule>
    <cfRule type="cellIs" dxfId="4735" priority="1706" operator="notEqual">
      <formula>0</formula>
    </cfRule>
  </conditionalFormatting>
  <conditionalFormatting sqref="AL140">
    <cfRule type="cellIs" dxfId="4734" priority="1704" operator="equal">
      <formula>0</formula>
    </cfRule>
  </conditionalFormatting>
  <conditionalFormatting sqref="AM125">
    <cfRule type="cellIs" dxfId="4733" priority="1702" operator="equal">
      <formula>0</formula>
    </cfRule>
    <cfRule type="cellIs" dxfId="4732" priority="1703" operator="notEqual">
      <formula>0</formula>
    </cfRule>
  </conditionalFormatting>
  <conditionalFormatting sqref="AM141 AM145 AM153 AM157 AM161 AM165 AM169">
    <cfRule type="cellIs" dxfId="4731" priority="1701" operator="greaterThan">
      <formula>0</formula>
    </cfRule>
  </conditionalFormatting>
  <conditionalFormatting sqref="AM128 AM144 AM156 AM160 AM164 AM168 AM172 AM148:AM152">
    <cfRule type="cellIs" dxfId="4730" priority="1700" operator="equal">
      <formula>0</formula>
    </cfRule>
  </conditionalFormatting>
  <conditionalFormatting sqref="AM121">
    <cfRule type="cellIs" dxfId="4729" priority="1698" operator="equal">
      <formula>0</formula>
    </cfRule>
    <cfRule type="cellIs" dxfId="4728" priority="1699" operator="notEqual">
      <formula>0</formula>
    </cfRule>
  </conditionalFormatting>
  <conditionalFormatting sqref="AM124">
    <cfRule type="cellIs" dxfId="4727" priority="1697" operator="equal">
      <formula>0</formula>
    </cfRule>
  </conditionalFormatting>
  <conditionalFormatting sqref="AM129">
    <cfRule type="cellIs" dxfId="4726" priority="1695" operator="equal">
      <formula>0</formula>
    </cfRule>
    <cfRule type="cellIs" dxfId="4725" priority="1696" operator="notEqual">
      <formula>0</formula>
    </cfRule>
  </conditionalFormatting>
  <conditionalFormatting sqref="AM132">
    <cfRule type="cellIs" dxfId="4724" priority="1694" operator="equal">
      <formula>0</formula>
    </cfRule>
  </conditionalFormatting>
  <conditionalFormatting sqref="AM133">
    <cfRule type="cellIs" dxfId="4723" priority="1692" operator="equal">
      <formula>0</formula>
    </cfRule>
    <cfRule type="cellIs" dxfId="4722" priority="1693" operator="notEqual">
      <formula>0</formula>
    </cfRule>
  </conditionalFormatting>
  <conditionalFormatting sqref="AM136">
    <cfRule type="cellIs" dxfId="4721" priority="1691" operator="equal">
      <formula>0</formula>
    </cfRule>
  </conditionalFormatting>
  <conditionalFormatting sqref="AM137">
    <cfRule type="cellIs" dxfId="4720" priority="1689" operator="equal">
      <formula>0</formula>
    </cfRule>
    <cfRule type="cellIs" dxfId="4719" priority="1690" operator="notEqual">
      <formula>0</formula>
    </cfRule>
  </conditionalFormatting>
  <conditionalFormatting sqref="AM140">
    <cfRule type="cellIs" dxfId="4718" priority="1688" operator="equal">
      <formula>0</formula>
    </cfRule>
  </conditionalFormatting>
  <conditionalFormatting sqref="AN125">
    <cfRule type="cellIs" dxfId="4717" priority="1686" operator="equal">
      <formula>0</formula>
    </cfRule>
    <cfRule type="cellIs" dxfId="4716" priority="1687" operator="notEqual">
      <formula>0</formula>
    </cfRule>
  </conditionalFormatting>
  <conditionalFormatting sqref="AN141 AN145 AN153 AN157 AN161 AN165 AN169">
    <cfRule type="cellIs" dxfId="4715" priority="1685" operator="greaterThan">
      <formula>0</formula>
    </cfRule>
  </conditionalFormatting>
  <conditionalFormatting sqref="AN128 AN144 AN156 AN160 AN164 AN168 AN172 AN148:AN152">
    <cfRule type="cellIs" dxfId="4714" priority="1684" operator="equal">
      <formula>0</formula>
    </cfRule>
  </conditionalFormatting>
  <conditionalFormatting sqref="AN121">
    <cfRule type="cellIs" dxfId="4713" priority="1682" operator="equal">
      <formula>0</formula>
    </cfRule>
    <cfRule type="cellIs" dxfId="4712" priority="1683" operator="notEqual">
      <formula>0</formula>
    </cfRule>
  </conditionalFormatting>
  <conditionalFormatting sqref="AN124">
    <cfRule type="cellIs" dxfId="4711" priority="1681" operator="equal">
      <formula>0</formula>
    </cfRule>
  </conditionalFormatting>
  <conditionalFormatting sqref="AN129">
    <cfRule type="cellIs" dxfId="4710" priority="1679" operator="equal">
      <formula>0</formula>
    </cfRule>
    <cfRule type="cellIs" dxfId="4709" priority="1680" operator="notEqual">
      <formula>0</formula>
    </cfRule>
  </conditionalFormatting>
  <conditionalFormatting sqref="AN132">
    <cfRule type="cellIs" dxfId="4708" priority="1678" operator="equal">
      <formula>0</formula>
    </cfRule>
  </conditionalFormatting>
  <conditionalFormatting sqref="AN133">
    <cfRule type="cellIs" dxfId="4707" priority="1676" operator="equal">
      <formula>0</formula>
    </cfRule>
    <cfRule type="cellIs" dxfId="4706" priority="1677" operator="notEqual">
      <formula>0</formula>
    </cfRule>
  </conditionalFormatting>
  <conditionalFormatting sqref="AN136">
    <cfRule type="cellIs" dxfId="4705" priority="1675" operator="equal">
      <formula>0</formula>
    </cfRule>
  </conditionalFormatting>
  <conditionalFormatting sqref="AN137">
    <cfRule type="cellIs" dxfId="4704" priority="1673" operator="equal">
      <formula>0</formula>
    </cfRule>
    <cfRule type="cellIs" dxfId="4703" priority="1674" operator="notEqual">
      <formula>0</formula>
    </cfRule>
  </conditionalFormatting>
  <conditionalFormatting sqref="AN140">
    <cfRule type="cellIs" dxfId="4702" priority="1672" operator="equal">
      <formula>0</formula>
    </cfRule>
  </conditionalFormatting>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topLeftCell="A37" zoomScale="85" zoomScaleNormal="85" workbookViewId="0">
      <selection activeCell="B4" sqref="B4"/>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421" t="s">
        <v>1259</v>
      </c>
      <c r="B1" s="421"/>
      <c r="C1" s="421"/>
      <c r="D1" s="421"/>
      <c r="E1" s="421"/>
      <c r="F1" s="421"/>
      <c r="G1" s="421"/>
      <c r="H1" s="421"/>
      <c r="I1" s="421"/>
      <c r="J1" s="421"/>
      <c r="K1" s="421"/>
      <c r="L1" s="421"/>
      <c r="M1" s="421"/>
      <c r="N1" s="421"/>
      <c r="O1" s="421"/>
      <c r="P1" s="421"/>
      <c r="Q1" s="421"/>
      <c r="R1" s="421"/>
      <c r="S1" s="421"/>
      <c r="T1" s="421"/>
      <c r="U1" s="421"/>
      <c r="V1" s="421"/>
      <c r="W1" s="421"/>
      <c r="X1" s="421"/>
      <c r="Y1" s="421"/>
      <c r="Z1" s="421"/>
      <c r="AA1" s="421"/>
      <c r="AB1" s="422"/>
      <c r="AC1" s="422"/>
      <c r="AD1" s="422"/>
      <c r="AE1" s="422"/>
      <c r="AF1" s="422"/>
      <c r="AG1" s="422"/>
      <c r="AH1" s="422"/>
      <c r="AI1" s="422"/>
      <c r="AJ1" s="422"/>
      <c r="AK1" s="422"/>
      <c r="AL1" s="422"/>
      <c r="AM1" s="422"/>
      <c r="AN1" s="268"/>
    </row>
    <row r="2" spans="1:40" ht="42.75" customHeight="1" x14ac:dyDescent="0.15">
      <c r="A2" s="435"/>
      <c r="B2" s="435"/>
      <c r="C2" s="435"/>
      <c r="D2" s="435"/>
      <c r="E2" s="435"/>
      <c r="F2" s="435"/>
      <c r="G2" s="435"/>
      <c r="H2" s="435"/>
      <c r="I2" s="435"/>
      <c r="J2" s="435"/>
      <c r="K2" s="435"/>
      <c r="L2" s="435"/>
      <c r="M2" s="435"/>
      <c r="N2" s="435"/>
      <c r="O2" s="435"/>
      <c r="P2" s="435"/>
      <c r="Q2" s="435"/>
      <c r="R2" s="435"/>
      <c r="S2" s="435"/>
      <c r="T2" s="435"/>
      <c r="U2" s="435"/>
      <c r="V2" s="435"/>
      <c r="W2" s="435"/>
      <c r="X2" s="435"/>
      <c r="Y2" s="435"/>
      <c r="Z2" s="435"/>
      <c r="AA2" s="435"/>
      <c r="AB2" s="435"/>
      <c r="AC2" s="435"/>
      <c r="AD2" s="435"/>
      <c r="AE2" s="435"/>
      <c r="AF2" s="435"/>
      <c r="AG2" s="435"/>
      <c r="AH2" s="435"/>
      <c r="AI2" s="435"/>
      <c r="AJ2" s="435"/>
      <c r="AK2" s="435"/>
      <c r="AL2" s="435"/>
      <c r="AM2" s="435"/>
      <c r="AN2" s="435"/>
    </row>
    <row r="3" spans="1:40" s="51" customFormat="1" ht="39.75" customHeight="1" x14ac:dyDescent="0.15">
      <c r="A3" s="65"/>
      <c r="B3" s="65"/>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row>
    <row r="4" spans="1:40" ht="24.75" customHeight="1" x14ac:dyDescent="0.2">
      <c r="C4" s="453" t="s">
        <v>1260</v>
      </c>
      <c r="D4" s="454"/>
      <c r="E4" s="454"/>
      <c r="F4" s="454"/>
      <c r="G4" s="454"/>
      <c r="H4" s="454"/>
      <c r="I4" s="454"/>
      <c r="J4" s="454"/>
      <c r="K4" s="454"/>
      <c r="L4" s="454"/>
      <c r="M4" s="454"/>
      <c r="N4" s="454"/>
      <c r="O4" s="454"/>
      <c r="P4" s="454"/>
      <c r="Q4" s="454"/>
      <c r="R4" s="454"/>
      <c r="S4" s="458"/>
      <c r="T4" s="1"/>
      <c r="U4" s="1"/>
      <c r="V4" s="453" t="s">
        <v>1261</v>
      </c>
      <c r="W4" s="454"/>
      <c r="X4" s="454"/>
      <c r="Y4" s="454"/>
      <c r="Z4" s="454"/>
      <c r="AA4" s="454"/>
      <c r="AB4" s="454"/>
      <c r="AC4" s="454"/>
      <c r="AD4" s="454"/>
      <c r="AE4" s="454"/>
      <c r="AF4" s="454"/>
      <c r="AG4" s="454"/>
      <c r="AH4" s="454"/>
      <c r="AI4" s="454"/>
      <c r="AJ4" s="454"/>
      <c r="AK4" s="454"/>
    </row>
    <row r="5" spans="1:40" x14ac:dyDescent="0.15">
      <c r="B5" s="147"/>
      <c r="C5" s="40" t="s">
        <v>1022</v>
      </c>
      <c r="D5" s="40" t="s">
        <v>1023</v>
      </c>
      <c r="E5" s="40" t="s">
        <v>1024</v>
      </c>
      <c r="F5" s="40" t="s">
        <v>1025</v>
      </c>
      <c r="G5" s="40" t="s">
        <v>1026</v>
      </c>
      <c r="H5" s="40" t="s">
        <v>1027</v>
      </c>
      <c r="I5" s="40" t="s">
        <v>1028</v>
      </c>
      <c r="J5" s="40" t="s">
        <v>1029</v>
      </c>
      <c r="K5" s="40" t="s">
        <v>1030</v>
      </c>
      <c r="L5" s="40" t="s">
        <v>1031</v>
      </c>
      <c r="M5" s="40" t="s">
        <v>1032</v>
      </c>
      <c r="N5" s="40" t="s">
        <v>1033</v>
      </c>
      <c r="O5" s="40" t="s">
        <v>1034</v>
      </c>
      <c r="P5" s="40" t="s">
        <v>1035</v>
      </c>
      <c r="Q5" s="40" t="s">
        <v>1036</v>
      </c>
      <c r="R5" s="40" t="s">
        <v>1037</v>
      </c>
      <c r="S5" s="41" t="s">
        <v>1039</v>
      </c>
      <c r="T5" s="95"/>
      <c r="U5" s="239"/>
      <c r="V5" s="40" t="s">
        <v>1022</v>
      </c>
      <c r="W5" s="40" t="s">
        <v>1023</v>
      </c>
      <c r="X5" s="40" t="s">
        <v>1024</v>
      </c>
      <c r="Y5" s="40" t="s">
        <v>1025</v>
      </c>
      <c r="Z5" s="40" t="s">
        <v>1026</v>
      </c>
      <c r="AA5" s="40" t="s">
        <v>1027</v>
      </c>
      <c r="AB5" s="40" t="s">
        <v>1028</v>
      </c>
      <c r="AC5" s="40" t="s">
        <v>1029</v>
      </c>
      <c r="AD5" s="40" t="s">
        <v>1030</v>
      </c>
      <c r="AE5" s="40" t="s">
        <v>1031</v>
      </c>
      <c r="AF5" s="40" t="s">
        <v>1032</v>
      </c>
      <c r="AG5" s="40" t="s">
        <v>1033</v>
      </c>
      <c r="AH5" s="40" t="s">
        <v>1034</v>
      </c>
      <c r="AI5" s="40" t="s">
        <v>1035</v>
      </c>
      <c r="AJ5" s="40" t="s">
        <v>1036</v>
      </c>
      <c r="AK5" s="40" t="s">
        <v>1037</v>
      </c>
    </row>
    <row r="6" spans="1:40" x14ac:dyDescent="0.15">
      <c r="B6" s="149" t="s">
        <v>23</v>
      </c>
      <c r="C6" s="79">
        <f>SUMIF('caseload data'!$A:$A,"East Midlands Region",'caseload data'!E:E)</f>
        <v>0</v>
      </c>
      <c r="D6" s="79">
        <f>SUMIF('caseload data'!$A:$A,"East Midlands Region",'caseload data'!F:F)</f>
        <v>0</v>
      </c>
      <c r="E6" s="79">
        <f>SUMIF('caseload data'!$A:$A,"East Midlands Region",'caseload data'!G:G)</f>
        <v>0</v>
      </c>
      <c r="F6" s="79">
        <f>SUMIF('caseload data'!$A:$A,"East Midlands Region",'caseload data'!H:H)</f>
        <v>0</v>
      </c>
      <c r="G6" s="79">
        <f>SUMIF('caseload data'!$A:$A,"East Midlands Region",'caseload data'!I:I)</f>
        <v>0</v>
      </c>
      <c r="H6" s="79">
        <f>SUMIF('caseload data'!$A:$A,"East Midlands Region",'caseload data'!J:J)</f>
        <v>0</v>
      </c>
      <c r="I6" s="79">
        <f>SUMIF('caseload data'!$A:$A,"East Midlands Region",'caseload data'!K:K)</f>
        <v>0</v>
      </c>
      <c r="J6" s="79">
        <f>SUMIF('caseload data'!$A:$A,"East Midlands Region",'caseload data'!L:L)</f>
        <v>0</v>
      </c>
      <c r="K6" s="79">
        <f>SUMIF('caseload data'!$A:$A,"East Midlands Region",'caseload data'!M:M)</f>
        <v>0</v>
      </c>
      <c r="L6" s="79">
        <f>SUMIF('caseload data'!$A:$A,"East Midlands Region",'caseload data'!N:N)</f>
        <v>0</v>
      </c>
      <c r="M6" s="79">
        <f>SUMIF('caseload data'!$A:$A,"East Midlands Region",'caseload data'!O:O)</f>
        <v>0</v>
      </c>
      <c r="N6" s="79">
        <f>SUMIF('caseload data'!$A:$A,"East Midlands Region",'caseload data'!P:P)</f>
        <v>0</v>
      </c>
      <c r="O6" s="79">
        <f>SUMIF('caseload data'!$A:$A,"East Midlands Region",'caseload data'!Q:Q)</f>
        <v>0</v>
      </c>
      <c r="P6" s="79">
        <f>SUMIF('caseload data'!$A:$A,"East Midlands Region",'caseload data'!R:R)</f>
        <v>0</v>
      </c>
      <c r="Q6" s="79">
        <f>SUMIF('caseload data'!$A:$A,"East Midlands Region",'caseload data'!S:S)</f>
        <v>0</v>
      </c>
      <c r="R6" s="79">
        <f>SUMIF('caseload data'!$A:$A,"East Midlands Region",'caseload data'!T:T)</f>
        <v>0</v>
      </c>
      <c r="S6" s="79">
        <f>SUMIF('caseload data'!A:A,"East Midlands Region",'caseload data'!V:V)</f>
        <v>0</v>
      </c>
      <c r="T6" s="95"/>
      <c r="U6" s="149" t="s">
        <v>23</v>
      </c>
      <c r="V6" s="70" t="e">
        <f>C6/$S$6</f>
        <v>#DIV/0!</v>
      </c>
      <c r="W6" s="70" t="e">
        <f t="shared" ref="W6:AK6" si="0">D6/$S$6</f>
        <v>#DIV/0!</v>
      </c>
      <c r="X6" s="70" t="e">
        <f t="shared" si="0"/>
        <v>#DIV/0!</v>
      </c>
      <c r="Y6" s="70" t="e">
        <f t="shared" si="0"/>
        <v>#DIV/0!</v>
      </c>
      <c r="Z6" s="70" t="e">
        <f t="shared" si="0"/>
        <v>#DIV/0!</v>
      </c>
      <c r="AA6" s="70" t="e">
        <f t="shared" si="0"/>
        <v>#DIV/0!</v>
      </c>
      <c r="AB6" s="70" t="e">
        <f t="shared" si="0"/>
        <v>#DIV/0!</v>
      </c>
      <c r="AC6" s="70" t="e">
        <f t="shared" si="0"/>
        <v>#DIV/0!</v>
      </c>
      <c r="AD6" s="70" t="e">
        <f t="shared" si="0"/>
        <v>#DIV/0!</v>
      </c>
      <c r="AE6" s="70" t="e">
        <f t="shared" si="0"/>
        <v>#DIV/0!</v>
      </c>
      <c r="AF6" s="70" t="e">
        <f t="shared" si="0"/>
        <v>#DIV/0!</v>
      </c>
      <c r="AG6" s="70" t="e">
        <f t="shared" si="0"/>
        <v>#DIV/0!</v>
      </c>
      <c r="AH6" s="70" t="e">
        <f t="shared" si="0"/>
        <v>#DIV/0!</v>
      </c>
      <c r="AI6" s="70" t="e">
        <f t="shared" si="0"/>
        <v>#DIV/0!</v>
      </c>
      <c r="AJ6" s="70" t="e">
        <f t="shared" si="0"/>
        <v>#DIV/0!</v>
      </c>
      <c r="AK6" s="70" t="e">
        <f t="shared" si="0"/>
        <v>#DIV/0!</v>
      </c>
    </row>
    <row r="7" spans="1:40" x14ac:dyDescent="0.15">
      <c r="B7" s="149" t="s">
        <v>24</v>
      </c>
      <c r="C7" s="79">
        <f>SUMIF('caseload data'!$A:$A,"East of England",'caseload data'!E:E)</f>
        <v>0</v>
      </c>
      <c r="D7" s="79">
        <f>SUMIF('caseload data'!$A:$A,"East of England",'caseload data'!F:F)</f>
        <v>0</v>
      </c>
      <c r="E7" s="79">
        <f>SUMIF('caseload data'!$A:$A,"East of England",'caseload data'!G:G)</f>
        <v>0</v>
      </c>
      <c r="F7" s="79">
        <f>SUMIF('caseload data'!$A:$A,"East of England",'caseload data'!H:H)</f>
        <v>0</v>
      </c>
      <c r="G7" s="79">
        <f>SUMIF('caseload data'!$A:$A,"East of England",'caseload data'!I:I)</f>
        <v>0</v>
      </c>
      <c r="H7" s="79">
        <f>SUMIF('caseload data'!$A:$A,"East of England",'caseload data'!J:J)</f>
        <v>0</v>
      </c>
      <c r="I7" s="79">
        <f>SUMIF('caseload data'!$A:$A,"East of England",'caseload data'!K:K)</f>
        <v>0</v>
      </c>
      <c r="J7" s="79">
        <f>SUMIF('caseload data'!$A:$A,"East of England",'caseload data'!L:L)</f>
        <v>0</v>
      </c>
      <c r="K7" s="79">
        <f>SUMIF('caseload data'!$A:$A,"East of England",'caseload data'!M:M)</f>
        <v>0</v>
      </c>
      <c r="L7" s="79">
        <f>SUMIF('caseload data'!$A:$A,"East of England",'caseload data'!N:N)</f>
        <v>0</v>
      </c>
      <c r="M7" s="79">
        <f>SUMIF('caseload data'!$A:$A,"East of England",'caseload data'!O:O)</f>
        <v>0</v>
      </c>
      <c r="N7" s="79">
        <f>SUMIF('caseload data'!$A:$A,"East of England",'caseload data'!P:P)</f>
        <v>0</v>
      </c>
      <c r="O7" s="79">
        <f>SUMIF('caseload data'!$A:$A,"East of England",'caseload data'!Q:Q)</f>
        <v>0</v>
      </c>
      <c r="P7" s="79">
        <f>SUMIF('caseload data'!$A:$A,"East of England",'caseload data'!R:R)</f>
        <v>0</v>
      </c>
      <c r="Q7" s="79">
        <f>SUMIF('caseload data'!$A:$A,"East of England",'caseload data'!S:S)</f>
        <v>0</v>
      </c>
      <c r="R7" s="79">
        <f>SUMIF('caseload data'!$A:$A,"East of England",'caseload data'!T:T)</f>
        <v>0</v>
      </c>
      <c r="S7" s="79">
        <f>SUMIF('caseload data'!A:A,"East of England",'caseload data'!V:V)</f>
        <v>0</v>
      </c>
      <c r="T7" s="95"/>
      <c r="U7" s="149" t="s">
        <v>24</v>
      </c>
      <c r="V7" s="70" t="e">
        <f>C7/$S$7</f>
        <v>#DIV/0!</v>
      </c>
      <c r="W7" s="70" t="e">
        <f>D7/$S$7</f>
        <v>#DIV/0!</v>
      </c>
      <c r="X7" s="70" t="e">
        <f t="shared" ref="X7:AA7" si="1">E7/$S$7</f>
        <v>#DIV/0!</v>
      </c>
      <c r="Y7" s="70" t="e">
        <f t="shared" si="1"/>
        <v>#DIV/0!</v>
      </c>
      <c r="Z7" s="70" t="e">
        <f t="shared" si="1"/>
        <v>#DIV/0!</v>
      </c>
      <c r="AA7" s="70" t="e">
        <f t="shared" si="1"/>
        <v>#DIV/0!</v>
      </c>
      <c r="AB7" s="70" t="e">
        <f>I7/$S$7</f>
        <v>#DIV/0!</v>
      </c>
      <c r="AC7" s="70" t="e">
        <f t="shared" ref="AC7:AD7" si="2">J7/$S$7</f>
        <v>#DIV/0!</v>
      </c>
      <c r="AD7" s="70" t="e">
        <f t="shared" si="2"/>
        <v>#DIV/0!</v>
      </c>
      <c r="AE7" s="70" t="e">
        <f t="shared" ref="AE7" si="3">L7/$S$7</f>
        <v>#DIV/0!</v>
      </c>
      <c r="AF7" s="70" t="e">
        <f t="shared" ref="AF7" si="4">M7/$S$7</f>
        <v>#DIV/0!</v>
      </c>
      <c r="AG7" s="70" t="e">
        <f t="shared" ref="AG7" si="5">N7/$S$7</f>
        <v>#DIV/0!</v>
      </c>
      <c r="AH7" s="70" t="e">
        <f t="shared" ref="AH7:AK7" si="6">O7/$S$7</f>
        <v>#DIV/0!</v>
      </c>
      <c r="AI7" s="70" t="e">
        <f t="shared" si="6"/>
        <v>#DIV/0!</v>
      </c>
      <c r="AJ7" s="70" t="e">
        <f t="shared" si="6"/>
        <v>#DIV/0!</v>
      </c>
      <c r="AK7" s="70" t="e">
        <f t="shared" si="6"/>
        <v>#DIV/0!</v>
      </c>
    </row>
    <row r="8" spans="1:40" x14ac:dyDescent="0.15">
      <c r="B8" s="149" t="s">
        <v>25</v>
      </c>
      <c r="C8" s="79">
        <f>SUMIF('caseload data'!$A:$A,"Greater Manchester",'caseload data'!E:E)</f>
        <v>0</v>
      </c>
      <c r="D8" s="79">
        <f>SUMIF('caseload data'!$A:$A,"Greater Manchester",'caseload data'!F:F)</f>
        <v>0</v>
      </c>
      <c r="E8" s="79">
        <f>SUMIF('caseload data'!$A:$A,"Greater Manchester",'caseload data'!G:G)</f>
        <v>0</v>
      </c>
      <c r="F8" s="79">
        <f>SUMIF('caseload data'!$A:$A,"Greater Manchester",'caseload data'!H:H)</f>
        <v>0</v>
      </c>
      <c r="G8" s="79">
        <f>SUMIF('caseload data'!$A:$A,"Greater Manchester",'caseload data'!I:I)</f>
        <v>0</v>
      </c>
      <c r="H8" s="79">
        <f>SUMIF('caseload data'!$A:$A,"Greater Manchester",'caseload data'!J:J)</f>
        <v>0</v>
      </c>
      <c r="I8" s="79">
        <f>SUMIF('caseload data'!$A:$A,"Greater Manchester",'caseload data'!K:K)</f>
        <v>0</v>
      </c>
      <c r="J8" s="79">
        <f>SUMIF('caseload data'!$A:$A,"Greater Manchester",'caseload data'!L:L)</f>
        <v>0</v>
      </c>
      <c r="K8" s="79">
        <f>SUMIF('caseload data'!$A:$A,"Greater Manchester",'caseload data'!M:M)</f>
        <v>0</v>
      </c>
      <c r="L8" s="79">
        <f>SUMIF('caseload data'!$A:$A,"Greater Manchester",'caseload data'!N:N)</f>
        <v>0</v>
      </c>
      <c r="M8" s="79">
        <f>SUMIF('caseload data'!$A:$A,"Greater Manchester",'caseload data'!O:O)</f>
        <v>0</v>
      </c>
      <c r="N8" s="79">
        <f>SUMIF('caseload data'!$A:$A,"Greater Manchester",'caseload data'!P:P)</f>
        <v>0</v>
      </c>
      <c r="O8" s="79">
        <f>SUMIF('caseload data'!$A:$A,"Greater Manchester",'caseload data'!Q:Q)</f>
        <v>0</v>
      </c>
      <c r="P8" s="79">
        <f>SUMIF('caseload data'!$A:$A,"Greater Manchester",'caseload data'!R:R)</f>
        <v>0</v>
      </c>
      <c r="Q8" s="79">
        <f>SUMIF('caseload data'!$A:$A,"Greater Manchester",'caseload data'!S:S)</f>
        <v>0</v>
      </c>
      <c r="R8" s="79">
        <f>SUMIF('caseload data'!$A:$A,"Greater Manchester",'caseload data'!T:T)</f>
        <v>0</v>
      </c>
      <c r="S8" s="79">
        <f>SUMIF('caseload data'!A:A,"Greater Manchester",'caseload data'!V:V)</f>
        <v>0</v>
      </c>
      <c r="T8" s="95"/>
      <c r="U8" s="149" t="s">
        <v>25</v>
      </c>
      <c r="V8" s="70" t="e">
        <f>C8/$S$8</f>
        <v>#DIV/0!</v>
      </c>
      <c r="W8" s="70" t="e">
        <f t="shared" ref="W8:AC8" si="7">D8/$S$8</f>
        <v>#DIV/0!</v>
      </c>
      <c r="X8" s="70" t="e">
        <f t="shared" si="7"/>
        <v>#DIV/0!</v>
      </c>
      <c r="Y8" s="70" t="e">
        <f t="shared" si="7"/>
        <v>#DIV/0!</v>
      </c>
      <c r="Z8" s="70" t="e">
        <f t="shared" si="7"/>
        <v>#DIV/0!</v>
      </c>
      <c r="AA8" s="70" t="e">
        <f t="shared" si="7"/>
        <v>#DIV/0!</v>
      </c>
      <c r="AB8" s="70" t="e">
        <f t="shared" si="7"/>
        <v>#DIV/0!</v>
      </c>
      <c r="AC8" s="70" t="e">
        <f t="shared" si="7"/>
        <v>#DIV/0!</v>
      </c>
      <c r="AD8" s="70" t="e">
        <f t="shared" ref="AD8" si="8">K8/$S$8</f>
        <v>#DIV/0!</v>
      </c>
      <c r="AE8" s="70" t="e">
        <f t="shared" ref="AE8" si="9">L8/$S$8</f>
        <v>#DIV/0!</v>
      </c>
      <c r="AF8" s="70" t="e">
        <f t="shared" ref="AF8" si="10">M8/$S$8</f>
        <v>#DIV/0!</v>
      </c>
      <c r="AG8" s="70" t="e">
        <f t="shared" ref="AG8" si="11">N8/$S$8</f>
        <v>#DIV/0!</v>
      </c>
      <c r="AH8" s="70" t="e">
        <f t="shared" ref="AH8" si="12">O8/$S$8</f>
        <v>#DIV/0!</v>
      </c>
      <c r="AI8" s="70" t="e">
        <f t="shared" ref="AI8:AJ8" si="13">P8/$S$8</f>
        <v>#DIV/0!</v>
      </c>
      <c r="AJ8" s="70" t="e">
        <f t="shared" si="13"/>
        <v>#DIV/0!</v>
      </c>
      <c r="AK8" s="70" t="e">
        <f t="shared" ref="AK8" si="14">R8/$S$8</f>
        <v>#DIV/0!</v>
      </c>
    </row>
    <row r="9" spans="1:40" x14ac:dyDescent="0.15">
      <c r="B9" s="149" t="s">
        <v>26</v>
      </c>
      <c r="C9" s="79">
        <f>SUMIF('caseload data'!$A:$A,"Kent Surrey Sussex Region",'caseload data'!E:E)</f>
        <v>0</v>
      </c>
      <c r="D9" s="79">
        <f>SUMIF('caseload data'!$A:$A,"Kent Surrey Sussex Region",'caseload data'!F:F)</f>
        <v>0</v>
      </c>
      <c r="E9" s="79">
        <f>SUMIF('caseload data'!$A:$A,"Kent Surrey Sussex Region",'caseload data'!G:G)</f>
        <v>0</v>
      </c>
      <c r="F9" s="79">
        <f>SUMIF('caseload data'!$A:$A,"Kent Surrey Sussex Region",'caseload data'!H:H)</f>
        <v>0</v>
      </c>
      <c r="G9" s="79">
        <f>SUMIF('caseload data'!$A:$A,"Kent Surrey Sussex Region",'caseload data'!I:I)</f>
        <v>0</v>
      </c>
      <c r="H9" s="79">
        <f>SUMIF('caseload data'!$A:$A,"Kent Surrey Sussex Region",'caseload data'!J:J)</f>
        <v>0</v>
      </c>
      <c r="I9" s="79">
        <f>SUMIF('caseload data'!$A:$A,"Kent Surrey Sussex Region",'caseload data'!K:K)</f>
        <v>0</v>
      </c>
      <c r="J9" s="79">
        <f>SUMIF('caseload data'!$A:$A,"Kent Surrey Sussex Region",'caseload data'!L:L)</f>
        <v>0</v>
      </c>
      <c r="K9" s="79">
        <f>SUMIF('caseload data'!$A:$A,"Kent Surrey Sussex Region",'caseload data'!M:M)</f>
        <v>0</v>
      </c>
      <c r="L9" s="79">
        <f>SUMIF('caseload data'!$A:$A,"Kent Surrey Sussex Region",'caseload data'!N:N)</f>
        <v>0</v>
      </c>
      <c r="M9" s="79">
        <f>SUMIF('caseload data'!$A:$A,"Kent Surrey Sussex Region",'caseload data'!O:O)</f>
        <v>0</v>
      </c>
      <c r="N9" s="79">
        <f>SUMIF('caseload data'!$A:$A,"Kent Surrey Sussex Region",'caseload data'!P:P)</f>
        <v>0</v>
      </c>
      <c r="O9" s="79">
        <f>SUMIF('caseload data'!$A:$A,"Kent Surrey Sussex Region",'caseload data'!Q:Q)</f>
        <v>0</v>
      </c>
      <c r="P9" s="79">
        <f>SUMIF('caseload data'!$A:$A,"Kent Surrey Sussex Region",'caseload data'!R:R)</f>
        <v>0</v>
      </c>
      <c r="Q9" s="79">
        <f>SUMIF('caseload data'!$A:$A,"Kent Surrey Sussex Region",'caseload data'!S:S)</f>
        <v>0</v>
      </c>
      <c r="R9" s="79">
        <f>SUMIF('caseload data'!$A:$A,"Kent Surrey Sussex Region",'caseload data'!T:T)</f>
        <v>0</v>
      </c>
      <c r="S9" s="79">
        <f>SUMIF('caseload data'!A:A,"Kent Surrey Sussex Region",'caseload data'!V:V)</f>
        <v>0</v>
      </c>
      <c r="T9" s="95"/>
      <c r="U9" s="149" t="s">
        <v>26</v>
      </c>
      <c r="V9" s="70" t="e">
        <f>C9/$S$9</f>
        <v>#DIV/0!</v>
      </c>
      <c r="W9" s="70" t="e">
        <f t="shared" ref="W9:AC9" si="15">D9/$S$9</f>
        <v>#DIV/0!</v>
      </c>
      <c r="X9" s="70" t="e">
        <f t="shared" si="15"/>
        <v>#DIV/0!</v>
      </c>
      <c r="Y9" s="70" t="e">
        <f t="shared" si="15"/>
        <v>#DIV/0!</v>
      </c>
      <c r="Z9" s="70" t="e">
        <f t="shared" si="15"/>
        <v>#DIV/0!</v>
      </c>
      <c r="AA9" s="70" t="e">
        <f t="shared" si="15"/>
        <v>#DIV/0!</v>
      </c>
      <c r="AB9" s="70" t="e">
        <f t="shared" si="15"/>
        <v>#DIV/0!</v>
      </c>
      <c r="AC9" s="70" t="e">
        <f t="shared" si="15"/>
        <v>#DIV/0!</v>
      </c>
      <c r="AD9" s="70" t="e">
        <f t="shared" ref="AD9" si="16">K9/$S$9</f>
        <v>#DIV/0!</v>
      </c>
      <c r="AE9" s="70" t="e">
        <f t="shared" ref="AE9" si="17">L9/$S$9</f>
        <v>#DIV/0!</v>
      </c>
      <c r="AF9" s="70" t="e">
        <f t="shared" ref="AF9" si="18">M9/$S$9</f>
        <v>#DIV/0!</v>
      </c>
      <c r="AG9" s="70" t="e">
        <f t="shared" ref="AG9" si="19">N9/$S$9</f>
        <v>#DIV/0!</v>
      </c>
      <c r="AH9" s="70" t="e">
        <f t="shared" ref="AH9" si="20">O9/$S$9</f>
        <v>#DIV/0!</v>
      </c>
      <c r="AI9" s="70" t="e">
        <f t="shared" ref="AI9:AJ9" si="21">P9/$S$9</f>
        <v>#DIV/0!</v>
      </c>
      <c r="AJ9" s="70" t="e">
        <f t="shared" si="21"/>
        <v>#DIV/0!</v>
      </c>
      <c r="AK9" s="70" t="e">
        <f t="shared" ref="AK9" si="22">R9/$S$9</f>
        <v>#DIV/0!</v>
      </c>
    </row>
    <row r="10" spans="1:40" x14ac:dyDescent="0.15">
      <c r="B10" s="149" t="s">
        <v>27</v>
      </c>
      <c r="C10" s="79">
        <f>SUMIF('caseload data'!$A:$A,"London",'caseload data'!E:E)</f>
        <v>0</v>
      </c>
      <c r="D10" s="79">
        <f>SUMIF('caseload data'!$A:$A,"London",'caseload data'!F:F)</f>
        <v>0</v>
      </c>
      <c r="E10" s="79">
        <f>SUMIF('caseload data'!$A:$A,"London",'caseload data'!G:G)</f>
        <v>0</v>
      </c>
      <c r="F10" s="79">
        <f>SUMIF('caseload data'!$A:$A,"London",'caseload data'!H:H)</f>
        <v>0</v>
      </c>
      <c r="G10" s="79">
        <f>SUMIF('caseload data'!$A:$A,"London",'caseload data'!I:I)</f>
        <v>0</v>
      </c>
      <c r="H10" s="79">
        <f>SUMIF('caseload data'!$A:$A,"London",'caseload data'!J:J)</f>
        <v>0</v>
      </c>
      <c r="I10" s="79">
        <f>SUMIF('caseload data'!$A:$A,"London",'caseload data'!K:K)</f>
        <v>0</v>
      </c>
      <c r="J10" s="79">
        <f>SUMIF('caseload data'!$A:$A,"London",'caseload data'!L:L)</f>
        <v>0</v>
      </c>
      <c r="K10" s="79">
        <f>SUMIF('caseload data'!$A:$A,"London",'caseload data'!M:M)</f>
        <v>0</v>
      </c>
      <c r="L10" s="79">
        <f>SUMIF('caseload data'!$A:$A,"London",'caseload data'!N:N)</f>
        <v>0</v>
      </c>
      <c r="M10" s="79">
        <f>SUMIF('caseload data'!$A:$A,"London",'caseload data'!O:O)</f>
        <v>0</v>
      </c>
      <c r="N10" s="79">
        <f>SUMIF('caseload data'!$A:$A,"London",'caseload data'!P:P)</f>
        <v>0</v>
      </c>
      <c r="O10" s="79">
        <f>SUMIF('caseload data'!$A:$A,"London",'caseload data'!Q:Q)</f>
        <v>0</v>
      </c>
      <c r="P10" s="79">
        <f>SUMIF('caseload data'!$A:$A,"London",'caseload data'!R:R)</f>
        <v>0</v>
      </c>
      <c r="Q10" s="79">
        <f>SUMIF('caseload data'!$A:$A,"London",'caseload data'!S:S)</f>
        <v>0</v>
      </c>
      <c r="R10" s="79">
        <f>SUMIF('caseload data'!$A:$A,"London",'caseload data'!T:T)</f>
        <v>0</v>
      </c>
      <c r="S10" s="79">
        <f>SUMIF('caseload data'!A:A,"London",'caseload data'!V:V)</f>
        <v>0</v>
      </c>
      <c r="T10" s="95"/>
      <c r="U10" s="149" t="s">
        <v>27</v>
      </c>
      <c r="V10" s="70" t="e">
        <f>C10/$S$10</f>
        <v>#DIV/0!</v>
      </c>
      <c r="W10" s="70" t="e">
        <f t="shared" ref="W10:AC10" si="23">D10/$S$10</f>
        <v>#DIV/0!</v>
      </c>
      <c r="X10" s="70" t="e">
        <f t="shared" si="23"/>
        <v>#DIV/0!</v>
      </c>
      <c r="Y10" s="70" t="e">
        <f t="shared" si="23"/>
        <v>#DIV/0!</v>
      </c>
      <c r="Z10" s="70" t="e">
        <f t="shared" si="23"/>
        <v>#DIV/0!</v>
      </c>
      <c r="AA10" s="70" t="e">
        <f t="shared" si="23"/>
        <v>#DIV/0!</v>
      </c>
      <c r="AB10" s="70" t="e">
        <f t="shared" si="23"/>
        <v>#DIV/0!</v>
      </c>
      <c r="AC10" s="70" t="e">
        <f t="shared" si="23"/>
        <v>#DIV/0!</v>
      </c>
      <c r="AD10" s="70" t="e">
        <f t="shared" ref="AD10" si="24">K10/$S$10</f>
        <v>#DIV/0!</v>
      </c>
      <c r="AE10" s="70" t="e">
        <f t="shared" ref="AE10" si="25">L10/$S$10</f>
        <v>#DIV/0!</v>
      </c>
      <c r="AF10" s="70" t="e">
        <f t="shared" ref="AF10" si="26">M10/$S$10</f>
        <v>#DIV/0!</v>
      </c>
      <c r="AG10" s="70" t="e">
        <f t="shared" ref="AG10" si="27">N10/$S$10</f>
        <v>#DIV/0!</v>
      </c>
      <c r="AH10" s="70" t="e">
        <f t="shared" ref="AH10" si="28">O10/$S$10</f>
        <v>#DIV/0!</v>
      </c>
      <c r="AI10" s="70" t="e">
        <f t="shared" ref="AI10:AJ10" si="29">P10/$S$10</f>
        <v>#DIV/0!</v>
      </c>
      <c r="AJ10" s="70" t="e">
        <f t="shared" si="29"/>
        <v>#DIV/0!</v>
      </c>
      <c r="AK10" s="70" t="e">
        <f t="shared" ref="AK10" si="30">R10/$S$10</f>
        <v>#DIV/0!</v>
      </c>
    </row>
    <row r="11" spans="1:40" x14ac:dyDescent="0.15">
      <c r="B11" s="149" t="s">
        <v>28</v>
      </c>
      <c r="C11" s="79">
        <f>SUMIF('caseload data'!$A:$A,"North East Region",'caseload data'!E:E)</f>
        <v>0</v>
      </c>
      <c r="D11" s="79">
        <f>SUMIF('caseload data'!$A:$A,"North East Region",'caseload data'!F:F)</f>
        <v>0</v>
      </c>
      <c r="E11" s="79">
        <f>SUMIF('caseload data'!$A:$A,"North East Region",'caseload data'!G:G)</f>
        <v>0</v>
      </c>
      <c r="F11" s="79">
        <f>SUMIF('caseload data'!$A:$A,"North East Region",'caseload data'!H:H)</f>
        <v>0</v>
      </c>
      <c r="G11" s="79">
        <f>SUMIF('caseload data'!$A:$A,"North East Region",'caseload data'!I:I)</f>
        <v>0</v>
      </c>
      <c r="H11" s="79">
        <f>SUMIF('caseload data'!$A:$A,"North East Region",'caseload data'!J:J)</f>
        <v>0</v>
      </c>
      <c r="I11" s="79">
        <f>SUMIF('caseload data'!$A:$A,"North East Region",'caseload data'!K:K)</f>
        <v>0</v>
      </c>
      <c r="J11" s="79">
        <f>SUMIF('caseload data'!$A:$A,"North East Region",'caseload data'!L:L)</f>
        <v>0</v>
      </c>
      <c r="K11" s="79">
        <f>SUMIF('caseload data'!$A:$A,"North East Region",'caseload data'!M:M)</f>
        <v>0</v>
      </c>
      <c r="L11" s="79">
        <f>SUMIF('caseload data'!$A:$A,"North East Region",'caseload data'!N:N)</f>
        <v>0</v>
      </c>
      <c r="M11" s="79">
        <f>SUMIF('caseload data'!$A:$A,"North East Region",'caseload data'!O:O)</f>
        <v>0</v>
      </c>
      <c r="N11" s="79">
        <f>SUMIF('caseload data'!$A:$A,"North East Region",'caseload data'!P:P)</f>
        <v>0</v>
      </c>
      <c r="O11" s="79">
        <f>SUMIF('caseload data'!$A:$A,"North East Region",'caseload data'!Q:Q)</f>
        <v>0</v>
      </c>
      <c r="P11" s="79">
        <f>SUMIF('caseload data'!$A:$A,"North East Region",'caseload data'!R:R)</f>
        <v>0</v>
      </c>
      <c r="Q11" s="79">
        <f>SUMIF('caseload data'!$A:$A,"North East Region",'caseload data'!S:S)</f>
        <v>0</v>
      </c>
      <c r="R11" s="79">
        <f>SUMIF('caseload data'!$A:$A,"North East Region",'caseload data'!T:T)</f>
        <v>0</v>
      </c>
      <c r="S11" s="79">
        <f>SUMIF('caseload data'!A:A,"North East Region",'caseload data'!V:V)</f>
        <v>0</v>
      </c>
      <c r="T11" s="95"/>
      <c r="U11" s="149" t="s">
        <v>28</v>
      </c>
      <c r="V11" s="70" t="e">
        <f>C11/$S$11</f>
        <v>#DIV/0!</v>
      </c>
      <c r="W11" s="70" t="e">
        <f t="shared" ref="W11:AC11" si="31">D11/$S$11</f>
        <v>#DIV/0!</v>
      </c>
      <c r="X11" s="70" t="e">
        <f t="shared" si="31"/>
        <v>#DIV/0!</v>
      </c>
      <c r="Y11" s="70" t="e">
        <f t="shared" si="31"/>
        <v>#DIV/0!</v>
      </c>
      <c r="Z11" s="70" t="e">
        <f t="shared" si="31"/>
        <v>#DIV/0!</v>
      </c>
      <c r="AA11" s="70" t="e">
        <f t="shared" si="31"/>
        <v>#DIV/0!</v>
      </c>
      <c r="AB11" s="70" t="e">
        <f t="shared" si="31"/>
        <v>#DIV/0!</v>
      </c>
      <c r="AC11" s="70" t="e">
        <f t="shared" si="31"/>
        <v>#DIV/0!</v>
      </c>
      <c r="AD11" s="70" t="e">
        <f t="shared" ref="AD11" si="32">K11/$S$11</f>
        <v>#DIV/0!</v>
      </c>
      <c r="AE11" s="70" t="e">
        <f t="shared" ref="AE11" si="33">L11/$S$11</f>
        <v>#DIV/0!</v>
      </c>
      <c r="AF11" s="70" t="e">
        <f t="shared" ref="AF11" si="34">M11/$S$11</f>
        <v>#DIV/0!</v>
      </c>
      <c r="AG11" s="70" t="e">
        <f t="shared" ref="AG11" si="35">N11/$S$11</f>
        <v>#DIV/0!</v>
      </c>
      <c r="AH11" s="70" t="e">
        <f t="shared" ref="AH11" si="36">O11/$S$11</f>
        <v>#DIV/0!</v>
      </c>
      <c r="AI11" s="70" t="e">
        <f t="shared" ref="AI11:AJ11" si="37">P11/$S$11</f>
        <v>#DIV/0!</v>
      </c>
      <c r="AJ11" s="70" t="e">
        <f t="shared" si="37"/>
        <v>#DIV/0!</v>
      </c>
      <c r="AK11" s="70" t="e">
        <f t="shared" ref="AK11" si="38">R11/$S$11</f>
        <v>#DIV/0!</v>
      </c>
    </row>
    <row r="12" spans="1:40" x14ac:dyDescent="0.15">
      <c r="B12" s="149" t="s">
        <v>29</v>
      </c>
      <c r="C12" s="79">
        <f>SUMIF('caseload data'!$A:$A,"North West Region",'caseload data'!E:E)</f>
        <v>0</v>
      </c>
      <c r="D12" s="79">
        <f>SUMIF('caseload data'!$A:$A,"North West Region",'caseload data'!F:F)</f>
        <v>0</v>
      </c>
      <c r="E12" s="79">
        <f>SUMIF('caseload data'!$A:$A,"North West Region",'caseload data'!G:G)</f>
        <v>0</v>
      </c>
      <c r="F12" s="79">
        <f>SUMIF('caseload data'!$A:$A,"North West Region",'caseload data'!H:H)</f>
        <v>0</v>
      </c>
      <c r="G12" s="79">
        <f>SUMIF('caseload data'!$A:$A,"North West Region",'caseload data'!I:I)</f>
        <v>0</v>
      </c>
      <c r="H12" s="79">
        <f>SUMIF('caseload data'!$A:$A,"North West Region",'caseload data'!J:J)</f>
        <v>0</v>
      </c>
      <c r="I12" s="79">
        <f>SUMIF('caseload data'!$A:$A,"North West Region",'caseload data'!K:K)</f>
        <v>0</v>
      </c>
      <c r="J12" s="79">
        <f>SUMIF('caseload data'!$A:$A,"North West Region",'caseload data'!L:L)</f>
        <v>0</v>
      </c>
      <c r="K12" s="79">
        <f>SUMIF('caseload data'!$A:$A,"North West Region",'caseload data'!M:M)</f>
        <v>0</v>
      </c>
      <c r="L12" s="79">
        <f>SUMIF('caseload data'!$A:$A,"North West Region",'caseload data'!N:N)</f>
        <v>0</v>
      </c>
      <c r="M12" s="79">
        <f>SUMIF('caseload data'!$A:$A,"North West Region",'caseload data'!O:O)</f>
        <v>0</v>
      </c>
      <c r="N12" s="79">
        <f>SUMIF('caseload data'!$A:$A,"North West Region",'caseload data'!P:P)</f>
        <v>0</v>
      </c>
      <c r="O12" s="79">
        <f>SUMIF('caseload data'!$A:$A,"North West Region",'caseload data'!Q:Q)</f>
        <v>0</v>
      </c>
      <c r="P12" s="79">
        <f>SUMIF('caseload data'!$A:$A,"North West Region",'caseload data'!R:R)</f>
        <v>0</v>
      </c>
      <c r="Q12" s="79">
        <f>SUMIF('caseload data'!$A:$A,"North West Region",'caseload data'!S:S)</f>
        <v>0</v>
      </c>
      <c r="R12" s="79">
        <f>SUMIF('caseload data'!$A:$A,"North West Region",'caseload data'!T:T)</f>
        <v>0</v>
      </c>
      <c r="S12" s="79">
        <f>SUMIF('caseload data'!A:A,"North West Region",'caseload data'!V:V)</f>
        <v>0</v>
      </c>
      <c r="T12" s="95"/>
      <c r="U12" s="149" t="s">
        <v>29</v>
      </c>
      <c r="V12" s="70" t="e">
        <f>C12/$S$12</f>
        <v>#DIV/0!</v>
      </c>
      <c r="W12" s="70" t="e">
        <f t="shared" ref="W12:AC12" si="39">D12/$S$12</f>
        <v>#DIV/0!</v>
      </c>
      <c r="X12" s="70" t="e">
        <f t="shared" si="39"/>
        <v>#DIV/0!</v>
      </c>
      <c r="Y12" s="70" t="e">
        <f t="shared" si="39"/>
        <v>#DIV/0!</v>
      </c>
      <c r="Z12" s="70" t="e">
        <f t="shared" si="39"/>
        <v>#DIV/0!</v>
      </c>
      <c r="AA12" s="70" t="e">
        <f t="shared" si="39"/>
        <v>#DIV/0!</v>
      </c>
      <c r="AB12" s="70" t="e">
        <f t="shared" si="39"/>
        <v>#DIV/0!</v>
      </c>
      <c r="AC12" s="70" t="e">
        <f t="shared" si="39"/>
        <v>#DIV/0!</v>
      </c>
      <c r="AD12" s="70" t="e">
        <f t="shared" ref="AD12" si="40">K12/$S$12</f>
        <v>#DIV/0!</v>
      </c>
      <c r="AE12" s="70" t="e">
        <f t="shared" ref="AE12" si="41">L12/$S$12</f>
        <v>#DIV/0!</v>
      </c>
      <c r="AF12" s="70" t="e">
        <f t="shared" ref="AF12" si="42">M12/$S$12</f>
        <v>#DIV/0!</v>
      </c>
      <c r="AG12" s="70" t="e">
        <f t="shared" ref="AG12" si="43">N12/$S$12</f>
        <v>#DIV/0!</v>
      </c>
      <c r="AH12" s="70" t="e">
        <f t="shared" ref="AH12" si="44">O12/$S$12</f>
        <v>#DIV/0!</v>
      </c>
      <c r="AI12" s="70" t="e">
        <f t="shared" ref="AI12:AJ12" si="45">P12/$S$12</f>
        <v>#DIV/0!</v>
      </c>
      <c r="AJ12" s="70" t="e">
        <f t="shared" si="45"/>
        <v>#DIV/0!</v>
      </c>
      <c r="AK12" s="70" t="e">
        <f t="shared" ref="AK12" si="46">R12/$S$12</f>
        <v>#DIV/0!</v>
      </c>
    </row>
    <row r="13" spans="1:40" x14ac:dyDescent="0.15">
      <c r="B13" s="149" t="s">
        <v>30</v>
      </c>
      <c r="C13" s="79">
        <f>SUMIF('caseload data'!$A:$A,"South Central",'caseload data'!E:E)</f>
        <v>0</v>
      </c>
      <c r="D13" s="79">
        <f>SUMIF('caseload data'!$A:$A,"South Central",'caseload data'!F:F)</f>
        <v>0</v>
      </c>
      <c r="E13" s="79">
        <f>SUMIF('caseload data'!$A:$A,"South Central",'caseload data'!G:G)</f>
        <v>0</v>
      </c>
      <c r="F13" s="79">
        <f>SUMIF('caseload data'!$A:$A,"South Central",'caseload data'!H:H)</f>
        <v>0</v>
      </c>
      <c r="G13" s="79">
        <f>SUMIF('caseload data'!$A:$A,"South Central",'caseload data'!I:I)</f>
        <v>0</v>
      </c>
      <c r="H13" s="79">
        <f>SUMIF('caseload data'!$A:$A,"South Central",'caseload data'!J:J)</f>
        <v>0</v>
      </c>
      <c r="I13" s="79">
        <f>SUMIF('caseload data'!$A:$A,"South Central",'caseload data'!K:K)</f>
        <v>0</v>
      </c>
      <c r="J13" s="79">
        <f>SUMIF('caseload data'!$A:$A,"South Central",'caseload data'!L:L)</f>
        <v>0</v>
      </c>
      <c r="K13" s="79">
        <f>SUMIF('caseload data'!$A:$A,"South Central",'caseload data'!M:M)</f>
        <v>0</v>
      </c>
      <c r="L13" s="79">
        <f>SUMIF('caseload data'!$A:$A,"South Central",'caseload data'!N:N)</f>
        <v>0</v>
      </c>
      <c r="M13" s="79">
        <f>SUMIF('caseload data'!$A:$A,"South Central",'caseload data'!O:O)</f>
        <v>0</v>
      </c>
      <c r="N13" s="79">
        <f>SUMIF('caseload data'!$A:$A,"South Central",'caseload data'!P:P)</f>
        <v>0</v>
      </c>
      <c r="O13" s="79">
        <f>SUMIF('caseload data'!$A:$A,"South Central",'caseload data'!Q:Q)</f>
        <v>0</v>
      </c>
      <c r="P13" s="79">
        <f>SUMIF('caseload data'!$A:$A,"South Central",'caseload data'!R:R)</f>
        <v>0</v>
      </c>
      <c r="Q13" s="79">
        <f>SUMIF('caseload data'!$A:$A,"South Central",'caseload data'!S:S)</f>
        <v>0</v>
      </c>
      <c r="R13" s="79">
        <f>SUMIF('caseload data'!$A:$A,"South Central",'caseload data'!T:T)</f>
        <v>0</v>
      </c>
      <c r="S13" s="79">
        <f>SUMIF('caseload data'!A:A,"South Central",'caseload data'!V:V)</f>
        <v>0</v>
      </c>
      <c r="T13" s="95"/>
      <c r="U13" s="149" t="s">
        <v>30</v>
      </c>
      <c r="V13" s="70" t="e">
        <f t="shared" ref="V13:AK13" si="47">C13/$S$13</f>
        <v>#DIV/0!</v>
      </c>
      <c r="W13" s="70" t="e">
        <f t="shared" si="47"/>
        <v>#DIV/0!</v>
      </c>
      <c r="X13" s="70" t="e">
        <f t="shared" si="47"/>
        <v>#DIV/0!</v>
      </c>
      <c r="Y13" s="70" t="e">
        <f t="shared" si="47"/>
        <v>#DIV/0!</v>
      </c>
      <c r="Z13" s="70" t="e">
        <f t="shared" si="47"/>
        <v>#DIV/0!</v>
      </c>
      <c r="AA13" s="70" t="e">
        <f t="shared" si="47"/>
        <v>#DIV/0!</v>
      </c>
      <c r="AB13" s="70" t="e">
        <f t="shared" si="47"/>
        <v>#DIV/0!</v>
      </c>
      <c r="AC13" s="70" t="e">
        <f t="shared" si="47"/>
        <v>#DIV/0!</v>
      </c>
      <c r="AD13" s="70" t="e">
        <f t="shared" si="47"/>
        <v>#DIV/0!</v>
      </c>
      <c r="AE13" s="70" t="e">
        <f t="shared" si="47"/>
        <v>#DIV/0!</v>
      </c>
      <c r="AF13" s="70" t="e">
        <f t="shared" si="47"/>
        <v>#DIV/0!</v>
      </c>
      <c r="AG13" s="70" t="e">
        <f t="shared" si="47"/>
        <v>#DIV/0!</v>
      </c>
      <c r="AH13" s="70" t="e">
        <f t="shared" si="47"/>
        <v>#DIV/0!</v>
      </c>
      <c r="AI13" s="70" t="e">
        <f t="shared" si="47"/>
        <v>#DIV/0!</v>
      </c>
      <c r="AJ13" s="70" t="e">
        <f t="shared" si="47"/>
        <v>#DIV/0!</v>
      </c>
      <c r="AK13" s="70" t="e">
        <f t="shared" si="47"/>
        <v>#DIV/0!</v>
      </c>
    </row>
    <row r="14" spans="1:40" x14ac:dyDescent="0.15">
      <c r="B14" s="149" t="s">
        <v>31</v>
      </c>
      <c r="C14" s="79">
        <f>SUMIF('caseload data'!$A:$A,"South West",'caseload data'!E:E)</f>
        <v>0</v>
      </c>
      <c r="D14" s="79">
        <f>SUMIF('caseload data'!$A:$A,"South West",'caseload data'!F:F)</f>
        <v>0</v>
      </c>
      <c r="E14" s="79">
        <f>SUMIF('caseload data'!$A:$A,"South West",'caseload data'!G:G)</f>
        <v>0</v>
      </c>
      <c r="F14" s="79">
        <f>SUMIF('caseload data'!$A:$A,"South West",'caseload data'!H:H)</f>
        <v>0</v>
      </c>
      <c r="G14" s="79">
        <f>SUMIF('caseload data'!$A:$A,"South West",'caseload data'!I:I)</f>
        <v>0</v>
      </c>
      <c r="H14" s="79">
        <f>SUMIF('caseload data'!$A:$A,"South West",'caseload data'!J:J)</f>
        <v>0</v>
      </c>
      <c r="I14" s="79">
        <f>SUMIF('caseload data'!$A:$A,"South West",'caseload data'!K:K)</f>
        <v>0</v>
      </c>
      <c r="J14" s="79">
        <f>SUMIF('caseload data'!$A:$A,"South West",'caseload data'!L:L)</f>
        <v>0</v>
      </c>
      <c r="K14" s="79">
        <f>SUMIF('caseload data'!$A:$A,"South West",'caseload data'!M:M)</f>
        <v>0</v>
      </c>
      <c r="L14" s="79">
        <f>SUMIF('caseload data'!$A:$A,"South West",'caseload data'!N:N)</f>
        <v>0</v>
      </c>
      <c r="M14" s="79">
        <f>SUMIF('caseload data'!$A:$A,"South West",'caseload data'!O:O)</f>
        <v>0</v>
      </c>
      <c r="N14" s="79">
        <f>SUMIF('caseload data'!$A:$A,"South West",'caseload data'!P:P)</f>
        <v>0</v>
      </c>
      <c r="O14" s="79">
        <f>SUMIF('caseload data'!$A:$A,"South West",'caseload data'!Q:Q)</f>
        <v>0</v>
      </c>
      <c r="P14" s="79">
        <f>SUMIF('caseload data'!$A:$A,"South West",'caseload data'!R:R)</f>
        <v>0</v>
      </c>
      <c r="Q14" s="79">
        <f>SUMIF('caseload data'!$A:$A,"South West",'caseload data'!S:S)</f>
        <v>0</v>
      </c>
      <c r="R14" s="79">
        <f>SUMIF('caseload data'!$A:$A,"South West",'caseload data'!T:T)</f>
        <v>0</v>
      </c>
      <c r="S14" s="79">
        <f>SUMIF('caseload data'!A:A,"South West",'caseload data'!V:V)</f>
        <v>0</v>
      </c>
      <c r="T14" s="95"/>
      <c r="U14" s="149" t="s">
        <v>31</v>
      </c>
      <c r="V14" s="70" t="e">
        <f>C14/$S$14</f>
        <v>#DIV/0!</v>
      </c>
      <c r="W14" s="70" t="e">
        <f t="shared" ref="W14:AC14" si="48">D14/$S$14</f>
        <v>#DIV/0!</v>
      </c>
      <c r="X14" s="70" t="e">
        <f t="shared" si="48"/>
        <v>#DIV/0!</v>
      </c>
      <c r="Y14" s="70" t="e">
        <f t="shared" si="48"/>
        <v>#DIV/0!</v>
      </c>
      <c r="Z14" s="70" t="e">
        <f t="shared" si="48"/>
        <v>#DIV/0!</v>
      </c>
      <c r="AA14" s="70" t="e">
        <f t="shared" si="48"/>
        <v>#DIV/0!</v>
      </c>
      <c r="AB14" s="70" t="e">
        <f t="shared" si="48"/>
        <v>#DIV/0!</v>
      </c>
      <c r="AC14" s="70" t="e">
        <f t="shared" si="48"/>
        <v>#DIV/0!</v>
      </c>
      <c r="AD14" s="70" t="e">
        <f t="shared" ref="AD14" si="49">K14/$S$14</f>
        <v>#DIV/0!</v>
      </c>
      <c r="AE14" s="70" t="e">
        <f t="shared" ref="AE14" si="50">L14/$S$14</f>
        <v>#DIV/0!</v>
      </c>
      <c r="AF14" s="70" t="e">
        <f t="shared" ref="AF14" si="51">M14/$S$14</f>
        <v>#DIV/0!</v>
      </c>
      <c r="AG14" s="70" t="e">
        <f t="shared" ref="AG14" si="52">N14/$S$14</f>
        <v>#DIV/0!</v>
      </c>
      <c r="AH14" s="70" t="e">
        <f t="shared" ref="AH14" si="53">O14/$S$14</f>
        <v>#DIV/0!</v>
      </c>
      <c r="AI14" s="70" t="e">
        <f t="shared" ref="AI14:AJ14" si="54">P14/$S$14</f>
        <v>#DIV/0!</v>
      </c>
      <c r="AJ14" s="70" t="e">
        <f t="shared" si="54"/>
        <v>#DIV/0!</v>
      </c>
      <c r="AK14" s="70" t="e">
        <f t="shared" ref="AK14" si="55">R14/$S$14</f>
        <v>#DIV/0!</v>
      </c>
    </row>
    <row r="15" spans="1:40" x14ac:dyDescent="0.15">
      <c r="B15" s="149" t="s">
        <v>32</v>
      </c>
      <c r="C15" s="79">
        <f>SUMIF('caseload data'!$A:$A,"Wales",'caseload data'!E:E)</f>
        <v>0</v>
      </c>
      <c r="D15" s="79">
        <f>SUMIF('caseload data'!$A:$A,"Wales",'caseload data'!F:F)</f>
        <v>0</v>
      </c>
      <c r="E15" s="79">
        <f>SUMIF('caseload data'!$A:$A,"Wales",'caseload data'!G:G)</f>
        <v>0</v>
      </c>
      <c r="F15" s="79">
        <f>SUMIF('caseload data'!$A:$A,"Wales",'caseload data'!H:H)</f>
        <v>0</v>
      </c>
      <c r="G15" s="79">
        <f>SUMIF('caseload data'!$A:$A,"Wales",'caseload data'!I:I)</f>
        <v>0</v>
      </c>
      <c r="H15" s="79">
        <f>SUMIF('caseload data'!$A:$A,"Wales",'caseload data'!J:J)</f>
        <v>0</v>
      </c>
      <c r="I15" s="79">
        <f>SUMIF('caseload data'!$A:$A,"Wales",'caseload data'!K:K)</f>
        <v>0</v>
      </c>
      <c r="J15" s="79">
        <f>SUMIF('caseload data'!$A:$A,"Wales",'caseload data'!L:L)</f>
        <v>0</v>
      </c>
      <c r="K15" s="79">
        <f>SUMIF('caseload data'!$A:$A,"Wales",'caseload data'!M:M)</f>
        <v>0</v>
      </c>
      <c r="L15" s="79">
        <f>SUMIF('caseload data'!$A:$A,"Wales",'caseload data'!N:N)</f>
        <v>0</v>
      </c>
      <c r="M15" s="79">
        <f>SUMIF('caseload data'!$A:$A,"Wales",'caseload data'!O:O)</f>
        <v>0</v>
      </c>
      <c r="N15" s="79">
        <f>SUMIF('caseload data'!$A:$A,"Wales",'caseload data'!P:P)</f>
        <v>0</v>
      </c>
      <c r="O15" s="79">
        <f>SUMIF('caseload data'!$A:$A,"Wales",'caseload data'!Q:Q)</f>
        <v>0</v>
      </c>
      <c r="P15" s="79">
        <f>SUMIF('caseload data'!$A:$A,"Wales",'caseload data'!R:R)</f>
        <v>0</v>
      </c>
      <c r="Q15" s="79">
        <f>SUMIF('caseload data'!$A:$A,"Wales",'caseload data'!S:S)</f>
        <v>0</v>
      </c>
      <c r="R15" s="79">
        <f>SUMIF('caseload data'!$A:$A,"Wales",'caseload data'!T:T)</f>
        <v>0</v>
      </c>
      <c r="S15" s="79">
        <f>SUMIF('caseload data'!A:A,"Wales",'caseload data'!V:V)</f>
        <v>0</v>
      </c>
      <c r="T15" s="95"/>
      <c r="U15" s="149" t="s">
        <v>32</v>
      </c>
      <c r="V15" s="70" t="e">
        <f>C15/$S$15</f>
        <v>#DIV/0!</v>
      </c>
      <c r="W15" s="70" t="e">
        <f t="shared" ref="W15:AC15" si="56">D15/$S$15</f>
        <v>#DIV/0!</v>
      </c>
      <c r="X15" s="70" t="e">
        <f t="shared" si="56"/>
        <v>#DIV/0!</v>
      </c>
      <c r="Y15" s="70" t="e">
        <f t="shared" si="56"/>
        <v>#DIV/0!</v>
      </c>
      <c r="Z15" s="70" t="e">
        <f t="shared" si="56"/>
        <v>#DIV/0!</v>
      </c>
      <c r="AA15" s="70" t="e">
        <f t="shared" si="56"/>
        <v>#DIV/0!</v>
      </c>
      <c r="AB15" s="70" t="e">
        <f t="shared" si="56"/>
        <v>#DIV/0!</v>
      </c>
      <c r="AC15" s="70" t="e">
        <f t="shared" si="56"/>
        <v>#DIV/0!</v>
      </c>
      <c r="AD15" s="70" t="e">
        <f t="shared" ref="AD15" si="57">K15/$S$15</f>
        <v>#DIV/0!</v>
      </c>
      <c r="AE15" s="70" t="e">
        <f t="shared" ref="AE15" si="58">L15/$S$15</f>
        <v>#DIV/0!</v>
      </c>
      <c r="AF15" s="70" t="e">
        <f t="shared" ref="AF15" si="59">M15/$S$15</f>
        <v>#DIV/0!</v>
      </c>
      <c r="AG15" s="70" t="e">
        <f t="shared" ref="AG15" si="60">N15/$S$15</f>
        <v>#DIV/0!</v>
      </c>
      <c r="AH15" s="70" t="e">
        <f t="shared" ref="AH15" si="61">O15/$S$15</f>
        <v>#DIV/0!</v>
      </c>
      <c r="AI15" s="70" t="e">
        <f t="shared" ref="AI15:AJ15" si="62">P15/$S$15</f>
        <v>#DIV/0!</v>
      </c>
      <c r="AJ15" s="70" t="e">
        <f t="shared" si="62"/>
        <v>#DIV/0!</v>
      </c>
      <c r="AK15" s="70" t="e">
        <f t="shared" ref="AK15" si="63">R15/$S$15</f>
        <v>#DIV/0!</v>
      </c>
    </row>
    <row r="16" spans="1:40" x14ac:dyDescent="0.15">
      <c r="B16" s="149" t="s">
        <v>33</v>
      </c>
      <c r="C16" s="79">
        <f>SUMIF('caseload data'!$A:$A,"West Midlands Region",'caseload data'!E:E)</f>
        <v>0</v>
      </c>
      <c r="D16" s="79">
        <f>SUMIF('caseload data'!$A:$A,"West Midlands Region",'caseload data'!F:F)</f>
        <v>0</v>
      </c>
      <c r="E16" s="79">
        <f>SUMIF('caseload data'!$A:$A,"West Midlands Region",'caseload data'!G:G)</f>
        <v>0</v>
      </c>
      <c r="F16" s="79">
        <f>SUMIF('caseload data'!$A:$A,"West Midlands Region",'caseload data'!H:H)</f>
        <v>0</v>
      </c>
      <c r="G16" s="79">
        <f>SUMIF('caseload data'!$A:$A,"West Midlands Region",'caseload data'!I:I)</f>
        <v>0</v>
      </c>
      <c r="H16" s="79">
        <f>SUMIF('caseload data'!$A:$A,"West Midlands Region",'caseload data'!J:J)</f>
        <v>0</v>
      </c>
      <c r="I16" s="79">
        <f>SUMIF('caseload data'!$A:$A,"West Midlands Region",'caseload data'!K:K)</f>
        <v>0</v>
      </c>
      <c r="J16" s="79">
        <f>SUMIF('caseload data'!$A:$A,"West Midlands Region",'caseload data'!L:L)</f>
        <v>0</v>
      </c>
      <c r="K16" s="79">
        <f>SUMIF('caseload data'!$A:$A,"West Midlands Region",'caseload data'!M:M)</f>
        <v>0</v>
      </c>
      <c r="L16" s="79">
        <f>SUMIF('caseload data'!$A:$A,"West Midlands Region",'caseload data'!N:N)</f>
        <v>0</v>
      </c>
      <c r="M16" s="79">
        <f>SUMIF('caseload data'!$A:$A,"West Midlands Region",'caseload data'!O:O)</f>
        <v>0</v>
      </c>
      <c r="N16" s="79">
        <f>SUMIF('caseload data'!$A:$A,"West Midlands Region",'caseload data'!P:P)</f>
        <v>0</v>
      </c>
      <c r="O16" s="79">
        <f>SUMIF('caseload data'!$A:$A,"West Midlands Region",'caseload data'!Q:Q)</f>
        <v>0</v>
      </c>
      <c r="P16" s="79">
        <f>SUMIF('caseload data'!$A:$A,"West Midlands Region",'caseload data'!R:R)</f>
        <v>0</v>
      </c>
      <c r="Q16" s="79">
        <f>SUMIF('caseload data'!$A:$A,"West Midlands Region",'caseload data'!S:S)</f>
        <v>0</v>
      </c>
      <c r="R16" s="79">
        <f>SUMIF('caseload data'!$A:$A,"West Midlands Region",'caseload data'!T:T)</f>
        <v>0</v>
      </c>
      <c r="S16" s="79">
        <f>SUMIF('caseload data'!A:A,"West Midlands Region",'caseload data'!V:V)</f>
        <v>0</v>
      </c>
      <c r="T16" s="95"/>
      <c r="U16" s="149" t="s">
        <v>33</v>
      </c>
      <c r="V16" s="70" t="e">
        <f>C16/$S$16</f>
        <v>#DIV/0!</v>
      </c>
      <c r="W16" s="70" t="e">
        <f t="shared" ref="W16:AC16" si="64">D16/$S$16</f>
        <v>#DIV/0!</v>
      </c>
      <c r="X16" s="70" t="e">
        <f t="shared" si="64"/>
        <v>#DIV/0!</v>
      </c>
      <c r="Y16" s="70" t="e">
        <f t="shared" si="64"/>
        <v>#DIV/0!</v>
      </c>
      <c r="Z16" s="70" t="e">
        <f t="shared" si="64"/>
        <v>#DIV/0!</v>
      </c>
      <c r="AA16" s="70" t="e">
        <f t="shared" si="64"/>
        <v>#DIV/0!</v>
      </c>
      <c r="AB16" s="70" t="e">
        <f t="shared" si="64"/>
        <v>#DIV/0!</v>
      </c>
      <c r="AC16" s="70" t="e">
        <f t="shared" si="64"/>
        <v>#DIV/0!</v>
      </c>
      <c r="AD16" s="70" t="e">
        <f t="shared" ref="AD16" si="65">K16/$S$16</f>
        <v>#DIV/0!</v>
      </c>
      <c r="AE16" s="70" t="e">
        <f t="shared" ref="AE16" si="66">L16/$S$16</f>
        <v>#DIV/0!</v>
      </c>
      <c r="AF16" s="70" t="e">
        <f t="shared" ref="AF16" si="67">M16/$S$16</f>
        <v>#DIV/0!</v>
      </c>
      <c r="AG16" s="70" t="e">
        <f t="shared" ref="AG16" si="68">N16/$S$16</f>
        <v>#DIV/0!</v>
      </c>
      <c r="AH16" s="70" t="e">
        <f t="shared" ref="AH16" si="69">O16/$S$16</f>
        <v>#DIV/0!</v>
      </c>
      <c r="AI16" s="70" t="e">
        <f t="shared" ref="AI16:AJ16" si="70">P16/$S$16</f>
        <v>#DIV/0!</v>
      </c>
      <c r="AJ16" s="70" t="e">
        <f t="shared" si="70"/>
        <v>#DIV/0!</v>
      </c>
      <c r="AK16" s="70" t="e">
        <f t="shared" ref="AK16" si="71">R16/$S$16</f>
        <v>#DIV/0!</v>
      </c>
    </row>
    <row r="17" spans="2:37" x14ac:dyDescent="0.15">
      <c r="B17" s="149" t="s">
        <v>34</v>
      </c>
      <c r="C17" s="79">
        <f>SUMIF('caseload data'!$A:$A,"Yorkshire and The Humber",'caseload data'!E:E)</f>
        <v>0</v>
      </c>
      <c r="D17" s="79">
        <f>SUMIF('caseload data'!$A:$A,"Yorkshire and The Humber",'caseload data'!F:F)</f>
        <v>0</v>
      </c>
      <c r="E17" s="79">
        <f>SUMIF('caseload data'!$A:$A,"Yorkshire and The Humber",'caseload data'!G:G)</f>
        <v>0</v>
      </c>
      <c r="F17" s="79">
        <f>SUMIF('caseload data'!$A:$A,"Yorkshire and The Humber",'caseload data'!H:H)</f>
        <v>0</v>
      </c>
      <c r="G17" s="79">
        <f>SUMIF('caseload data'!$A:$A,"Yorkshire and The Humber",'caseload data'!I:I)</f>
        <v>0</v>
      </c>
      <c r="H17" s="79">
        <f>SUMIF('caseload data'!$A:$A,"Yorkshire and The Humber",'caseload data'!J:J)</f>
        <v>0</v>
      </c>
      <c r="I17" s="79">
        <f>SUMIF('caseload data'!$A:$A,"Yorkshire and The Humber",'caseload data'!K:K)</f>
        <v>0</v>
      </c>
      <c r="J17" s="79">
        <f>SUMIF('caseload data'!$A:$A,"Yorkshire and The Humber",'caseload data'!L:L)</f>
        <v>0</v>
      </c>
      <c r="K17" s="79">
        <f>SUMIF('caseload data'!$A:$A,"Yorkshire and The Humber",'caseload data'!M:M)</f>
        <v>0</v>
      </c>
      <c r="L17" s="79">
        <f>SUMIF('caseload data'!$A:$A,"Yorkshire and The Humber",'caseload data'!N:N)</f>
        <v>0</v>
      </c>
      <c r="M17" s="79">
        <f>SUMIF('caseload data'!$A:$A,"Yorkshire and The Humber",'caseload data'!O:O)</f>
        <v>0</v>
      </c>
      <c r="N17" s="79">
        <f>SUMIF('caseload data'!$A:$A,"Yorkshire and The Humber",'caseload data'!P:P)</f>
        <v>0</v>
      </c>
      <c r="O17" s="79">
        <f>SUMIF('caseload data'!$A:$A,"Yorkshire and The Humber",'caseload data'!Q:Q)</f>
        <v>0</v>
      </c>
      <c r="P17" s="79">
        <f>SUMIF('caseload data'!$A:$A,"Yorkshire and The Humber",'caseload data'!R:R)</f>
        <v>0</v>
      </c>
      <c r="Q17" s="79">
        <f>SUMIF('caseload data'!$A:$A,"Yorkshire and The Humber",'caseload data'!S:S)</f>
        <v>0</v>
      </c>
      <c r="R17" s="79">
        <f>SUMIF('caseload data'!$A:$A,"Yorkshire and The Humber",'caseload data'!T:T)</f>
        <v>0</v>
      </c>
      <c r="S17" s="79">
        <f>SUMIF('caseload data'!A:A,"Yorkshire and The Humber",'caseload data'!V:V)</f>
        <v>0</v>
      </c>
      <c r="T17" s="95"/>
      <c r="U17" s="149" t="s">
        <v>34</v>
      </c>
      <c r="V17" s="70" t="e">
        <f>C17/$S$17</f>
        <v>#DIV/0!</v>
      </c>
      <c r="W17" s="70" t="e">
        <f t="shared" ref="W17:AC17" si="72">D17/$S$17</f>
        <v>#DIV/0!</v>
      </c>
      <c r="X17" s="70" t="e">
        <f t="shared" si="72"/>
        <v>#DIV/0!</v>
      </c>
      <c r="Y17" s="70" t="e">
        <f t="shared" si="72"/>
        <v>#DIV/0!</v>
      </c>
      <c r="Z17" s="70" t="e">
        <f t="shared" si="72"/>
        <v>#DIV/0!</v>
      </c>
      <c r="AA17" s="70" t="e">
        <f t="shared" si="72"/>
        <v>#DIV/0!</v>
      </c>
      <c r="AB17" s="70" t="e">
        <f t="shared" si="72"/>
        <v>#DIV/0!</v>
      </c>
      <c r="AC17" s="70" t="e">
        <f t="shared" si="72"/>
        <v>#DIV/0!</v>
      </c>
      <c r="AD17" s="70" t="e">
        <f t="shared" ref="AD17" si="73">K17/$S$17</f>
        <v>#DIV/0!</v>
      </c>
      <c r="AE17" s="70" t="e">
        <f t="shared" ref="AE17" si="74">L17/$S$17</f>
        <v>#DIV/0!</v>
      </c>
      <c r="AF17" s="70" t="e">
        <f t="shared" ref="AF17" si="75">M17/$S$17</f>
        <v>#DIV/0!</v>
      </c>
      <c r="AG17" s="70" t="e">
        <f t="shared" ref="AG17" si="76">N17/$S$17</f>
        <v>#DIV/0!</v>
      </c>
      <c r="AH17" s="70" t="e">
        <f t="shared" ref="AH17" si="77">O17/$S$17</f>
        <v>#DIV/0!</v>
      </c>
      <c r="AI17" s="70" t="e">
        <f t="shared" ref="AI17:AJ17" si="78">P17/$S$17</f>
        <v>#DIV/0!</v>
      </c>
      <c r="AJ17" s="70" t="e">
        <f t="shared" si="78"/>
        <v>#DIV/0!</v>
      </c>
      <c r="AK17" s="70" t="e">
        <f t="shared" ref="AK17" si="79">R17/$S$17</f>
        <v>#DIV/0!</v>
      </c>
    </row>
    <row r="18" spans="2:37" x14ac:dyDescent="0.15">
      <c r="B18" s="114" t="s">
        <v>1262</v>
      </c>
      <c r="C18" s="114">
        <f>SUM('caseload data'!E:E)</f>
        <v>0</v>
      </c>
      <c r="D18" s="114">
        <f>SUM('caseload data'!F:F)</f>
        <v>0</v>
      </c>
      <c r="E18" s="114">
        <f>SUM('caseload data'!G:G)</f>
        <v>0</v>
      </c>
      <c r="F18" s="114">
        <f>SUM('caseload data'!H:H)</f>
        <v>0</v>
      </c>
      <c r="G18" s="114">
        <f>SUM('caseload data'!I:I)</f>
        <v>0</v>
      </c>
      <c r="H18" s="114">
        <f>SUM('caseload data'!J:J)</f>
        <v>0</v>
      </c>
      <c r="I18" s="114">
        <f>SUM('caseload data'!K:K)</f>
        <v>0</v>
      </c>
      <c r="J18" s="114">
        <f>SUM('caseload data'!L:L)</f>
        <v>0</v>
      </c>
      <c r="K18" s="114">
        <f>SUM('caseload data'!M:M)</f>
        <v>0</v>
      </c>
      <c r="L18" s="114">
        <f>SUM('caseload data'!N:N)</f>
        <v>0</v>
      </c>
      <c r="M18" s="114">
        <f>SUM('caseload data'!O:O)</f>
        <v>0</v>
      </c>
      <c r="N18" s="114">
        <f>SUM('caseload data'!P:P)</f>
        <v>0</v>
      </c>
      <c r="O18" s="114">
        <f>SUM('caseload data'!Q:Q)</f>
        <v>0</v>
      </c>
      <c r="P18" s="114">
        <f>SUM('caseload data'!R:R)</f>
        <v>0</v>
      </c>
      <c r="Q18" s="114">
        <f>SUM('caseload data'!S:S)</f>
        <v>0</v>
      </c>
      <c r="R18" s="114">
        <f>SUM('caseload data'!T:T)</f>
        <v>0</v>
      </c>
      <c r="S18" s="114">
        <f>SUM('caseload data'!V:V)</f>
        <v>0</v>
      </c>
      <c r="T18" s="95"/>
      <c r="U18" s="114" t="s">
        <v>1039</v>
      </c>
      <c r="V18" s="119" t="e">
        <f>C18/$S$18</f>
        <v>#DIV/0!</v>
      </c>
      <c r="W18" s="119" t="e">
        <f t="shared" ref="W18:AA18" si="80">D18/$S$18</f>
        <v>#DIV/0!</v>
      </c>
      <c r="X18" s="119" t="e">
        <f t="shared" si="80"/>
        <v>#DIV/0!</v>
      </c>
      <c r="Y18" s="119" t="e">
        <f t="shared" si="80"/>
        <v>#DIV/0!</v>
      </c>
      <c r="Z18" s="119" t="e">
        <f t="shared" si="80"/>
        <v>#DIV/0!</v>
      </c>
      <c r="AA18" s="119" t="e">
        <f t="shared" si="80"/>
        <v>#DIV/0!</v>
      </c>
      <c r="AB18" s="119" t="e">
        <f>I18/$S$18</f>
        <v>#DIV/0!</v>
      </c>
      <c r="AC18" s="119" t="e">
        <f t="shared" ref="AC18:AK18" si="81">J18/$S$18</f>
        <v>#DIV/0!</v>
      </c>
      <c r="AD18" s="119" t="e">
        <f t="shared" si="81"/>
        <v>#DIV/0!</v>
      </c>
      <c r="AE18" s="119" t="e">
        <f t="shared" si="81"/>
        <v>#DIV/0!</v>
      </c>
      <c r="AF18" s="119" t="e">
        <f t="shared" si="81"/>
        <v>#DIV/0!</v>
      </c>
      <c r="AG18" s="119" t="e">
        <f t="shared" si="81"/>
        <v>#DIV/0!</v>
      </c>
      <c r="AH18" s="119" t="e">
        <f t="shared" si="81"/>
        <v>#DIV/0!</v>
      </c>
      <c r="AI18" s="119" t="e">
        <f t="shared" si="81"/>
        <v>#DIV/0!</v>
      </c>
      <c r="AJ18" s="119" t="e">
        <f t="shared" si="81"/>
        <v>#DIV/0!</v>
      </c>
      <c r="AK18" s="119" t="e">
        <f t="shared" si="81"/>
        <v>#DIV/0!</v>
      </c>
    </row>
    <row r="21" spans="2:37" ht="21.75" customHeight="1" x14ac:dyDescent="0.2">
      <c r="C21" s="453" t="s">
        <v>1263</v>
      </c>
      <c r="D21" s="454"/>
      <c r="E21" s="454"/>
      <c r="F21" s="454"/>
      <c r="G21" s="454"/>
      <c r="H21" s="454"/>
      <c r="I21" s="454"/>
      <c r="J21" s="454"/>
      <c r="K21" s="454"/>
      <c r="L21" s="454"/>
      <c r="M21" s="454"/>
      <c r="N21" s="454"/>
      <c r="O21" s="454"/>
      <c r="P21" s="454"/>
      <c r="Q21" s="454"/>
      <c r="R21" s="454"/>
      <c r="S21" s="458"/>
      <c r="T21" s="1"/>
      <c r="U21" s="1"/>
      <c r="V21" s="453" t="s">
        <v>1264</v>
      </c>
      <c r="W21" s="454"/>
      <c r="X21" s="454"/>
      <c r="Y21" s="454"/>
      <c r="Z21" s="454"/>
      <c r="AA21" s="454"/>
      <c r="AB21" s="454"/>
      <c r="AC21" s="454"/>
      <c r="AD21" s="454"/>
      <c r="AE21" s="454"/>
      <c r="AF21" s="454"/>
      <c r="AG21" s="454"/>
      <c r="AH21" s="454"/>
      <c r="AI21" s="454"/>
      <c r="AJ21" s="454"/>
      <c r="AK21" s="454"/>
    </row>
    <row r="22" spans="2:37" x14ac:dyDescent="0.15">
      <c r="B22" s="148"/>
      <c r="C22" s="40" t="s">
        <v>1022</v>
      </c>
      <c r="D22" s="40" t="s">
        <v>1023</v>
      </c>
      <c r="E22" s="40" t="s">
        <v>1024</v>
      </c>
      <c r="F22" s="40" t="s">
        <v>1025</v>
      </c>
      <c r="G22" s="40" t="s">
        <v>1026</v>
      </c>
      <c r="H22" s="40" t="s">
        <v>1027</v>
      </c>
      <c r="I22" s="40" t="s">
        <v>1028</v>
      </c>
      <c r="J22" s="40" t="s">
        <v>1029</v>
      </c>
      <c r="K22" s="40" t="s">
        <v>1030</v>
      </c>
      <c r="L22" s="40" t="s">
        <v>1031</v>
      </c>
      <c r="M22" s="40" t="s">
        <v>1032</v>
      </c>
      <c r="N22" s="40" t="s">
        <v>1033</v>
      </c>
      <c r="O22" s="40" t="s">
        <v>1034</v>
      </c>
      <c r="P22" s="40" t="s">
        <v>1035</v>
      </c>
      <c r="Q22" s="40" t="s">
        <v>1036</v>
      </c>
      <c r="R22" s="40" t="s">
        <v>1037</v>
      </c>
      <c r="S22" s="41" t="s">
        <v>1039</v>
      </c>
      <c r="U22" s="240"/>
      <c r="V22" s="40" t="s">
        <v>1022</v>
      </c>
      <c r="W22" s="40" t="s">
        <v>1023</v>
      </c>
      <c r="X22" s="40" t="s">
        <v>1024</v>
      </c>
      <c r="Y22" s="40" t="s">
        <v>1025</v>
      </c>
      <c r="Z22" s="40" t="s">
        <v>1026</v>
      </c>
      <c r="AA22" s="40" t="s">
        <v>1027</v>
      </c>
      <c r="AB22" s="40" t="s">
        <v>1028</v>
      </c>
      <c r="AC22" s="40" t="s">
        <v>1029</v>
      </c>
      <c r="AD22" s="40" t="s">
        <v>1030</v>
      </c>
      <c r="AE22" s="40" t="s">
        <v>1031</v>
      </c>
      <c r="AF22" s="40" t="s">
        <v>1032</v>
      </c>
      <c r="AG22" s="40" t="s">
        <v>1033</v>
      </c>
      <c r="AH22" s="40" t="s">
        <v>1034</v>
      </c>
      <c r="AI22" s="40" t="s">
        <v>1035</v>
      </c>
      <c r="AJ22" s="40" t="s">
        <v>1036</v>
      </c>
      <c r="AK22" s="40" t="s">
        <v>1037</v>
      </c>
    </row>
    <row r="23" spans="2:37" x14ac:dyDescent="0.15">
      <c r="B23" s="149" t="s">
        <v>23</v>
      </c>
      <c r="C23" s="79">
        <f>SUMIFS('caseload data'!E:E,'caseload data'!$A:$A,$B23,'caseload data'!$B:$B,"custody")</f>
        <v>0</v>
      </c>
      <c r="D23" s="79">
        <f>SUMIFS('caseload data'!F:F,'caseload data'!$A:$A,$B23,'caseload data'!$B:$B,"custody")</f>
        <v>0</v>
      </c>
      <c r="E23" s="79">
        <f>SUMIFS('caseload data'!G:G,'caseload data'!$A:$A,$B23,'caseload data'!$B:$B,"custody")</f>
        <v>0</v>
      </c>
      <c r="F23" s="79">
        <f>SUMIFS('caseload data'!H:H,'caseload data'!$A:$A,$B23,'caseload data'!$B:$B,"custody")</f>
        <v>0</v>
      </c>
      <c r="G23" s="79">
        <f>SUMIFS('caseload data'!I:I,'caseload data'!$A:$A,$B23,'caseload data'!$B:$B,"custody")</f>
        <v>0</v>
      </c>
      <c r="H23" s="79">
        <f>SUMIFS('caseload data'!J:J,'caseload data'!$A:$A,$B23,'caseload data'!$B:$B,"custody")</f>
        <v>0</v>
      </c>
      <c r="I23" s="79">
        <f>SUMIFS('caseload data'!K:K,'caseload data'!$A:$A,$B23,'caseload data'!$B:$B,"custody")</f>
        <v>0</v>
      </c>
      <c r="J23" s="79">
        <f>SUMIFS('caseload data'!L:L,'caseload data'!$A:$A,$B23,'caseload data'!$B:$B,"custody")</f>
        <v>0</v>
      </c>
      <c r="K23" s="79">
        <f>SUMIFS('caseload data'!M:M,'caseload data'!$A:$A,$B23,'caseload data'!$B:$B,"custody")</f>
        <v>0</v>
      </c>
      <c r="L23" s="79">
        <f>SUMIFS('caseload data'!N:N,'caseload data'!$A:$A,$B23,'caseload data'!$B:$B,"custody")</f>
        <v>0</v>
      </c>
      <c r="M23" s="79">
        <f>SUMIFS('caseload data'!O:O,'caseload data'!$A:$A,$B23,'caseload data'!$B:$B,"custody")</f>
        <v>0</v>
      </c>
      <c r="N23" s="79">
        <f>SUMIFS('caseload data'!P:P,'caseload data'!$A:$A,$B23,'caseload data'!$B:$B,"custody")</f>
        <v>0</v>
      </c>
      <c r="O23" s="79">
        <f>SUMIFS('caseload data'!Q:Q,'caseload data'!$A:$A,$B23,'caseload data'!$B:$B,"custody")</f>
        <v>0</v>
      </c>
      <c r="P23" s="79">
        <f>SUMIFS('caseload data'!R:R,'caseload data'!$A:$A,$B23,'caseload data'!$B:$B,"custody")</f>
        <v>0</v>
      </c>
      <c r="Q23" s="79">
        <f>SUMIFS('caseload data'!S:S,'caseload data'!$A:$A,$B23,'caseload data'!$B:$B,"custody")</f>
        <v>0</v>
      </c>
      <c r="R23" s="79">
        <f>SUMIFS('caseload data'!T:T,'caseload data'!$A:$A,$B23,'caseload data'!$B:$B,"custody")</f>
        <v>0</v>
      </c>
      <c r="S23" s="79">
        <f>SUMIFS('caseload data'!V:V,'caseload data'!$A:$A,B23,'caseload data'!$B:$B,"custody")</f>
        <v>0</v>
      </c>
      <c r="T23" s="95"/>
      <c r="U23" s="149" t="s">
        <v>23</v>
      </c>
      <c r="V23" s="70" t="e">
        <f>C23/$S$23</f>
        <v>#DIV/0!</v>
      </c>
      <c r="W23" s="70" t="e">
        <f t="shared" ref="W23:AB23" si="82">D23/$S$23</f>
        <v>#DIV/0!</v>
      </c>
      <c r="X23" s="70" t="e">
        <f t="shared" si="82"/>
        <v>#DIV/0!</v>
      </c>
      <c r="Y23" s="70" t="e">
        <f t="shared" si="82"/>
        <v>#DIV/0!</v>
      </c>
      <c r="Z23" s="70" t="e">
        <f t="shared" si="82"/>
        <v>#DIV/0!</v>
      </c>
      <c r="AA23" s="70" t="e">
        <f t="shared" si="82"/>
        <v>#DIV/0!</v>
      </c>
      <c r="AB23" s="70" t="e">
        <f t="shared" si="82"/>
        <v>#DIV/0!</v>
      </c>
      <c r="AC23" s="70" t="e">
        <f t="shared" ref="AC23" si="83">J23/$S$23</f>
        <v>#DIV/0!</v>
      </c>
      <c r="AD23" s="70" t="e">
        <f t="shared" ref="AD23" si="84">K23/$S$23</f>
        <v>#DIV/0!</v>
      </c>
      <c r="AE23" s="70" t="e">
        <f t="shared" ref="AE23" si="85">L23/$S$23</f>
        <v>#DIV/0!</v>
      </c>
      <c r="AF23" s="70" t="e">
        <f t="shared" ref="AF23" si="86">M23/$S$23</f>
        <v>#DIV/0!</v>
      </c>
      <c r="AG23" s="70" t="e">
        <f t="shared" ref="AG23:AH23" si="87">N23/$S$23</f>
        <v>#DIV/0!</v>
      </c>
      <c r="AH23" s="70" t="e">
        <f t="shared" si="87"/>
        <v>#DIV/0!</v>
      </c>
      <c r="AI23" s="70" t="e">
        <f t="shared" ref="AI23" si="88">P23/$S$23</f>
        <v>#DIV/0!</v>
      </c>
      <c r="AJ23" s="70" t="e">
        <f t="shared" ref="AJ23" si="89">Q23/$S$23</f>
        <v>#DIV/0!</v>
      </c>
      <c r="AK23" s="70" t="e">
        <f t="shared" ref="AK23" si="90">R23/$S$23</f>
        <v>#DIV/0!</v>
      </c>
    </row>
    <row r="24" spans="2:37" x14ac:dyDescent="0.15">
      <c r="B24" s="149" t="s">
        <v>24</v>
      </c>
      <c r="C24" s="79">
        <f>SUMIFS('caseload data'!E:E,'caseload data'!$A:$A,$B24,'caseload data'!$B:$B,"custody")</f>
        <v>0</v>
      </c>
      <c r="D24" s="79">
        <f>SUMIFS('caseload data'!F:F,'caseload data'!$A:$A,$B24,'caseload data'!$B:$B,"custody")</f>
        <v>0</v>
      </c>
      <c r="E24" s="79">
        <f>SUMIFS('caseload data'!G:G,'caseload data'!$A:$A,$B24,'caseload data'!$B:$B,"custody")</f>
        <v>0</v>
      </c>
      <c r="F24" s="79">
        <f>SUMIFS('caseload data'!H:H,'caseload data'!$A:$A,$B24,'caseload data'!$B:$B,"custody")</f>
        <v>0</v>
      </c>
      <c r="G24" s="79">
        <f>SUMIFS('caseload data'!I:I,'caseload data'!$A:$A,$B24,'caseload data'!$B:$B,"custody")</f>
        <v>0</v>
      </c>
      <c r="H24" s="79">
        <f>SUMIFS('caseload data'!J:J,'caseload data'!$A:$A,$B24,'caseload data'!$B:$B,"custody")</f>
        <v>0</v>
      </c>
      <c r="I24" s="79">
        <f>SUMIFS('caseload data'!K:K,'caseload data'!$A:$A,$B24,'caseload data'!$B:$B,"custody")</f>
        <v>0</v>
      </c>
      <c r="J24" s="79">
        <f>SUMIFS('caseload data'!L:L,'caseload data'!$A:$A,$B24,'caseload data'!$B:$B,"custody")</f>
        <v>0</v>
      </c>
      <c r="K24" s="79">
        <f>SUMIFS('caseload data'!M:M,'caseload data'!$A:$A,$B24,'caseload data'!$B:$B,"custody")</f>
        <v>0</v>
      </c>
      <c r="L24" s="79">
        <f>SUMIFS('caseload data'!N:N,'caseload data'!$A:$A,$B24,'caseload data'!$B:$B,"custody")</f>
        <v>0</v>
      </c>
      <c r="M24" s="79">
        <f>SUMIFS('caseload data'!O:O,'caseload data'!$A:$A,$B24,'caseload data'!$B:$B,"custody")</f>
        <v>0</v>
      </c>
      <c r="N24" s="79">
        <f>SUMIFS('caseload data'!P:P,'caseload data'!$A:$A,$B24,'caseload data'!$B:$B,"custody")</f>
        <v>0</v>
      </c>
      <c r="O24" s="79">
        <f>SUMIFS('caseload data'!Q:Q,'caseload data'!$A:$A,$B24,'caseload data'!$B:$B,"custody")</f>
        <v>0</v>
      </c>
      <c r="P24" s="79">
        <f>SUMIFS('caseload data'!R:R,'caseload data'!$A:$A,$B24,'caseload data'!$B:$B,"custody")</f>
        <v>0</v>
      </c>
      <c r="Q24" s="79">
        <f>SUMIFS('caseload data'!S:S,'caseload data'!$A:$A,$B24,'caseload data'!$B:$B,"custody")</f>
        <v>0</v>
      </c>
      <c r="R24" s="79">
        <f>SUMIFS('caseload data'!T:T,'caseload data'!$A:$A,$B24,'caseload data'!$B:$B,"custody")</f>
        <v>0</v>
      </c>
      <c r="S24" s="79">
        <f>SUMIFS('caseload data'!V:V,'caseload data'!$A:$A,B24,'caseload data'!$B:$B,"custody")</f>
        <v>0</v>
      </c>
      <c r="T24" s="95"/>
      <c r="U24" s="149" t="s">
        <v>24</v>
      </c>
      <c r="V24" s="70" t="e">
        <f>C24/$S$24</f>
        <v>#DIV/0!</v>
      </c>
      <c r="W24" s="70" t="e">
        <f t="shared" ref="W24:AB24" si="91">D24/$S$24</f>
        <v>#DIV/0!</v>
      </c>
      <c r="X24" s="70" t="e">
        <f t="shared" si="91"/>
        <v>#DIV/0!</v>
      </c>
      <c r="Y24" s="70" t="e">
        <f t="shared" si="91"/>
        <v>#DIV/0!</v>
      </c>
      <c r="Z24" s="70" t="e">
        <f t="shared" si="91"/>
        <v>#DIV/0!</v>
      </c>
      <c r="AA24" s="70" t="e">
        <f t="shared" si="91"/>
        <v>#DIV/0!</v>
      </c>
      <c r="AB24" s="70" t="e">
        <f t="shared" si="91"/>
        <v>#DIV/0!</v>
      </c>
      <c r="AC24" s="70" t="e">
        <f t="shared" ref="AC24" si="92">J24/$S$24</f>
        <v>#DIV/0!</v>
      </c>
      <c r="AD24" s="70" t="e">
        <f t="shared" ref="AD24" si="93">K24/$S$24</f>
        <v>#DIV/0!</v>
      </c>
      <c r="AE24" s="70" t="e">
        <f t="shared" ref="AE24" si="94">L24/$S$24</f>
        <v>#DIV/0!</v>
      </c>
      <c r="AF24" s="70" t="e">
        <f t="shared" ref="AF24" si="95">M24/$S$24</f>
        <v>#DIV/0!</v>
      </c>
      <c r="AG24" s="70" t="e">
        <f t="shared" ref="AG24:AH24" si="96">N24/$S$24</f>
        <v>#DIV/0!</v>
      </c>
      <c r="AH24" s="70" t="e">
        <f t="shared" si="96"/>
        <v>#DIV/0!</v>
      </c>
      <c r="AI24" s="70" t="e">
        <f t="shared" ref="AI24" si="97">P24/$S$24</f>
        <v>#DIV/0!</v>
      </c>
      <c r="AJ24" s="70" t="e">
        <f t="shared" ref="AJ24" si="98">Q24/$S$24</f>
        <v>#DIV/0!</v>
      </c>
      <c r="AK24" s="70" t="e">
        <f t="shared" ref="AK24" si="99">R24/$S$24</f>
        <v>#DIV/0!</v>
      </c>
    </row>
    <row r="25" spans="2:37" x14ac:dyDescent="0.15">
      <c r="B25" s="149" t="s">
        <v>25</v>
      </c>
      <c r="C25" s="79">
        <f>SUMIFS('caseload data'!E:E,'caseload data'!$A:$A,$B25,'caseload data'!$B:$B,"custody")</f>
        <v>0</v>
      </c>
      <c r="D25" s="79">
        <f>SUMIFS('caseload data'!F:F,'caseload data'!$A:$A,$B25,'caseload data'!$B:$B,"custody")</f>
        <v>0</v>
      </c>
      <c r="E25" s="79">
        <f>SUMIFS('caseload data'!G:G,'caseload data'!$A:$A,$B25,'caseload data'!$B:$B,"custody")</f>
        <v>0</v>
      </c>
      <c r="F25" s="79">
        <f>SUMIFS('caseload data'!H:H,'caseload data'!$A:$A,$B25,'caseload data'!$B:$B,"custody")</f>
        <v>0</v>
      </c>
      <c r="G25" s="79">
        <f>SUMIFS('caseload data'!I:I,'caseload data'!$A:$A,$B25,'caseload data'!$B:$B,"custody")</f>
        <v>0</v>
      </c>
      <c r="H25" s="79">
        <f>SUMIFS('caseload data'!J:J,'caseload data'!$A:$A,$B25,'caseload data'!$B:$B,"custody")</f>
        <v>0</v>
      </c>
      <c r="I25" s="79">
        <f>SUMIFS('caseload data'!K:K,'caseload data'!$A:$A,$B25,'caseload data'!$B:$B,"custody")</f>
        <v>0</v>
      </c>
      <c r="J25" s="79">
        <f>SUMIFS('caseload data'!L:L,'caseload data'!$A:$A,$B25,'caseload data'!$B:$B,"custody")</f>
        <v>0</v>
      </c>
      <c r="K25" s="79">
        <f>SUMIFS('caseload data'!M:M,'caseload data'!$A:$A,$B25,'caseload data'!$B:$B,"custody")</f>
        <v>0</v>
      </c>
      <c r="L25" s="79">
        <f>SUMIFS('caseload data'!N:N,'caseload data'!$A:$A,$B25,'caseload data'!$B:$B,"custody")</f>
        <v>0</v>
      </c>
      <c r="M25" s="79">
        <f>SUMIFS('caseload data'!O:O,'caseload data'!$A:$A,$B25,'caseload data'!$B:$B,"custody")</f>
        <v>0</v>
      </c>
      <c r="N25" s="79">
        <f>SUMIFS('caseload data'!P:P,'caseload data'!$A:$A,$B25,'caseload data'!$B:$B,"custody")</f>
        <v>0</v>
      </c>
      <c r="O25" s="79">
        <f>SUMIFS('caseload data'!Q:Q,'caseload data'!$A:$A,$B25,'caseload data'!$B:$B,"custody")</f>
        <v>0</v>
      </c>
      <c r="P25" s="79">
        <f>SUMIFS('caseload data'!R:R,'caseload data'!$A:$A,$B25,'caseload data'!$B:$B,"custody")</f>
        <v>0</v>
      </c>
      <c r="Q25" s="79">
        <f>SUMIFS('caseload data'!S:S,'caseload data'!$A:$A,$B25,'caseload data'!$B:$B,"custody")</f>
        <v>0</v>
      </c>
      <c r="R25" s="79">
        <f>SUMIFS('caseload data'!T:T,'caseload data'!$A:$A,$B25,'caseload data'!$B:$B,"custody")</f>
        <v>0</v>
      </c>
      <c r="S25" s="79">
        <f>SUMIFS('caseload data'!V:V,'caseload data'!$A:$A,B25,'caseload data'!$B:$B,"custody")</f>
        <v>0</v>
      </c>
      <c r="T25" s="95"/>
      <c r="U25" s="149" t="s">
        <v>25</v>
      </c>
      <c r="V25" s="70" t="e">
        <f>C25/$S$25</f>
        <v>#DIV/0!</v>
      </c>
      <c r="W25" s="70" t="e">
        <f t="shared" ref="W25:AB25" si="100">D25/$S$25</f>
        <v>#DIV/0!</v>
      </c>
      <c r="X25" s="70" t="e">
        <f t="shared" si="100"/>
        <v>#DIV/0!</v>
      </c>
      <c r="Y25" s="70" t="e">
        <f t="shared" si="100"/>
        <v>#DIV/0!</v>
      </c>
      <c r="Z25" s="70" t="e">
        <f t="shared" si="100"/>
        <v>#DIV/0!</v>
      </c>
      <c r="AA25" s="70" t="e">
        <f t="shared" si="100"/>
        <v>#DIV/0!</v>
      </c>
      <c r="AB25" s="70" t="e">
        <f t="shared" si="100"/>
        <v>#DIV/0!</v>
      </c>
      <c r="AC25" s="70" t="e">
        <f t="shared" ref="AC25" si="101">J25/$S$25</f>
        <v>#DIV/0!</v>
      </c>
      <c r="AD25" s="70" t="e">
        <f t="shared" ref="AD25" si="102">K25/$S$25</f>
        <v>#DIV/0!</v>
      </c>
      <c r="AE25" s="70" t="e">
        <f t="shared" ref="AE25" si="103">L25/$S$25</f>
        <v>#DIV/0!</v>
      </c>
      <c r="AF25" s="70" t="e">
        <f t="shared" ref="AF25" si="104">M25/$S$25</f>
        <v>#DIV/0!</v>
      </c>
      <c r="AG25" s="70" t="e">
        <f t="shared" ref="AG25:AH25" si="105">N25/$S$25</f>
        <v>#DIV/0!</v>
      </c>
      <c r="AH25" s="70" t="e">
        <f t="shared" si="105"/>
        <v>#DIV/0!</v>
      </c>
      <c r="AI25" s="70" t="e">
        <f t="shared" ref="AI25" si="106">P25/$S$25</f>
        <v>#DIV/0!</v>
      </c>
      <c r="AJ25" s="70" t="e">
        <f t="shared" ref="AJ25" si="107">Q25/$S$25</f>
        <v>#DIV/0!</v>
      </c>
      <c r="AK25" s="70" t="e">
        <f t="shared" ref="AK25" si="108">R25/$S$25</f>
        <v>#DIV/0!</v>
      </c>
    </row>
    <row r="26" spans="2:37" x14ac:dyDescent="0.15">
      <c r="B26" s="149" t="s">
        <v>26</v>
      </c>
      <c r="C26" s="79">
        <f>SUMIFS('caseload data'!E:E,'caseload data'!$A:$A,$B26,'caseload data'!$B:$B,"custody")</f>
        <v>0</v>
      </c>
      <c r="D26" s="79">
        <f>SUMIFS('caseload data'!F:F,'caseload data'!$A:$A,$B26,'caseload data'!$B:$B,"custody")</f>
        <v>0</v>
      </c>
      <c r="E26" s="79">
        <f>SUMIFS('caseload data'!G:G,'caseload data'!$A:$A,$B26,'caseload data'!$B:$B,"custody")</f>
        <v>0</v>
      </c>
      <c r="F26" s="79">
        <f>SUMIFS('caseload data'!H:H,'caseload data'!$A:$A,$B26,'caseload data'!$B:$B,"custody")</f>
        <v>0</v>
      </c>
      <c r="G26" s="79">
        <f>SUMIFS('caseload data'!I:I,'caseload data'!$A:$A,$B26,'caseload data'!$B:$B,"custody")</f>
        <v>0</v>
      </c>
      <c r="H26" s="79">
        <f>SUMIFS('caseload data'!J:J,'caseload data'!$A:$A,$B26,'caseload data'!$B:$B,"custody")</f>
        <v>0</v>
      </c>
      <c r="I26" s="79">
        <f>SUMIFS('caseload data'!K:K,'caseload data'!$A:$A,$B26,'caseload data'!$B:$B,"custody")</f>
        <v>0</v>
      </c>
      <c r="J26" s="79">
        <f>SUMIFS('caseload data'!L:L,'caseload data'!$A:$A,$B26,'caseload data'!$B:$B,"custody")</f>
        <v>0</v>
      </c>
      <c r="K26" s="79">
        <f>SUMIFS('caseload data'!M:M,'caseload data'!$A:$A,$B26,'caseload data'!$B:$B,"custody")</f>
        <v>0</v>
      </c>
      <c r="L26" s="79">
        <f>SUMIFS('caseload data'!N:N,'caseload data'!$A:$A,$B26,'caseload data'!$B:$B,"custody")</f>
        <v>0</v>
      </c>
      <c r="M26" s="79">
        <f>SUMIFS('caseload data'!O:O,'caseload data'!$A:$A,$B26,'caseload data'!$B:$B,"custody")</f>
        <v>0</v>
      </c>
      <c r="N26" s="79">
        <f>SUMIFS('caseload data'!P:P,'caseload data'!$A:$A,$B26,'caseload data'!$B:$B,"custody")</f>
        <v>0</v>
      </c>
      <c r="O26" s="79">
        <f>SUMIFS('caseload data'!Q:Q,'caseload data'!$A:$A,$B26,'caseload data'!$B:$B,"custody")</f>
        <v>0</v>
      </c>
      <c r="P26" s="79">
        <f>SUMIFS('caseload data'!R:R,'caseload data'!$A:$A,$B26,'caseload data'!$B:$B,"custody")</f>
        <v>0</v>
      </c>
      <c r="Q26" s="79">
        <f>SUMIFS('caseload data'!S:S,'caseload data'!$A:$A,$B26,'caseload data'!$B:$B,"custody")</f>
        <v>0</v>
      </c>
      <c r="R26" s="79">
        <f>SUMIFS('caseload data'!T:T,'caseload data'!$A:$A,$B26,'caseload data'!$B:$B,"custody")</f>
        <v>0</v>
      </c>
      <c r="S26" s="79">
        <f>SUMIFS('caseload data'!V:V,'caseload data'!$A:$A,B26,'caseload data'!$B:$B,"custody")</f>
        <v>0</v>
      </c>
      <c r="T26" s="95"/>
      <c r="U26" s="149" t="s">
        <v>26</v>
      </c>
      <c r="V26" s="70" t="e">
        <f>C26/$S$26</f>
        <v>#DIV/0!</v>
      </c>
      <c r="W26" s="70" t="e">
        <f t="shared" ref="W26:AB26" si="109">D26/$S$26</f>
        <v>#DIV/0!</v>
      </c>
      <c r="X26" s="70" t="e">
        <f t="shared" si="109"/>
        <v>#DIV/0!</v>
      </c>
      <c r="Y26" s="70" t="e">
        <f t="shared" si="109"/>
        <v>#DIV/0!</v>
      </c>
      <c r="Z26" s="70" t="e">
        <f t="shared" si="109"/>
        <v>#DIV/0!</v>
      </c>
      <c r="AA26" s="70" t="e">
        <f t="shared" si="109"/>
        <v>#DIV/0!</v>
      </c>
      <c r="AB26" s="70" t="e">
        <f t="shared" si="109"/>
        <v>#DIV/0!</v>
      </c>
      <c r="AC26" s="70" t="e">
        <f t="shared" ref="AC26" si="110">J26/$S$26</f>
        <v>#DIV/0!</v>
      </c>
      <c r="AD26" s="70" t="e">
        <f t="shared" ref="AD26" si="111">K26/$S$26</f>
        <v>#DIV/0!</v>
      </c>
      <c r="AE26" s="70" t="e">
        <f t="shared" ref="AE26" si="112">L26/$S$26</f>
        <v>#DIV/0!</v>
      </c>
      <c r="AF26" s="70" t="e">
        <f t="shared" ref="AF26" si="113">M26/$S$26</f>
        <v>#DIV/0!</v>
      </c>
      <c r="AG26" s="70" t="e">
        <f t="shared" ref="AG26:AH26" si="114">N26/$S$26</f>
        <v>#DIV/0!</v>
      </c>
      <c r="AH26" s="70" t="e">
        <f t="shared" si="114"/>
        <v>#DIV/0!</v>
      </c>
      <c r="AI26" s="70" t="e">
        <f t="shared" ref="AI26" si="115">P26/$S$26</f>
        <v>#DIV/0!</v>
      </c>
      <c r="AJ26" s="70" t="e">
        <f t="shared" ref="AJ26" si="116">Q26/$S$26</f>
        <v>#DIV/0!</v>
      </c>
      <c r="AK26" s="70" t="e">
        <f t="shared" ref="AK26" si="117">R26/$S$26</f>
        <v>#DIV/0!</v>
      </c>
    </row>
    <row r="27" spans="2:37" x14ac:dyDescent="0.15">
      <c r="B27" s="149" t="s">
        <v>27</v>
      </c>
      <c r="C27" s="79">
        <f>SUMIFS('caseload data'!E:E,'caseload data'!$A:$A,$B27,'caseload data'!$B:$B,"custody")</f>
        <v>0</v>
      </c>
      <c r="D27" s="79">
        <f>SUMIFS('caseload data'!F:F,'caseload data'!$A:$A,$B27,'caseload data'!$B:$B,"custody")</f>
        <v>0</v>
      </c>
      <c r="E27" s="79">
        <f>SUMIFS('caseload data'!G:G,'caseload data'!$A:$A,$B27,'caseload data'!$B:$B,"custody")</f>
        <v>0</v>
      </c>
      <c r="F27" s="79">
        <f>SUMIFS('caseload data'!H:H,'caseload data'!$A:$A,$B27,'caseload data'!$B:$B,"custody")</f>
        <v>0</v>
      </c>
      <c r="G27" s="79">
        <f>SUMIFS('caseload data'!I:I,'caseload data'!$A:$A,$B27,'caseload data'!$B:$B,"custody")</f>
        <v>0</v>
      </c>
      <c r="H27" s="79">
        <f>SUMIFS('caseload data'!J:J,'caseload data'!$A:$A,$B27,'caseload data'!$B:$B,"custody")</f>
        <v>0</v>
      </c>
      <c r="I27" s="79">
        <f>SUMIFS('caseload data'!K:K,'caseload data'!$A:$A,$B27,'caseload data'!$B:$B,"custody")</f>
        <v>0</v>
      </c>
      <c r="J27" s="79">
        <f>SUMIFS('caseload data'!L:L,'caseload data'!$A:$A,$B27,'caseload data'!$B:$B,"custody")</f>
        <v>0</v>
      </c>
      <c r="K27" s="79">
        <f>SUMIFS('caseload data'!M:M,'caseload data'!$A:$A,$B27,'caseload data'!$B:$B,"custody")</f>
        <v>0</v>
      </c>
      <c r="L27" s="79">
        <f>SUMIFS('caseload data'!N:N,'caseload data'!$A:$A,$B27,'caseload data'!$B:$B,"custody")</f>
        <v>0</v>
      </c>
      <c r="M27" s="79">
        <f>SUMIFS('caseload data'!O:O,'caseload data'!$A:$A,$B27,'caseload data'!$B:$B,"custody")</f>
        <v>0</v>
      </c>
      <c r="N27" s="79">
        <f>SUMIFS('caseload data'!P:P,'caseload data'!$A:$A,$B27,'caseload data'!$B:$B,"custody")</f>
        <v>0</v>
      </c>
      <c r="O27" s="79">
        <f>SUMIFS('caseload data'!Q:Q,'caseload data'!$A:$A,$B27,'caseload data'!$B:$B,"custody")</f>
        <v>0</v>
      </c>
      <c r="P27" s="79">
        <f>SUMIFS('caseload data'!R:R,'caseload data'!$A:$A,$B27,'caseload data'!$B:$B,"custody")</f>
        <v>0</v>
      </c>
      <c r="Q27" s="79">
        <f>SUMIFS('caseload data'!S:S,'caseload data'!$A:$A,$B27,'caseload data'!$B:$B,"custody")</f>
        <v>0</v>
      </c>
      <c r="R27" s="79">
        <f>SUMIFS('caseload data'!T:T,'caseload data'!$A:$A,$B27,'caseload data'!$B:$B,"custody")</f>
        <v>0</v>
      </c>
      <c r="S27" s="79">
        <f>SUMIFS('caseload data'!V:V,'caseload data'!$A:$A,B27,'caseload data'!$B:$B,"custody")</f>
        <v>0</v>
      </c>
      <c r="T27" s="95"/>
      <c r="U27" s="149" t="s">
        <v>27</v>
      </c>
      <c r="V27" s="70" t="e">
        <f>C27/$S$27</f>
        <v>#DIV/0!</v>
      </c>
      <c r="W27" s="70" t="e">
        <f t="shared" ref="W27:AB27" si="118">D27/$S$27</f>
        <v>#DIV/0!</v>
      </c>
      <c r="X27" s="70" t="e">
        <f t="shared" si="118"/>
        <v>#DIV/0!</v>
      </c>
      <c r="Y27" s="70" t="e">
        <f t="shared" si="118"/>
        <v>#DIV/0!</v>
      </c>
      <c r="Z27" s="70" t="e">
        <f t="shared" si="118"/>
        <v>#DIV/0!</v>
      </c>
      <c r="AA27" s="70" t="e">
        <f t="shared" si="118"/>
        <v>#DIV/0!</v>
      </c>
      <c r="AB27" s="70" t="e">
        <f t="shared" si="118"/>
        <v>#DIV/0!</v>
      </c>
      <c r="AC27" s="70" t="e">
        <f t="shared" ref="AC27" si="119">J27/$S$27</f>
        <v>#DIV/0!</v>
      </c>
      <c r="AD27" s="70" t="e">
        <f t="shared" ref="AD27" si="120">K27/$S$27</f>
        <v>#DIV/0!</v>
      </c>
      <c r="AE27" s="70" t="e">
        <f t="shared" ref="AE27" si="121">L27/$S$27</f>
        <v>#DIV/0!</v>
      </c>
      <c r="AF27" s="70" t="e">
        <f t="shared" ref="AF27" si="122">M27/$S$27</f>
        <v>#DIV/0!</v>
      </c>
      <c r="AG27" s="70" t="e">
        <f t="shared" ref="AG27:AH27" si="123">N27/$S$27</f>
        <v>#DIV/0!</v>
      </c>
      <c r="AH27" s="70" t="e">
        <f t="shared" si="123"/>
        <v>#DIV/0!</v>
      </c>
      <c r="AI27" s="70" t="e">
        <f t="shared" ref="AI27" si="124">P27/$S$27</f>
        <v>#DIV/0!</v>
      </c>
      <c r="AJ27" s="70" t="e">
        <f t="shared" ref="AJ27" si="125">Q27/$S$27</f>
        <v>#DIV/0!</v>
      </c>
      <c r="AK27" s="70" t="e">
        <f t="shared" ref="AK27" si="126">R27/$S$27</f>
        <v>#DIV/0!</v>
      </c>
    </row>
    <row r="28" spans="2:37" x14ac:dyDescent="0.15">
      <c r="B28" s="149" t="s">
        <v>28</v>
      </c>
      <c r="C28" s="79">
        <f>SUMIFS('caseload data'!E:E,'caseload data'!$A:$A,$B28,'caseload data'!$B:$B,"custody")</f>
        <v>0</v>
      </c>
      <c r="D28" s="79">
        <f>SUMIFS('caseload data'!F:F,'caseload data'!$A:$A,$B28,'caseload data'!$B:$B,"custody")</f>
        <v>0</v>
      </c>
      <c r="E28" s="79">
        <f>SUMIFS('caseload data'!G:G,'caseload data'!$A:$A,$B28,'caseload data'!$B:$B,"custody")</f>
        <v>0</v>
      </c>
      <c r="F28" s="79">
        <f>SUMIFS('caseload data'!H:H,'caseload data'!$A:$A,$B28,'caseload data'!$B:$B,"custody")</f>
        <v>0</v>
      </c>
      <c r="G28" s="79">
        <f>SUMIFS('caseload data'!I:I,'caseload data'!$A:$A,$B28,'caseload data'!$B:$B,"custody")</f>
        <v>0</v>
      </c>
      <c r="H28" s="79">
        <f>SUMIFS('caseload data'!J:J,'caseload data'!$A:$A,$B28,'caseload data'!$B:$B,"custody")</f>
        <v>0</v>
      </c>
      <c r="I28" s="79">
        <f>SUMIFS('caseload data'!K:K,'caseload data'!$A:$A,$B28,'caseload data'!$B:$B,"custody")</f>
        <v>0</v>
      </c>
      <c r="J28" s="79">
        <f>SUMIFS('caseload data'!L:L,'caseload data'!$A:$A,$B28,'caseload data'!$B:$B,"custody")</f>
        <v>0</v>
      </c>
      <c r="K28" s="79">
        <f>SUMIFS('caseload data'!M:M,'caseload data'!$A:$A,$B28,'caseload data'!$B:$B,"custody")</f>
        <v>0</v>
      </c>
      <c r="L28" s="79">
        <f>SUMIFS('caseload data'!N:N,'caseload data'!$A:$A,$B28,'caseload data'!$B:$B,"custody")</f>
        <v>0</v>
      </c>
      <c r="M28" s="79">
        <f>SUMIFS('caseload data'!O:O,'caseload data'!$A:$A,$B28,'caseload data'!$B:$B,"custody")</f>
        <v>0</v>
      </c>
      <c r="N28" s="79">
        <f>SUMIFS('caseload data'!P:P,'caseload data'!$A:$A,$B28,'caseload data'!$B:$B,"custody")</f>
        <v>0</v>
      </c>
      <c r="O28" s="79">
        <f>SUMIFS('caseload data'!Q:Q,'caseload data'!$A:$A,$B28,'caseload data'!$B:$B,"custody")</f>
        <v>0</v>
      </c>
      <c r="P28" s="79">
        <f>SUMIFS('caseload data'!R:R,'caseload data'!$A:$A,$B28,'caseload data'!$B:$B,"custody")</f>
        <v>0</v>
      </c>
      <c r="Q28" s="79">
        <f>SUMIFS('caseload data'!S:S,'caseload data'!$A:$A,$B28,'caseload data'!$B:$B,"custody")</f>
        <v>0</v>
      </c>
      <c r="R28" s="79">
        <f>SUMIFS('caseload data'!T:T,'caseload data'!$A:$A,$B28,'caseload data'!$B:$B,"custody")</f>
        <v>0</v>
      </c>
      <c r="S28" s="79">
        <f>SUMIFS('caseload data'!V:V,'caseload data'!$A:$A,B28,'caseload data'!$B:$B,"custody")</f>
        <v>0</v>
      </c>
      <c r="T28" s="95"/>
      <c r="U28" s="149" t="s">
        <v>28</v>
      </c>
      <c r="V28" s="70" t="e">
        <f>C28/$S$28</f>
        <v>#DIV/0!</v>
      </c>
      <c r="W28" s="70" t="e">
        <f t="shared" ref="W28:AB28" si="127">D28/$S$28</f>
        <v>#DIV/0!</v>
      </c>
      <c r="X28" s="70" t="e">
        <f t="shared" si="127"/>
        <v>#DIV/0!</v>
      </c>
      <c r="Y28" s="70" t="e">
        <f t="shared" si="127"/>
        <v>#DIV/0!</v>
      </c>
      <c r="Z28" s="70" t="e">
        <f t="shared" si="127"/>
        <v>#DIV/0!</v>
      </c>
      <c r="AA28" s="70" t="e">
        <f t="shared" si="127"/>
        <v>#DIV/0!</v>
      </c>
      <c r="AB28" s="70" t="e">
        <f t="shared" si="127"/>
        <v>#DIV/0!</v>
      </c>
      <c r="AC28" s="70" t="e">
        <f t="shared" ref="AC28" si="128">J28/$S$28</f>
        <v>#DIV/0!</v>
      </c>
      <c r="AD28" s="70" t="e">
        <f t="shared" ref="AD28" si="129">K28/$S$28</f>
        <v>#DIV/0!</v>
      </c>
      <c r="AE28" s="70" t="e">
        <f t="shared" ref="AE28" si="130">L28/$S$28</f>
        <v>#DIV/0!</v>
      </c>
      <c r="AF28" s="70" t="e">
        <f t="shared" ref="AF28" si="131">M28/$S$28</f>
        <v>#DIV/0!</v>
      </c>
      <c r="AG28" s="70" t="e">
        <f t="shared" ref="AG28:AH28" si="132">N28/$S$28</f>
        <v>#DIV/0!</v>
      </c>
      <c r="AH28" s="70" t="e">
        <f t="shared" si="132"/>
        <v>#DIV/0!</v>
      </c>
      <c r="AI28" s="70" t="e">
        <f t="shared" ref="AI28" si="133">P28/$S$28</f>
        <v>#DIV/0!</v>
      </c>
      <c r="AJ28" s="70" t="e">
        <f t="shared" ref="AJ28" si="134">Q28/$S$28</f>
        <v>#DIV/0!</v>
      </c>
      <c r="AK28" s="70" t="e">
        <f t="shared" ref="AK28" si="135">R28/$S$28</f>
        <v>#DIV/0!</v>
      </c>
    </row>
    <row r="29" spans="2:37" x14ac:dyDescent="0.15">
      <c r="B29" s="149" t="s">
        <v>29</v>
      </c>
      <c r="C29" s="79">
        <f>SUMIFS('caseload data'!E:E,'caseload data'!$A:$A,$B29,'caseload data'!$B:$B,"custody")</f>
        <v>0</v>
      </c>
      <c r="D29" s="79">
        <f>SUMIFS('caseload data'!F:F,'caseload data'!$A:$A,$B29,'caseload data'!$B:$B,"custody")</f>
        <v>0</v>
      </c>
      <c r="E29" s="79">
        <f>SUMIFS('caseload data'!G:G,'caseload data'!$A:$A,$B29,'caseload data'!$B:$B,"custody")</f>
        <v>0</v>
      </c>
      <c r="F29" s="79">
        <f>SUMIFS('caseload data'!H:H,'caseload data'!$A:$A,$B29,'caseload data'!$B:$B,"custody")</f>
        <v>0</v>
      </c>
      <c r="G29" s="79">
        <f>SUMIFS('caseload data'!I:I,'caseload data'!$A:$A,$B29,'caseload data'!$B:$B,"custody")</f>
        <v>0</v>
      </c>
      <c r="H29" s="79">
        <f>SUMIFS('caseload data'!J:J,'caseload data'!$A:$A,$B29,'caseload data'!$B:$B,"custody")</f>
        <v>0</v>
      </c>
      <c r="I29" s="79">
        <f>SUMIFS('caseload data'!K:K,'caseload data'!$A:$A,$B29,'caseload data'!$B:$B,"custody")</f>
        <v>0</v>
      </c>
      <c r="J29" s="79">
        <f>SUMIFS('caseload data'!L:L,'caseload data'!$A:$A,$B29,'caseload data'!$B:$B,"custody")</f>
        <v>0</v>
      </c>
      <c r="K29" s="79">
        <f>SUMIFS('caseload data'!M:M,'caseload data'!$A:$A,$B29,'caseload data'!$B:$B,"custody")</f>
        <v>0</v>
      </c>
      <c r="L29" s="79">
        <f>SUMIFS('caseload data'!N:N,'caseload data'!$A:$A,$B29,'caseload data'!$B:$B,"custody")</f>
        <v>0</v>
      </c>
      <c r="M29" s="79">
        <f>SUMIFS('caseload data'!O:O,'caseload data'!$A:$A,$B29,'caseload data'!$B:$B,"custody")</f>
        <v>0</v>
      </c>
      <c r="N29" s="79">
        <f>SUMIFS('caseload data'!P:P,'caseload data'!$A:$A,$B29,'caseload data'!$B:$B,"custody")</f>
        <v>0</v>
      </c>
      <c r="O29" s="79">
        <f>SUMIFS('caseload data'!Q:Q,'caseload data'!$A:$A,$B29,'caseload data'!$B:$B,"custody")</f>
        <v>0</v>
      </c>
      <c r="P29" s="79">
        <f>SUMIFS('caseload data'!R:R,'caseload data'!$A:$A,$B29,'caseload data'!$B:$B,"custody")</f>
        <v>0</v>
      </c>
      <c r="Q29" s="79">
        <f>SUMIFS('caseload data'!S:S,'caseload data'!$A:$A,$B29,'caseload data'!$B:$B,"custody")</f>
        <v>0</v>
      </c>
      <c r="R29" s="79">
        <f>SUMIFS('caseload data'!T:T,'caseload data'!$A:$A,$B29,'caseload data'!$B:$B,"custody")</f>
        <v>0</v>
      </c>
      <c r="S29" s="79">
        <f>SUMIFS('caseload data'!V:V,'caseload data'!$A:$A,B29,'caseload data'!$B:$B,"custody")</f>
        <v>0</v>
      </c>
      <c r="T29" s="95"/>
      <c r="U29" s="149" t="s">
        <v>29</v>
      </c>
      <c r="V29" s="70" t="e">
        <f>C29/$S$29</f>
        <v>#DIV/0!</v>
      </c>
      <c r="W29" s="70" t="e">
        <f t="shared" ref="W29:AA29" si="136">D29/$S$29</f>
        <v>#DIV/0!</v>
      </c>
      <c r="X29" s="70" t="e">
        <f t="shared" si="136"/>
        <v>#DIV/0!</v>
      </c>
      <c r="Y29" s="70" t="e">
        <f t="shared" si="136"/>
        <v>#DIV/0!</v>
      </c>
      <c r="Z29" s="70" t="e">
        <f t="shared" si="136"/>
        <v>#DIV/0!</v>
      </c>
      <c r="AA29" s="70" t="e">
        <f t="shared" si="136"/>
        <v>#DIV/0!</v>
      </c>
      <c r="AB29" s="70" t="e">
        <f t="shared" ref="AB29" si="137">I29/$S$29</f>
        <v>#DIV/0!</v>
      </c>
      <c r="AC29" s="70" t="e">
        <f t="shared" ref="AC29" si="138">J29/$S$29</f>
        <v>#DIV/0!</v>
      </c>
      <c r="AD29" s="70" t="e">
        <f t="shared" ref="AD29" si="139">K29/$S$29</f>
        <v>#DIV/0!</v>
      </c>
      <c r="AE29" s="70" t="e">
        <f t="shared" ref="AE29" si="140">L29/$S$29</f>
        <v>#DIV/0!</v>
      </c>
      <c r="AF29" s="70" t="e">
        <f t="shared" ref="AF29" si="141">M29/$S$29</f>
        <v>#DIV/0!</v>
      </c>
      <c r="AG29" s="70" t="e">
        <f t="shared" ref="AG29" si="142">N29/$S$29</f>
        <v>#DIV/0!</v>
      </c>
      <c r="AH29" s="70" t="e">
        <f t="shared" ref="AH29" si="143">O29/$S$29</f>
        <v>#DIV/0!</v>
      </c>
      <c r="AI29" s="70" t="e">
        <f t="shared" ref="AI29" si="144">P29/$S$29</f>
        <v>#DIV/0!</v>
      </c>
      <c r="AJ29" s="70" t="e">
        <f t="shared" ref="AJ29" si="145">Q29/$S$29</f>
        <v>#DIV/0!</v>
      </c>
      <c r="AK29" s="70" t="e">
        <f t="shared" ref="AK29" si="146">R29/$S$29</f>
        <v>#DIV/0!</v>
      </c>
    </row>
    <row r="30" spans="2:37" x14ac:dyDescent="0.15">
      <c r="B30" s="149" t="s">
        <v>30</v>
      </c>
      <c r="C30" s="79">
        <f>SUMIFS('caseload data'!E:E,'caseload data'!$A:$A,$B30,'caseload data'!$B:$B,"custody")</f>
        <v>0</v>
      </c>
      <c r="D30" s="79">
        <f>SUMIFS('caseload data'!F:F,'caseload data'!$A:$A,$B30,'caseload data'!$B:$B,"custody")</f>
        <v>0</v>
      </c>
      <c r="E30" s="79">
        <f>SUMIFS('caseload data'!G:G,'caseload data'!$A:$A,$B30,'caseload data'!$B:$B,"custody")</f>
        <v>0</v>
      </c>
      <c r="F30" s="79">
        <f>SUMIFS('caseload data'!H:H,'caseload data'!$A:$A,$B30,'caseload data'!$B:$B,"custody")</f>
        <v>0</v>
      </c>
      <c r="G30" s="79">
        <f>SUMIFS('caseload data'!I:I,'caseload data'!$A:$A,$B30,'caseload data'!$B:$B,"custody")</f>
        <v>0</v>
      </c>
      <c r="H30" s="79">
        <f>SUMIFS('caseload data'!J:J,'caseload data'!$A:$A,$B30,'caseload data'!$B:$B,"custody")</f>
        <v>0</v>
      </c>
      <c r="I30" s="79">
        <f>SUMIFS('caseload data'!K:K,'caseload data'!$A:$A,$B30,'caseload data'!$B:$B,"custody")</f>
        <v>0</v>
      </c>
      <c r="J30" s="79">
        <f>SUMIFS('caseload data'!L:L,'caseload data'!$A:$A,$B30,'caseload data'!$B:$B,"custody")</f>
        <v>0</v>
      </c>
      <c r="K30" s="79">
        <f>SUMIFS('caseload data'!M:M,'caseload data'!$A:$A,$B30,'caseload data'!$B:$B,"custody")</f>
        <v>0</v>
      </c>
      <c r="L30" s="79">
        <f>SUMIFS('caseload data'!N:N,'caseload data'!$A:$A,$B30,'caseload data'!$B:$B,"custody")</f>
        <v>0</v>
      </c>
      <c r="M30" s="79">
        <f>SUMIFS('caseload data'!O:O,'caseload data'!$A:$A,$B30,'caseload data'!$B:$B,"custody")</f>
        <v>0</v>
      </c>
      <c r="N30" s="79">
        <f>SUMIFS('caseload data'!P:P,'caseload data'!$A:$A,$B30,'caseload data'!$B:$B,"custody")</f>
        <v>0</v>
      </c>
      <c r="O30" s="79">
        <f>SUMIFS('caseload data'!Q:Q,'caseload data'!$A:$A,$B30,'caseload data'!$B:$B,"custody")</f>
        <v>0</v>
      </c>
      <c r="P30" s="79">
        <f>SUMIFS('caseload data'!R:R,'caseload data'!$A:$A,$B30,'caseload data'!$B:$B,"custody")</f>
        <v>0</v>
      </c>
      <c r="Q30" s="79">
        <f>SUMIFS('caseload data'!S:S,'caseload data'!$A:$A,$B30,'caseload data'!$B:$B,"custody")</f>
        <v>0</v>
      </c>
      <c r="R30" s="79">
        <f>SUMIFS('caseload data'!T:T,'caseload data'!$A:$A,$B30,'caseload data'!$B:$B,"custody")</f>
        <v>0</v>
      </c>
      <c r="S30" s="79">
        <f>SUMIFS('caseload data'!V:V,'caseload data'!$A:$A,B30,'caseload data'!$B:$B,"custody")</f>
        <v>0</v>
      </c>
      <c r="T30" s="95"/>
      <c r="U30" s="149" t="s">
        <v>30</v>
      </c>
      <c r="V30" s="70" t="e">
        <f t="shared" ref="V30:AK30" si="147">C30/$S$30</f>
        <v>#DIV/0!</v>
      </c>
      <c r="W30" s="70" t="e">
        <f t="shared" si="147"/>
        <v>#DIV/0!</v>
      </c>
      <c r="X30" s="70" t="e">
        <f t="shared" si="147"/>
        <v>#DIV/0!</v>
      </c>
      <c r="Y30" s="70" t="e">
        <f t="shared" si="147"/>
        <v>#DIV/0!</v>
      </c>
      <c r="Z30" s="70" t="e">
        <f t="shared" si="147"/>
        <v>#DIV/0!</v>
      </c>
      <c r="AA30" s="70" t="e">
        <f t="shared" si="147"/>
        <v>#DIV/0!</v>
      </c>
      <c r="AB30" s="70" t="e">
        <f t="shared" si="147"/>
        <v>#DIV/0!</v>
      </c>
      <c r="AC30" s="70" t="e">
        <f t="shared" si="147"/>
        <v>#DIV/0!</v>
      </c>
      <c r="AD30" s="70" t="e">
        <f t="shared" si="147"/>
        <v>#DIV/0!</v>
      </c>
      <c r="AE30" s="70" t="e">
        <f t="shared" si="147"/>
        <v>#DIV/0!</v>
      </c>
      <c r="AF30" s="70" t="e">
        <f t="shared" si="147"/>
        <v>#DIV/0!</v>
      </c>
      <c r="AG30" s="70" t="e">
        <f t="shared" si="147"/>
        <v>#DIV/0!</v>
      </c>
      <c r="AH30" s="70" t="e">
        <f t="shared" si="147"/>
        <v>#DIV/0!</v>
      </c>
      <c r="AI30" s="70" t="e">
        <f t="shared" si="147"/>
        <v>#DIV/0!</v>
      </c>
      <c r="AJ30" s="70" t="e">
        <f t="shared" si="147"/>
        <v>#DIV/0!</v>
      </c>
      <c r="AK30" s="70" t="e">
        <f t="shared" si="147"/>
        <v>#DIV/0!</v>
      </c>
    </row>
    <row r="31" spans="2:37" x14ac:dyDescent="0.15">
      <c r="B31" s="149" t="s">
        <v>31</v>
      </c>
      <c r="C31" s="79">
        <f>SUMIFS('caseload data'!E:E,'caseload data'!$A:$A,$B31,'caseload data'!$B:$B,"custody")</f>
        <v>0</v>
      </c>
      <c r="D31" s="79">
        <f>SUMIFS('caseload data'!F:F,'caseload data'!$A:$A,$B31,'caseload data'!$B:$B,"custody")</f>
        <v>0</v>
      </c>
      <c r="E31" s="79">
        <f>SUMIFS('caseload data'!G:G,'caseload data'!$A:$A,$B31,'caseload data'!$B:$B,"custody")</f>
        <v>0</v>
      </c>
      <c r="F31" s="79">
        <f>SUMIFS('caseload data'!H:H,'caseload data'!$A:$A,$B31,'caseload data'!$B:$B,"custody")</f>
        <v>0</v>
      </c>
      <c r="G31" s="79">
        <f>SUMIFS('caseload data'!I:I,'caseload data'!$A:$A,$B31,'caseload data'!$B:$B,"custody")</f>
        <v>0</v>
      </c>
      <c r="H31" s="79">
        <f>SUMIFS('caseload data'!J:J,'caseload data'!$A:$A,$B31,'caseload data'!$B:$B,"custody")</f>
        <v>0</v>
      </c>
      <c r="I31" s="79">
        <f>SUMIFS('caseload data'!K:K,'caseload data'!$A:$A,$B31,'caseload data'!$B:$B,"custody")</f>
        <v>0</v>
      </c>
      <c r="J31" s="79">
        <f>SUMIFS('caseload data'!L:L,'caseload data'!$A:$A,$B31,'caseload data'!$B:$B,"custody")</f>
        <v>0</v>
      </c>
      <c r="K31" s="79">
        <f>SUMIFS('caseload data'!M:M,'caseload data'!$A:$A,$B31,'caseload data'!$B:$B,"custody")</f>
        <v>0</v>
      </c>
      <c r="L31" s="79">
        <f>SUMIFS('caseload data'!N:N,'caseload data'!$A:$A,$B31,'caseload data'!$B:$B,"custody")</f>
        <v>0</v>
      </c>
      <c r="M31" s="79">
        <f>SUMIFS('caseload data'!O:O,'caseload data'!$A:$A,$B31,'caseload data'!$B:$B,"custody")</f>
        <v>0</v>
      </c>
      <c r="N31" s="79">
        <f>SUMIFS('caseload data'!P:P,'caseload data'!$A:$A,$B31,'caseload data'!$B:$B,"custody")</f>
        <v>0</v>
      </c>
      <c r="O31" s="79">
        <f>SUMIFS('caseload data'!Q:Q,'caseload data'!$A:$A,$B31,'caseload data'!$B:$B,"custody")</f>
        <v>0</v>
      </c>
      <c r="P31" s="79">
        <f>SUMIFS('caseload data'!R:R,'caseload data'!$A:$A,$B31,'caseload data'!$B:$B,"custody")</f>
        <v>0</v>
      </c>
      <c r="Q31" s="79">
        <f>SUMIFS('caseload data'!S:S,'caseload data'!$A:$A,$B31,'caseload data'!$B:$B,"custody")</f>
        <v>0</v>
      </c>
      <c r="R31" s="79">
        <f>SUMIFS('caseload data'!T:T,'caseload data'!$A:$A,$B31,'caseload data'!$B:$B,"custody")</f>
        <v>0</v>
      </c>
      <c r="S31" s="79">
        <f>SUMIFS('caseload data'!V:V,'caseload data'!$A:$A,B31,'caseload data'!$B:$B,"custody")</f>
        <v>0</v>
      </c>
      <c r="T31" s="95"/>
      <c r="U31" s="149" t="s">
        <v>31</v>
      </c>
      <c r="V31" s="70" t="e">
        <f>C31/$S$31</f>
        <v>#DIV/0!</v>
      </c>
      <c r="W31" s="70" t="e">
        <f t="shared" ref="W31:AB31" si="148">D31/$S$31</f>
        <v>#DIV/0!</v>
      </c>
      <c r="X31" s="70" t="e">
        <f t="shared" si="148"/>
        <v>#DIV/0!</v>
      </c>
      <c r="Y31" s="70" t="e">
        <f t="shared" si="148"/>
        <v>#DIV/0!</v>
      </c>
      <c r="Z31" s="70" t="e">
        <f t="shared" si="148"/>
        <v>#DIV/0!</v>
      </c>
      <c r="AA31" s="70" t="e">
        <f t="shared" si="148"/>
        <v>#DIV/0!</v>
      </c>
      <c r="AB31" s="70" t="e">
        <f t="shared" si="148"/>
        <v>#DIV/0!</v>
      </c>
      <c r="AC31" s="70" t="e">
        <f t="shared" ref="AC31" si="149">J31/$S$31</f>
        <v>#DIV/0!</v>
      </c>
      <c r="AD31" s="70" t="e">
        <f t="shared" ref="AD31" si="150">K31/$S$31</f>
        <v>#DIV/0!</v>
      </c>
      <c r="AE31" s="70" t="e">
        <f t="shared" ref="AE31" si="151">L31/$S$31</f>
        <v>#DIV/0!</v>
      </c>
      <c r="AF31" s="70" t="e">
        <f t="shared" ref="AF31" si="152">M31/$S$31</f>
        <v>#DIV/0!</v>
      </c>
      <c r="AG31" s="70" t="e">
        <f t="shared" ref="AG31:AH31" si="153">N31/$S$31</f>
        <v>#DIV/0!</v>
      </c>
      <c r="AH31" s="70" t="e">
        <f t="shared" si="153"/>
        <v>#DIV/0!</v>
      </c>
      <c r="AI31" s="70" t="e">
        <f t="shared" ref="AI31" si="154">P31/$S$31</f>
        <v>#DIV/0!</v>
      </c>
      <c r="AJ31" s="70" t="e">
        <f t="shared" ref="AJ31" si="155">Q31/$S$31</f>
        <v>#DIV/0!</v>
      </c>
      <c r="AK31" s="70" t="e">
        <f t="shared" ref="AK31" si="156">R31/$S$31</f>
        <v>#DIV/0!</v>
      </c>
    </row>
    <row r="32" spans="2:37" x14ac:dyDescent="0.15">
      <c r="B32" s="149" t="s">
        <v>32</v>
      </c>
      <c r="C32" s="79">
        <f>SUMIFS('caseload data'!E:E,'caseload data'!$A:$A,$B32,'caseload data'!$B:$B,"custody")</f>
        <v>0</v>
      </c>
      <c r="D32" s="79">
        <f>SUMIFS('caseload data'!F:F,'caseload data'!$A:$A,$B32,'caseload data'!$B:$B,"custody")</f>
        <v>0</v>
      </c>
      <c r="E32" s="79">
        <f>SUMIFS('caseload data'!G:G,'caseload data'!$A:$A,$B32,'caseload data'!$B:$B,"custody")</f>
        <v>0</v>
      </c>
      <c r="F32" s="79">
        <f>SUMIFS('caseload data'!H:H,'caseload data'!$A:$A,$B32,'caseload data'!$B:$B,"custody")</f>
        <v>0</v>
      </c>
      <c r="G32" s="79">
        <f>SUMIFS('caseload data'!I:I,'caseload data'!$A:$A,$B32,'caseload data'!$B:$B,"custody")</f>
        <v>0</v>
      </c>
      <c r="H32" s="79">
        <f>SUMIFS('caseload data'!J:J,'caseload data'!$A:$A,$B32,'caseload data'!$B:$B,"custody")</f>
        <v>0</v>
      </c>
      <c r="I32" s="79">
        <f>SUMIFS('caseload data'!K:K,'caseload data'!$A:$A,$B32,'caseload data'!$B:$B,"custody")</f>
        <v>0</v>
      </c>
      <c r="J32" s="79">
        <f>SUMIFS('caseload data'!L:L,'caseload data'!$A:$A,$B32,'caseload data'!$B:$B,"custody")</f>
        <v>0</v>
      </c>
      <c r="K32" s="79">
        <f>SUMIFS('caseload data'!M:M,'caseload data'!$A:$A,$B32,'caseload data'!$B:$B,"custody")</f>
        <v>0</v>
      </c>
      <c r="L32" s="79">
        <f>SUMIFS('caseload data'!N:N,'caseload data'!$A:$A,$B32,'caseload data'!$B:$B,"custody")</f>
        <v>0</v>
      </c>
      <c r="M32" s="79">
        <f>SUMIFS('caseload data'!O:O,'caseload data'!$A:$A,$B32,'caseload data'!$B:$B,"custody")</f>
        <v>0</v>
      </c>
      <c r="N32" s="79">
        <f>SUMIFS('caseload data'!P:P,'caseload data'!$A:$A,$B32,'caseload data'!$B:$B,"custody")</f>
        <v>0</v>
      </c>
      <c r="O32" s="79">
        <f>SUMIFS('caseload data'!Q:Q,'caseload data'!$A:$A,$B32,'caseload data'!$B:$B,"custody")</f>
        <v>0</v>
      </c>
      <c r="P32" s="79">
        <f>SUMIFS('caseload data'!R:R,'caseload data'!$A:$A,$B32,'caseload data'!$B:$B,"custody")</f>
        <v>0</v>
      </c>
      <c r="Q32" s="79">
        <f>SUMIFS('caseload data'!S:S,'caseload data'!$A:$A,$B32,'caseload data'!$B:$B,"custody")</f>
        <v>0</v>
      </c>
      <c r="R32" s="79">
        <f>SUMIFS('caseload data'!T:T,'caseload data'!$A:$A,$B32,'caseload data'!$B:$B,"custody")</f>
        <v>0</v>
      </c>
      <c r="S32" s="79">
        <f>SUMIFS('caseload data'!V:V,'caseload data'!$A:$A,B32,'caseload data'!$B:$B,"custody")</f>
        <v>0</v>
      </c>
      <c r="T32" s="95"/>
      <c r="U32" s="149" t="s">
        <v>32</v>
      </c>
      <c r="V32" s="70" t="e">
        <f>C32/$S$32</f>
        <v>#DIV/0!</v>
      </c>
      <c r="W32" s="70" t="e">
        <f t="shared" ref="W32:AB32" si="157">D32/$S$32</f>
        <v>#DIV/0!</v>
      </c>
      <c r="X32" s="70" t="e">
        <f t="shared" si="157"/>
        <v>#DIV/0!</v>
      </c>
      <c r="Y32" s="70" t="e">
        <f t="shared" si="157"/>
        <v>#DIV/0!</v>
      </c>
      <c r="Z32" s="70" t="e">
        <f t="shared" si="157"/>
        <v>#DIV/0!</v>
      </c>
      <c r="AA32" s="70" t="e">
        <f t="shared" si="157"/>
        <v>#DIV/0!</v>
      </c>
      <c r="AB32" s="70" t="e">
        <f t="shared" si="157"/>
        <v>#DIV/0!</v>
      </c>
      <c r="AC32" s="70" t="e">
        <f t="shared" ref="AC32" si="158">J32/$S$32</f>
        <v>#DIV/0!</v>
      </c>
      <c r="AD32" s="70" t="e">
        <f t="shared" ref="AD32" si="159">K32/$S$32</f>
        <v>#DIV/0!</v>
      </c>
      <c r="AE32" s="70" t="e">
        <f t="shared" ref="AE32" si="160">L32/$S$32</f>
        <v>#DIV/0!</v>
      </c>
      <c r="AF32" s="70" t="e">
        <f t="shared" ref="AF32" si="161">M32/$S$32</f>
        <v>#DIV/0!</v>
      </c>
      <c r="AG32" s="70" t="e">
        <f t="shared" ref="AG32:AH32" si="162">N32/$S$32</f>
        <v>#DIV/0!</v>
      </c>
      <c r="AH32" s="70" t="e">
        <f t="shared" si="162"/>
        <v>#DIV/0!</v>
      </c>
      <c r="AI32" s="70" t="e">
        <f t="shared" ref="AI32" si="163">P32/$S$32</f>
        <v>#DIV/0!</v>
      </c>
      <c r="AJ32" s="70" t="e">
        <f t="shared" ref="AJ32" si="164">Q32/$S$32</f>
        <v>#DIV/0!</v>
      </c>
      <c r="AK32" s="70" t="e">
        <f t="shared" ref="AK32" si="165">R32/$S$32</f>
        <v>#DIV/0!</v>
      </c>
    </row>
    <row r="33" spans="2:37" x14ac:dyDescent="0.15">
      <c r="B33" s="149" t="s">
        <v>33</v>
      </c>
      <c r="C33" s="79">
        <f>SUMIFS('caseload data'!E:E,'caseload data'!$A:$A,$B33,'caseload data'!$B:$B,"custody")</f>
        <v>0</v>
      </c>
      <c r="D33" s="79">
        <f>SUMIFS('caseload data'!F:F,'caseload data'!$A:$A,$B33,'caseload data'!$B:$B,"custody")</f>
        <v>0</v>
      </c>
      <c r="E33" s="79">
        <f>SUMIFS('caseload data'!G:G,'caseload data'!$A:$A,$B33,'caseload data'!$B:$B,"custody")</f>
        <v>0</v>
      </c>
      <c r="F33" s="79">
        <f>SUMIFS('caseload data'!H:H,'caseload data'!$A:$A,$B33,'caseload data'!$B:$B,"custody")</f>
        <v>0</v>
      </c>
      <c r="G33" s="79">
        <f>SUMIFS('caseload data'!I:I,'caseload data'!$A:$A,$B33,'caseload data'!$B:$B,"custody")</f>
        <v>0</v>
      </c>
      <c r="H33" s="79">
        <f>SUMIFS('caseload data'!J:J,'caseload data'!$A:$A,$B33,'caseload data'!$B:$B,"custody")</f>
        <v>0</v>
      </c>
      <c r="I33" s="79">
        <f>SUMIFS('caseload data'!K:K,'caseload data'!$A:$A,$B33,'caseload data'!$B:$B,"custody")</f>
        <v>0</v>
      </c>
      <c r="J33" s="79">
        <f>SUMIFS('caseload data'!L:L,'caseload data'!$A:$A,$B33,'caseload data'!$B:$B,"custody")</f>
        <v>0</v>
      </c>
      <c r="K33" s="79">
        <f>SUMIFS('caseload data'!M:M,'caseload data'!$A:$A,$B33,'caseload data'!$B:$B,"custody")</f>
        <v>0</v>
      </c>
      <c r="L33" s="79">
        <f>SUMIFS('caseload data'!N:N,'caseload data'!$A:$A,$B33,'caseload data'!$B:$B,"custody")</f>
        <v>0</v>
      </c>
      <c r="M33" s="79">
        <f>SUMIFS('caseload data'!O:O,'caseload data'!$A:$A,$B33,'caseload data'!$B:$B,"custody")</f>
        <v>0</v>
      </c>
      <c r="N33" s="79">
        <f>SUMIFS('caseload data'!P:P,'caseload data'!$A:$A,$B33,'caseload data'!$B:$B,"custody")</f>
        <v>0</v>
      </c>
      <c r="O33" s="79">
        <f>SUMIFS('caseload data'!Q:Q,'caseload data'!$A:$A,$B33,'caseload data'!$B:$B,"custody")</f>
        <v>0</v>
      </c>
      <c r="P33" s="79">
        <f>SUMIFS('caseload data'!R:R,'caseload data'!$A:$A,$B33,'caseload data'!$B:$B,"custody")</f>
        <v>0</v>
      </c>
      <c r="Q33" s="79">
        <f>SUMIFS('caseload data'!S:S,'caseload data'!$A:$A,$B33,'caseload data'!$B:$B,"custody")</f>
        <v>0</v>
      </c>
      <c r="R33" s="79">
        <f>SUMIFS('caseload data'!T:T,'caseload data'!$A:$A,$B33,'caseload data'!$B:$B,"custody")</f>
        <v>0</v>
      </c>
      <c r="S33" s="79">
        <f>SUMIFS('caseload data'!V:V,'caseload data'!$A:$A,B33,'caseload data'!$B:$B,"custody")</f>
        <v>0</v>
      </c>
      <c r="T33" s="95"/>
      <c r="U33" s="149" t="s">
        <v>33</v>
      </c>
      <c r="V33" s="70" t="e">
        <f>C33/$S$33</f>
        <v>#DIV/0!</v>
      </c>
      <c r="W33" s="70" t="e">
        <f t="shared" ref="W33:AB33" si="166">D33/$S$33</f>
        <v>#DIV/0!</v>
      </c>
      <c r="X33" s="70" t="e">
        <f t="shared" si="166"/>
        <v>#DIV/0!</v>
      </c>
      <c r="Y33" s="70" t="e">
        <f t="shared" si="166"/>
        <v>#DIV/0!</v>
      </c>
      <c r="Z33" s="70" t="e">
        <f t="shared" si="166"/>
        <v>#DIV/0!</v>
      </c>
      <c r="AA33" s="70" t="e">
        <f t="shared" si="166"/>
        <v>#DIV/0!</v>
      </c>
      <c r="AB33" s="70" t="e">
        <f t="shared" si="166"/>
        <v>#DIV/0!</v>
      </c>
      <c r="AC33" s="70" t="e">
        <f t="shared" ref="AC33" si="167">J33/$S$33</f>
        <v>#DIV/0!</v>
      </c>
      <c r="AD33" s="70" t="e">
        <f t="shared" ref="AD33" si="168">K33/$S$33</f>
        <v>#DIV/0!</v>
      </c>
      <c r="AE33" s="70" t="e">
        <f t="shared" ref="AE33" si="169">L33/$S$33</f>
        <v>#DIV/0!</v>
      </c>
      <c r="AF33" s="70" t="e">
        <f t="shared" ref="AF33" si="170">M33/$S$33</f>
        <v>#DIV/0!</v>
      </c>
      <c r="AG33" s="70" t="e">
        <f t="shared" ref="AG33:AH33" si="171">N33/$S$33</f>
        <v>#DIV/0!</v>
      </c>
      <c r="AH33" s="70" t="e">
        <f t="shared" si="171"/>
        <v>#DIV/0!</v>
      </c>
      <c r="AI33" s="70" t="e">
        <f t="shared" ref="AI33" si="172">P33/$S$33</f>
        <v>#DIV/0!</v>
      </c>
      <c r="AJ33" s="70" t="e">
        <f t="shared" ref="AJ33" si="173">Q33/$S$33</f>
        <v>#DIV/0!</v>
      </c>
      <c r="AK33" s="70" t="e">
        <f t="shared" ref="AK33" si="174">R33/$S$33</f>
        <v>#DIV/0!</v>
      </c>
    </row>
    <row r="34" spans="2:37" x14ac:dyDescent="0.15">
      <c r="B34" s="149" t="s">
        <v>34</v>
      </c>
      <c r="C34" s="79">
        <f>SUMIFS('caseload data'!E:E,'caseload data'!$A:$A,$B34,'caseload data'!$B:$B,"custody")</f>
        <v>0</v>
      </c>
      <c r="D34" s="79">
        <f>SUMIFS('caseload data'!F:F,'caseload data'!$A:$A,$B34,'caseload data'!$B:$B,"custody")</f>
        <v>0</v>
      </c>
      <c r="E34" s="79">
        <f>SUMIFS('caseload data'!G:G,'caseload data'!$A:$A,$B34,'caseload data'!$B:$B,"custody")</f>
        <v>0</v>
      </c>
      <c r="F34" s="79">
        <f>SUMIFS('caseload data'!H:H,'caseload data'!$A:$A,$B34,'caseload data'!$B:$B,"custody")</f>
        <v>0</v>
      </c>
      <c r="G34" s="79">
        <f>SUMIFS('caseload data'!I:I,'caseload data'!$A:$A,$B34,'caseload data'!$B:$B,"custody")</f>
        <v>0</v>
      </c>
      <c r="H34" s="79">
        <f>SUMIFS('caseload data'!J:J,'caseload data'!$A:$A,$B34,'caseload data'!$B:$B,"custody")</f>
        <v>0</v>
      </c>
      <c r="I34" s="79">
        <f>SUMIFS('caseload data'!K:K,'caseload data'!$A:$A,$B34,'caseload data'!$B:$B,"custody")</f>
        <v>0</v>
      </c>
      <c r="J34" s="79">
        <f>SUMIFS('caseload data'!L:L,'caseload data'!$A:$A,$B34,'caseload data'!$B:$B,"custody")</f>
        <v>0</v>
      </c>
      <c r="K34" s="79">
        <f>SUMIFS('caseload data'!M:M,'caseload data'!$A:$A,$B34,'caseload data'!$B:$B,"custody")</f>
        <v>0</v>
      </c>
      <c r="L34" s="79">
        <f>SUMIFS('caseload data'!N:N,'caseload data'!$A:$A,$B34,'caseload data'!$B:$B,"custody")</f>
        <v>0</v>
      </c>
      <c r="M34" s="79">
        <f>SUMIFS('caseload data'!O:O,'caseload data'!$A:$A,$B34,'caseload data'!$B:$B,"custody")</f>
        <v>0</v>
      </c>
      <c r="N34" s="79">
        <f>SUMIFS('caseload data'!P:P,'caseload data'!$A:$A,$B34,'caseload data'!$B:$B,"custody")</f>
        <v>0</v>
      </c>
      <c r="O34" s="79">
        <f>SUMIFS('caseload data'!Q:Q,'caseload data'!$A:$A,$B34,'caseload data'!$B:$B,"custody")</f>
        <v>0</v>
      </c>
      <c r="P34" s="79">
        <f>SUMIFS('caseload data'!R:R,'caseload data'!$A:$A,$B34,'caseload data'!$B:$B,"custody")</f>
        <v>0</v>
      </c>
      <c r="Q34" s="79">
        <f>SUMIFS('caseload data'!S:S,'caseload data'!$A:$A,$B34,'caseload data'!$B:$B,"custody")</f>
        <v>0</v>
      </c>
      <c r="R34" s="79">
        <f>SUMIFS('caseload data'!T:T,'caseload data'!$A:$A,$B34,'caseload data'!$B:$B,"custody")</f>
        <v>0</v>
      </c>
      <c r="S34" s="79">
        <f>SUMIFS('caseload data'!V:V,'caseload data'!$A:$A,B34,'caseload data'!$B:$B,"custody")</f>
        <v>0</v>
      </c>
      <c r="T34" s="95"/>
      <c r="U34" s="149" t="s">
        <v>34</v>
      </c>
      <c r="V34" s="70" t="e">
        <f>C34/$S$34</f>
        <v>#DIV/0!</v>
      </c>
      <c r="W34" s="70" t="e">
        <f t="shared" ref="W34:AB34" si="175">D34/$S$34</f>
        <v>#DIV/0!</v>
      </c>
      <c r="X34" s="70" t="e">
        <f t="shared" si="175"/>
        <v>#DIV/0!</v>
      </c>
      <c r="Y34" s="70" t="e">
        <f t="shared" si="175"/>
        <v>#DIV/0!</v>
      </c>
      <c r="Z34" s="70" t="e">
        <f t="shared" si="175"/>
        <v>#DIV/0!</v>
      </c>
      <c r="AA34" s="70" t="e">
        <f t="shared" si="175"/>
        <v>#DIV/0!</v>
      </c>
      <c r="AB34" s="70" t="e">
        <f t="shared" si="175"/>
        <v>#DIV/0!</v>
      </c>
      <c r="AC34" s="70" t="e">
        <f t="shared" ref="AC34" si="176">J34/$S$34</f>
        <v>#DIV/0!</v>
      </c>
      <c r="AD34" s="70" t="e">
        <f t="shared" ref="AD34" si="177">K34/$S$34</f>
        <v>#DIV/0!</v>
      </c>
      <c r="AE34" s="70" t="e">
        <f t="shared" ref="AE34" si="178">L34/$S$34</f>
        <v>#DIV/0!</v>
      </c>
      <c r="AF34" s="70" t="e">
        <f t="shared" ref="AF34" si="179">M34/$S$34</f>
        <v>#DIV/0!</v>
      </c>
      <c r="AG34" s="70" t="e">
        <f t="shared" ref="AG34:AH34" si="180">N34/$S$34</f>
        <v>#DIV/0!</v>
      </c>
      <c r="AH34" s="70" t="e">
        <f t="shared" si="180"/>
        <v>#DIV/0!</v>
      </c>
      <c r="AI34" s="70" t="e">
        <f t="shared" ref="AI34" si="181">P34/$S$34</f>
        <v>#DIV/0!</v>
      </c>
      <c r="AJ34" s="70" t="e">
        <f t="shared" ref="AJ34" si="182">Q34/$S$34</f>
        <v>#DIV/0!</v>
      </c>
      <c r="AK34" s="70" t="e">
        <f t="shared" ref="AK34" si="183">R34/$S$34</f>
        <v>#DIV/0!</v>
      </c>
    </row>
    <row r="35" spans="2:37" x14ac:dyDescent="0.15">
      <c r="B35" s="114" t="s">
        <v>1262</v>
      </c>
      <c r="C35" s="114">
        <f>SUMIF('caseload data'!$B:$B,"custody",'caseload data'!E:E)</f>
        <v>0</v>
      </c>
      <c r="D35" s="114">
        <f>SUMIF('caseload data'!$B:$B,"custody",'caseload data'!F:F)</f>
        <v>0</v>
      </c>
      <c r="E35" s="114">
        <f>SUMIF('caseload data'!$B:$B,"custody",'caseload data'!G:G)</f>
        <v>0</v>
      </c>
      <c r="F35" s="114">
        <f>SUMIF('caseload data'!$B:$B,"custody",'caseload data'!H:H)</f>
        <v>0</v>
      </c>
      <c r="G35" s="114">
        <f>SUMIF('caseload data'!$B:$B,"custody",'caseload data'!I:I)</f>
        <v>0</v>
      </c>
      <c r="H35" s="114">
        <f>SUMIF('caseload data'!$B:$B,"custody",'caseload data'!J:J)</f>
        <v>0</v>
      </c>
      <c r="I35" s="114">
        <f>SUMIF('caseload data'!$B:$B,"custody",'caseload data'!K:K)</f>
        <v>0</v>
      </c>
      <c r="J35" s="114">
        <f>SUMIF('caseload data'!$B:$B,"custody",'caseload data'!L:L)</f>
        <v>0</v>
      </c>
      <c r="K35" s="114">
        <f>SUMIF('caseload data'!$B:$B,"custody",'caseload data'!M:M)</f>
        <v>0</v>
      </c>
      <c r="L35" s="114">
        <f>SUMIF('caseload data'!$B:$B,"custody",'caseload data'!N:N)</f>
        <v>0</v>
      </c>
      <c r="M35" s="114">
        <f>SUMIF('caseload data'!$B:$B,"custody",'caseload data'!O:O)</f>
        <v>0</v>
      </c>
      <c r="N35" s="114">
        <f>SUMIF('caseload data'!$B:$B,"custody",'caseload data'!P:P)</f>
        <v>0</v>
      </c>
      <c r="O35" s="114">
        <f>SUMIF('caseload data'!$B:$B,"custody",'caseload data'!Q:Q)</f>
        <v>0</v>
      </c>
      <c r="P35" s="114">
        <f>SUMIF('caseload data'!$B:$B,"custody",'caseload data'!R:R)</f>
        <v>0</v>
      </c>
      <c r="Q35" s="114">
        <f>SUMIF('caseload data'!$B:$B,"custody",'caseload data'!S:S)</f>
        <v>0</v>
      </c>
      <c r="R35" s="114">
        <f>SUMIF('caseload data'!$B:$B,"custody",'caseload data'!T:T)</f>
        <v>0</v>
      </c>
      <c r="S35" s="114">
        <f>SUMIF('caseload data'!$B:$B,"custody",'caseload data'!V:V)</f>
        <v>0</v>
      </c>
      <c r="T35" s="95"/>
      <c r="U35" s="114" t="s">
        <v>1262</v>
      </c>
      <c r="V35" s="119" t="e">
        <f>C35/$S$35</f>
        <v>#DIV/0!</v>
      </c>
      <c r="W35" s="119" t="e">
        <f t="shared" ref="W35:AB35" si="184">D35/$S$35</f>
        <v>#DIV/0!</v>
      </c>
      <c r="X35" s="119" t="e">
        <f t="shared" si="184"/>
        <v>#DIV/0!</v>
      </c>
      <c r="Y35" s="119" t="e">
        <f t="shared" si="184"/>
        <v>#DIV/0!</v>
      </c>
      <c r="Z35" s="119" t="e">
        <f t="shared" si="184"/>
        <v>#DIV/0!</v>
      </c>
      <c r="AA35" s="119" t="e">
        <f t="shared" si="184"/>
        <v>#DIV/0!</v>
      </c>
      <c r="AB35" s="119" t="e">
        <f t="shared" si="184"/>
        <v>#DIV/0!</v>
      </c>
      <c r="AC35" s="119" t="e">
        <f t="shared" ref="AC35" si="185">J35/$S$35</f>
        <v>#DIV/0!</v>
      </c>
      <c r="AD35" s="119" t="e">
        <f t="shared" ref="AD35" si="186">K35/$S$35</f>
        <v>#DIV/0!</v>
      </c>
      <c r="AE35" s="119" t="e">
        <f t="shared" ref="AE35" si="187">L35/$S$35</f>
        <v>#DIV/0!</v>
      </c>
      <c r="AF35" s="119" t="e">
        <f t="shared" ref="AF35" si="188">M35/$S$35</f>
        <v>#DIV/0!</v>
      </c>
      <c r="AG35" s="119" t="e">
        <f t="shared" ref="AG35:AH35" si="189">N35/$S$35</f>
        <v>#DIV/0!</v>
      </c>
      <c r="AH35" s="119" t="e">
        <f t="shared" si="189"/>
        <v>#DIV/0!</v>
      </c>
      <c r="AI35" s="119" t="e">
        <f t="shared" ref="AI35" si="190">P35/$S$35</f>
        <v>#DIV/0!</v>
      </c>
      <c r="AJ35" s="119" t="e">
        <f t="shared" ref="AJ35" si="191">Q35/$S$35</f>
        <v>#DIV/0!</v>
      </c>
      <c r="AK35" s="119" t="e">
        <f t="shared" ref="AK35" si="192">R35/$S$35</f>
        <v>#DIV/0!</v>
      </c>
    </row>
    <row r="38" spans="2:37" ht="18" x14ac:dyDescent="0.2">
      <c r="C38" s="455" t="s">
        <v>1265</v>
      </c>
      <c r="D38" s="456"/>
      <c r="E38" s="456"/>
      <c r="F38" s="456"/>
      <c r="G38" s="456"/>
      <c r="H38" s="456"/>
      <c r="I38" s="456"/>
      <c r="J38" s="456"/>
      <c r="K38" s="456"/>
      <c r="L38" s="456"/>
      <c r="M38" s="456"/>
      <c r="N38" s="456"/>
      <c r="O38" s="456"/>
      <c r="P38" s="456"/>
      <c r="Q38" s="456"/>
      <c r="R38" s="456"/>
      <c r="S38" s="457"/>
      <c r="T38" s="1"/>
      <c r="U38" s="1"/>
      <c r="V38" s="455" t="s">
        <v>1266</v>
      </c>
      <c r="W38" s="456"/>
      <c r="X38" s="456"/>
      <c r="Y38" s="456"/>
      <c r="Z38" s="456"/>
      <c r="AA38" s="456"/>
      <c r="AB38" s="456"/>
      <c r="AC38" s="456"/>
      <c r="AD38" s="456"/>
      <c r="AE38" s="456"/>
      <c r="AF38" s="456"/>
      <c r="AG38" s="456"/>
      <c r="AH38" s="456"/>
      <c r="AI38" s="456"/>
      <c r="AJ38" s="456"/>
      <c r="AK38" s="456"/>
    </row>
    <row r="39" spans="2:37" ht="18.75" customHeight="1" x14ac:dyDescent="0.15">
      <c r="B39" s="147"/>
      <c r="C39" s="40" t="s">
        <v>1022</v>
      </c>
      <c r="D39" s="40" t="s">
        <v>1023</v>
      </c>
      <c r="E39" s="40" t="s">
        <v>1024</v>
      </c>
      <c r="F39" s="40" t="s">
        <v>1025</v>
      </c>
      <c r="G39" s="40" t="s">
        <v>1026</v>
      </c>
      <c r="H39" s="40" t="s">
        <v>1027</v>
      </c>
      <c r="I39" s="40" t="s">
        <v>1028</v>
      </c>
      <c r="J39" s="40" t="s">
        <v>1029</v>
      </c>
      <c r="K39" s="40" t="s">
        <v>1030</v>
      </c>
      <c r="L39" s="40" t="s">
        <v>1031</v>
      </c>
      <c r="M39" s="40" t="s">
        <v>1032</v>
      </c>
      <c r="N39" s="40" t="s">
        <v>1033</v>
      </c>
      <c r="O39" s="40" t="s">
        <v>1034</v>
      </c>
      <c r="P39" s="40" t="s">
        <v>1035</v>
      </c>
      <c r="Q39" s="40" t="s">
        <v>1036</v>
      </c>
      <c r="R39" s="40" t="s">
        <v>1037</v>
      </c>
      <c r="S39" s="41" t="s">
        <v>1039</v>
      </c>
      <c r="T39" s="95"/>
      <c r="U39" s="239"/>
      <c r="V39" s="40" t="s">
        <v>1022</v>
      </c>
      <c r="W39" s="40" t="s">
        <v>1023</v>
      </c>
      <c r="X39" s="40" t="s">
        <v>1024</v>
      </c>
      <c r="Y39" s="40" t="s">
        <v>1025</v>
      </c>
      <c r="Z39" s="40" t="s">
        <v>1026</v>
      </c>
      <c r="AA39" s="40" t="s">
        <v>1027</v>
      </c>
      <c r="AB39" s="40" t="s">
        <v>1028</v>
      </c>
      <c r="AC39" s="40" t="s">
        <v>1029</v>
      </c>
      <c r="AD39" s="40" t="s">
        <v>1030</v>
      </c>
      <c r="AE39" s="40" t="s">
        <v>1031</v>
      </c>
      <c r="AF39" s="40" t="s">
        <v>1032</v>
      </c>
      <c r="AG39" s="40" t="s">
        <v>1033</v>
      </c>
      <c r="AH39" s="40" t="s">
        <v>1034</v>
      </c>
      <c r="AI39" s="40" t="s">
        <v>1035</v>
      </c>
      <c r="AJ39" s="40" t="s">
        <v>1036</v>
      </c>
      <c r="AK39" s="40" t="s">
        <v>1037</v>
      </c>
    </row>
    <row r="40" spans="2:37" x14ac:dyDescent="0.15">
      <c r="B40" s="149" t="s">
        <v>23</v>
      </c>
      <c r="C40" s="79">
        <f>SUMIFS('caseload data'!E:E,'caseload data'!$A:$A,$B40,'caseload data'!$B:$B,"licence")</f>
        <v>0</v>
      </c>
      <c r="D40" s="79">
        <f>SUMIFS('caseload data'!F:F,'caseload data'!$A:$A,$B40,'caseload data'!$B:$B,"licence")</f>
        <v>0</v>
      </c>
      <c r="E40" s="79">
        <f>SUMIFS('caseload data'!G:G,'caseload data'!$A:$A,$B40,'caseload data'!$B:$B,"licence")</f>
        <v>0</v>
      </c>
      <c r="F40" s="79">
        <f>SUMIFS('caseload data'!H:H,'caseload data'!$A:$A,$B40,'caseload data'!$B:$B,"licence")</f>
        <v>0</v>
      </c>
      <c r="G40" s="79">
        <f>SUMIFS('caseload data'!I:I,'caseload data'!$A:$A,$B40,'caseload data'!$B:$B,"licence")</f>
        <v>0</v>
      </c>
      <c r="H40" s="79">
        <f>SUMIFS('caseload data'!J:J,'caseload data'!$A:$A,$B40,'caseload data'!$B:$B,"licence")</f>
        <v>0</v>
      </c>
      <c r="I40" s="79">
        <f>SUMIFS('caseload data'!K:K,'caseload data'!$A:$A,$B40,'caseload data'!$B:$B,"licence")</f>
        <v>0</v>
      </c>
      <c r="J40" s="79">
        <f>SUMIFS('caseload data'!L:L,'caseload data'!$A:$A,$B40,'caseload data'!$B:$B,"licence")</f>
        <v>0</v>
      </c>
      <c r="K40" s="79">
        <f>SUMIFS('caseload data'!M:M,'caseload data'!$A:$A,$B40,'caseload data'!$B:$B,"licence")</f>
        <v>0</v>
      </c>
      <c r="L40" s="79">
        <f>SUMIFS('caseload data'!N:N,'caseload data'!$A:$A,$B40,'caseload data'!$B:$B,"licence")</f>
        <v>0</v>
      </c>
      <c r="M40" s="79">
        <f>SUMIFS('caseload data'!O:O,'caseload data'!$A:$A,$B40,'caseload data'!$B:$B,"licence")</f>
        <v>0</v>
      </c>
      <c r="N40" s="79">
        <f>SUMIFS('caseload data'!P:P,'caseload data'!$A:$A,$B40,'caseload data'!$B:$B,"licence")</f>
        <v>0</v>
      </c>
      <c r="O40" s="79">
        <f>SUMIFS('caseload data'!Q:Q,'caseload data'!$A:$A,$B40,'caseload data'!$B:$B,"licence")</f>
        <v>0</v>
      </c>
      <c r="P40" s="79">
        <f>SUMIFS('caseload data'!R:R,'caseload data'!$A:$A,$B40,'caseload data'!$B:$B,"licence")</f>
        <v>0</v>
      </c>
      <c r="Q40" s="79">
        <f>SUMIFS('caseload data'!S:S,'caseload data'!$A:$A,$B40,'caseload data'!$B:$B,"licence")</f>
        <v>0</v>
      </c>
      <c r="R40" s="79">
        <f>SUMIFS('caseload data'!T:T,'caseload data'!$A:$A,$B40,'caseload data'!$B:$B,"licence")</f>
        <v>0</v>
      </c>
      <c r="S40" s="79">
        <f>SUMIFS('caseload data'!V:V,'caseload data'!$A:$A,B40,'caseload data'!$B:$B,"licence")</f>
        <v>0</v>
      </c>
      <c r="T40" s="95"/>
      <c r="U40" s="149" t="s">
        <v>23</v>
      </c>
      <c r="V40" s="70" t="e">
        <f>C40/$S$40</f>
        <v>#DIV/0!</v>
      </c>
      <c r="W40" s="70" t="e">
        <f t="shared" ref="W40:AK40" si="193">D40/$S$40</f>
        <v>#DIV/0!</v>
      </c>
      <c r="X40" s="70" t="e">
        <f t="shared" si="193"/>
        <v>#DIV/0!</v>
      </c>
      <c r="Y40" s="70" t="e">
        <f t="shared" si="193"/>
        <v>#DIV/0!</v>
      </c>
      <c r="Z40" s="70" t="e">
        <f t="shared" si="193"/>
        <v>#DIV/0!</v>
      </c>
      <c r="AA40" s="70" t="e">
        <f t="shared" si="193"/>
        <v>#DIV/0!</v>
      </c>
      <c r="AB40" s="70" t="e">
        <f t="shared" si="193"/>
        <v>#DIV/0!</v>
      </c>
      <c r="AC40" s="70" t="e">
        <f t="shared" si="193"/>
        <v>#DIV/0!</v>
      </c>
      <c r="AD40" s="70" t="e">
        <f t="shared" si="193"/>
        <v>#DIV/0!</v>
      </c>
      <c r="AE40" s="70" t="e">
        <f t="shared" si="193"/>
        <v>#DIV/0!</v>
      </c>
      <c r="AF40" s="70" t="e">
        <f t="shared" si="193"/>
        <v>#DIV/0!</v>
      </c>
      <c r="AG40" s="70" t="e">
        <f t="shared" si="193"/>
        <v>#DIV/0!</v>
      </c>
      <c r="AH40" s="70" t="e">
        <f t="shared" si="193"/>
        <v>#DIV/0!</v>
      </c>
      <c r="AI40" s="70" t="e">
        <f t="shared" si="193"/>
        <v>#DIV/0!</v>
      </c>
      <c r="AJ40" s="70" t="e">
        <f t="shared" si="193"/>
        <v>#DIV/0!</v>
      </c>
      <c r="AK40" s="70" t="e">
        <f t="shared" si="193"/>
        <v>#DIV/0!</v>
      </c>
    </row>
    <row r="41" spans="2:37" x14ac:dyDescent="0.15">
      <c r="B41" s="149" t="s">
        <v>24</v>
      </c>
      <c r="C41" s="79">
        <f>SUMIFS('caseload data'!E:E,'caseload data'!$A:$A,$B41,'caseload data'!$B:$B,"licence")</f>
        <v>0</v>
      </c>
      <c r="D41" s="79">
        <f>SUMIFS('caseload data'!F:F,'caseload data'!$A:$A,$B41,'caseload data'!$B:$B,"licence")</f>
        <v>0</v>
      </c>
      <c r="E41" s="79">
        <f>SUMIFS('caseload data'!G:G,'caseload data'!$A:$A,$B41,'caseload data'!$B:$B,"licence")</f>
        <v>0</v>
      </c>
      <c r="F41" s="79">
        <f>SUMIFS('caseload data'!H:H,'caseload data'!$A:$A,$B41,'caseload data'!$B:$B,"licence")</f>
        <v>0</v>
      </c>
      <c r="G41" s="79">
        <f>SUMIFS('caseload data'!I:I,'caseload data'!$A:$A,$B41,'caseload data'!$B:$B,"licence")</f>
        <v>0</v>
      </c>
      <c r="H41" s="79">
        <f>SUMIFS('caseload data'!J:J,'caseload data'!$A:$A,$B41,'caseload data'!$B:$B,"licence")</f>
        <v>0</v>
      </c>
      <c r="I41" s="79">
        <f>SUMIFS('caseload data'!K:K,'caseload data'!$A:$A,$B41,'caseload data'!$B:$B,"licence")</f>
        <v>0</v>
      </c>
      <c r="J41" s="79">
        <f>SUMIFS('caseload data'!L:L,'caseload data'!$A:$A,$B41,'caseload data'!$B:$B,"licence")</f>
        <v>0</v>
      </c>
      <c r="K41" s="79">
        <f>SUMIFS('caseload data'!M:M,'caseload data'!$A:$A,$B41,'caseload data'!$B:$B,"licence")</f>
        <v>0</v>
      </c>
      <c r="L41" s="79">
        <f>SUMIFS('caseload data'!N:N,'caseload data'!$A:$A,$B41,'caseload data'!$B:$B,"licence")</f>
        <v>0</v>
      </c>
      <c r="M41" s="79">
        <f>SUMIFS('caseload data'!O:O,'caseload data'!$A:$A,$B41,'caseload data'!$B:$B,"licence")</f>
        <v>0</v>
      </c>
      <c r="N41" s="79">
        <f>SUMIFS('caseload data'!P:P,'caseload data'!$A:$A,$B41,'caseload data'!$B:$B,"licence")</f>
        <v>0</v>
      </c>
      <c r="O41" s="79">
        <f>SUMIFS('caseload data'!Q:Q,'caseload data'!$A:$A,$B41,'caseload data'!$B:$B,"licence")</f>
        <v>0</v>
      </c>
      <c r="P41" s="79">
        <f>SUMIFS('caseload data'!R:R,'caseload data'!$A:$A,$B41,'caseload data'!$B:$B,"licence")</f>
        <v>0</v>
      </c>
      <c r="Q41" s="79">
        <f>SUMIFS('caseload data'!S:S,'caseload data'!$A:$A,$B41,'caseload data'!$B:$B,"licence")</f>
        <v>0</v>
      </c>
      <c r="R41" s="79">
        <f>SUMIFS('caseload data'!T:T,'caseload data'!$A:$A,$B41,'caseload data'!$B:$B,"licence")</f>
        <v>0</v>
      </c>
      <c r="S41" s="79">
        <f>SUMIFS('caseload data'!V:V,'caseload data'!$A:$A,B41,'caseload data'!$B:$B,"licence")</f>
        <v>0</v>
      </c>
      <c r="T41" s="95"/>
      <c r="U41" s="149" t="s">
        <v>24</v>
      </c>
      <c r="V41" s="70" t="e">
        <f>C41/$S$41</f>
        <v>#DIV/0!</v>
      </c>
      <c r="W41" s="70" t="e">
        <f t="shared" ref="W41:AK41" si="194">D41/$S$41</f>
        <v>#DIV/0!</v>
      </c>
      <c r="X41" s="70" t="e">
        <f t="shared" si="194"/>
        <v>#DIV/0!</v>
      </c>
      <c r="Y41" s="70" t="e">
        <f t="shared" si="194"/>
        <v>#DIV/0!</v>
      </c>
      <c r="Z41" s="70" t="e">
        <f t="shared" si="194"/>
        <v>#DIV/0!</v>
      </c>
      <c r="AA41" s="70" t="e">
        <f t="shared" si="194"/>
        <v>#DIV/0!</v>
      </c>
      <c r="AB41" s="70" t="e">
        <f t="shared" si="194"/>
        <v>#DIV/0!</v>
      </c>
      <c r="AC41" s="70" t="e">
        <f t="shared" si="194"/>
        <v>#DIV/0!</v>
      </c>
      <c r="AD41" s="70" t="e">
        <f t="shared" si="194"/>
        <v>#DIV/0!</v>
      </c>
      <c r="AE41" s="70" t="e">
        <f t="shared" si="194"/>
        <v>#DIV/0!</v>
      </c>
      <c r="AF41" s="70" t="e">
        <f t="shared" si="194"/>
        <v>#DIV/0!</v>
      </c>
      <c r="AG41" s="70" t="e">
        <f t="shared" si="194"/>
        <v>#DIV/0!</v>
      </c>
      <c r="AH41" s="70" t="e">
        <f t="shared" si="194"/>
        <v>#DIV/0!</v>
      </c>
      <c r="AI41" s="70" t="e">
        <f t="shared" si="194"/>
        <v>#DIV/0!</v>
      </c>
      <c r="AJ41" s="70" t="e">
        <f t="shared" si="194"/>
        <v>#DIV/0!</v>
      </c>
      <c r="AK41" s="70" t="e">
        <f t="shared" si="194"/>
        <v>#DIV/0!</v>
      </c>
    </row>
    <row r="42" spans="2:37" x14ac:dyDescent="0.15">
      <c r="B42" s="149" t="s">
        <v>25</v>
      </c>
      <c r="C42" s="79">
        <f>SUMIFS('caseload data'!E:E,'caseload data'!$A:$A,$B42,'caseload data'!$B:$B,"licence")</f>
        <v>0</v>
      </c>
      <c r="D42" s="79">
        <f>SUMIFS('caseload data'!F:F,'caseload data'!$A:$A,$B42,'caseload data'!$B:$B,"licence")</f>
        <v>0</v>
      </c>
      <c r="E42" s="79">
        <f>SUMIFS('caseload data'!G:G,'caseload data'!$A:$A,$B42,'caseload data'!$B:$B,"licence")</f>
        <v>0</v>
      </c>
      <c r="F42" s="79">
        <f>SUMIFS('caseload data'!H:H,'caseload data'!$A:$A,$B42,'caseload data'!$B:$B,"licence")</f>
        <v>0</v>
      </c>
      <c r="G42" s="79">
        <f>SUMIFS('caseload data'!I:I,'caseload data'!$A:$A,$B42,'caseload data'!$B:$B,"licence")</f>
        <v>0</v>
      </c>
      <c r="H42" s="79">
        <f>SUMIFS('caseload data'!J:J,'caseload data'!$A:$A,$B42,'caseload data'!$B:$B,"licence")</f>
        <v>0</v>
      </c>
      <c r="I42" s="79">
        <f>SUMIFS('caseload data'!K:K,'caseload data'!$A:$A,$B42,'caseload data'!$B:$B,"licence")</f>
        <v>0</v>
      </c>
      <c r="J42" s="79">
        <f>SUMIFS('caseload data'!L:L,'caseload data'!$A:$A,$B42,'caseload data'!$B:$B,"licence")</f>
        <v>0</v>
      </c>
      <c r="K42" s="79">
        <f>SUMIFS('caseload data'!M:M,'caseload data'!$A:$A,$B42,'caseload data'!$B:$B,"licence")</f>
        <v>0</v>
      </c>
      <c r="L42" s="79">
        <f>SUMIFS('caseload data'!N:N,'caseload data'!$A:$A,$B42,'caseload data'!$B:$B,"licence")</f>
        <v>0</v>
      </c>
      <c r="M42" s="79">
        <f>SUMIFS('caseload data'!O:O,'caseload data'!$A:$A,$B42,'caseload data'!$B:$B,"licence")</f>
        <v>0</v>
      </c>
      <c r="N42" s="79">
        <f>SUMIFS('caseload data'!P:P,'caseload data'!$A:$A,$B42,'caseload data'!$B:$B,"licence")</f>
        <v>0</v>
      </c>
      <c r="O42" s="79">
        <f>SUMIFS('caseload data'!Q:Q,'caseload data'!$A:$A,$B42,'caseload data'!$B:$B,"licence")</f>
        <v>0</v>
      </c>
      <c r="P42" s="79">
        <f>SUMIFS('caseload data'!R:R,'caseload data'!$A:$A,$B42,'caseload data'!$B:$B,"licence")</f>
        <v>0</v>
      </c>
      <c r="Q42" s="79">
        <f>SUMIFS('caseload data'!S:S,'caseload data'!$A:$A,$B42,'caseload data'!$B:$B,"licence")</f>
        <v>0</v>
      </c>
      <c r="R42" s="79">
        <f>SUMIFS('caseload data'!T:T,'caseload data'!$A:$A,$B42,'caseload data'!$B:$B,"licence")</f>
        <v>0</v>
      </c>
      <c r="S42" s="79">
        <f>SUMIFS('caseload data'!V:V,'caseload data'!$A:$A,B42,'caseload data'!$B:$B,"licence")</f>
        <v>0</v>
      </c>
      <c r="T42" s="95"/>
      <c r="U42" s="149" t="s">
        <v>25</v>
      </c>
      <c r="V42" s="70" t="e">
        <f>C42/$S$42</f>
        <v>#DIV/0!</v>
      </c>
      <c r="W42" s="70" t="e">
        <f t="shared" ref="W42:AK42" si="195">D42/$S$42</f>
        <v>#DIV/0!</v>
      </c>
      <c r="X42" s="70" t="e">
        <f t="shared" si="195"/>
        <v>#DIV/0!</v>
      </c>
      <c r="Y42" s="70" t="e">
        <f t="shared" si="195"/>
        <v>#DIV/0!</v>
      </c>
      <c r="Z42" s="70" t="e">
        <f t="shared" si="195"/>
        <v>#DIV/0!</v>
      </c>
      <c r="AA42" s="70" t="e">
        <f t="shared" si="195"/>
        <v>#DIV/0!</v>
      </c>
      <c r="AB42" s="70" t="e">
        <f t="shared" si="195"/>
        <v>#DIV/0!</v>
      </c>
      <c r="AC42" s="70" t="e">
        <f t="shared" si="195"/>
        <v>#DIV/0!</v>
      </c>
      <c r="AD42" s="70" t="e">
        <f t="shared" si="195"/>
        <v>#DIV/0!</v>
      </c>
      <c r="AE42" s="70" t="e">
        <f t="shared" si="195"/>
        <v>#DIV/0!</v>
      </c>
      <c r="AF42" s="70" t="e">
        <f t="shared" si="195"/>
        <v>#DIV/0!</v>
      </c>
      <c r="AG42" s="70" t="e">
        <f t="shared" si="195"/>
        <v>#DIV/0!</v>
      </c>
      <c r="AH42" s="70" t="e">
        <f t="shared" si="195"/>
        <v>#DIV/0!</v>
      </c>
      <c r="AI42" s="70" t="e">
        <f t="shared" si="195"/>
        <v>#DIV/0!</v>
      </c>
      <c r="AJ42" s="70" t="e">
        <f t="shared" si="195"/>
        <v>#DIV/0!</v>
      </c>
      <c r="AK42" s="70" t="e">
        <f t="shared" si="195"/>
        <v>#DIV/0!</v>
      </c>
    </row>
    <row r="43" spans="2:37" x14ac:dyDescent="0.15">
      <c r="B43" s="149" t="s">
        <v>26</v>
      </c>
      <c r="C43" s="79">
        <f>SUMIFS('caseload data'!E:E,'caseload data'!$A:$A,$B43,'caseload data'!$B:$B,"licence")</f>
        <v>0</v>
      </c>
      <c r="D43" s="79">
        <f>SUMIFS('caseload data'!F:F,'caseload data'!$A:$A,$B43,'caseload data'!$B:$B,"licence")</f>
        <v>0</v>
      </c>
      <c r="E43" s="79">
        <f>SUMIFS('caseload data'!G:G,'caseload data'!$A:$A,$B43,'caseload data'!$B:$B,"licence")</f>
        <v>0</v>
      </c>
      <c r="F43" s="79">
        <f>SUMIFS('caseload data'!H:H,'caseload data'!$A:$A,$B43,'caseload data'!$B:$B,"licence")</f>
        <v>0</v>
      </c>
      <c r="G43" s="79">
        <f>SUMIFS('caseload data'!I:I,'caseload data'!$A:$A,$B43,'caseload data'!$B:$B,"licence")</f>
        <v>0</v>
      </c>
      <c r="H43" s="79">
        <f>SUMIFS('caseload data'!J:J,'caseload data'!$A:$A,$B43,'caseload data'!$B:$B,"licence")</f>
        <v>0</v>
      </c>
      <c r="I43" s="79">
        <f>SUMIFS('caseload data'!K:K,'caseload data'!$A:$A,$B43,'caseload data'!$B:$B,"licence")</f>
        <v>0</v>
      </c>
      <c r="J43" s="79">
        <f>SUMIFS('caseload data'!L:L,'caseload data'!$A:$A,$B43,'caseload data'!$B:$B,"licence")</f>
        <v>0</v>
      </c>
      <c r="K43" s="79">
        <f>SUMIFS('caseload data'!M:M,'caseload data'!$A:$A,$B43,'caseload data'!$B:$B,"licence")</f>
        <v>0</v>
      </c>
      <c r="L43" s="79">
        <f>SUMIFS('caseload data'!N:N,'caseload data'!$A:$A,$B43,'caseload data'!$B:$B,"licence")</f>
        <v>0</v>
      </c>
      <c r="M43" s="79">
        <f>SUMIFS('caseload data'!O:O,'caseload data'!$A:$A,$B43,'caseload data'!$B:$B,"licence")</f>
        <v>0</v>
      </c>
      <c r="N43" s="79">
        <f>SUMIFS('caseload data'!P:P,'caseload data'!$A:$A,$B43,'caseload data'!$B:$B,"licence")</f>
        <v>0</v>
      </c>
      <c r="O43" s="79">
        <f>SUMIFS('caseload data'!Q:Q,'caseload data'!$A:$A,$B43,'caseload data'!$B:$B,"licence")</f>
        <v>0</v>
      </c>
      <c r="P43" s="79">
        <f>SUMIFS('caseload data'!R:R,'caseload data'!$A:$A,$B43,'caseload data'!$B:$B,"licence")</f>
        <v>0</v>
      </c>
      <c r="Q43" s="79">
        <f>SUMIFS('caseload data'!S:S,'caseload data'!$A:$A,$B43,'caseload data'!$B:$B,"licence")</f>
        <v>0</v>
      </c>
      <c r="R43" s="79">
        <f>SUMIFS('caseload data'!T:T,'caseload data'!$A:$A,$B43,'caseload data'!$B:$B,"licence")</f>
        <v>0</v>
      </c>
      <c r="S43" s="79">
        <f>SUMIFS('caseload data'!V:V,'caseload data'!$A:$A,B43,'caseload data'!$B:$B,"licence")</f>
        <v>0</v>
      </c>
      <c r="T43" s="95"/>
      <c r="U43" s="149" t="s">
        <v>26</v>
      </c>
      <c r="V43" s="70" t="e">
        <f>C43/$S$43</f>
        <v>#DIV/0!</v>
      </c>
      <c r="W43" s="70" t="e">
        <f t="shared" ref="W43:AK43" si="196">D43/$S$43</f>
        <v>#DIV/0!</v>
      </c>
      <c r="X43" s="70" t="e">
        <f t="shared" si="196"/>
        <v>#DIV/0!</v>
      </c>
      <c r="Y43" s="70" t="e">
        <f t="shared" si="196"/>
        <v>#DIV/0!</v>
      </c>
      <c r="Z43" s="70" t="e">
        <f t="shared" si="196"/>
        <v>#DIV/0!</v>
      </c>
      <c r="AA43" s="70" t="e">
        <f t="shared" si="196"/>
        <v>#DIV/0!</v>
      </c>
      <c r="AB43" s="70" t="e">
        <f t="shared" si="196"/>
        <v>#DIV/0!</v>
      </c>
      <c r="AC43" s="70" t="e">
        <f t="shared" si="196"/>
        <v>#DIV/0!</v>
      </c>
      <c r="AD43" s="70" t="e">
        <f t="shared" si="196"/>
        <v>#DIV/0!</v>
      </c>
      <c r="AE43" s="70" t="e">
        <f t="shared" si="196"/>
        <v>#DIV/0!</v>
      </c>
      <c r="AF43" s="70" t="e">
        <f t="shared" si="196"/>
        <v>#DIV/0!</v>
      </c>
      <c r="AG43" s="70" t="e">
        <f t="shared" si="196"/>
        <v>#DIV/0!</v>
      </c>
      <c r="AH43" s="70" t="e">
        <f t="shared" si="196"/>
        <v>#DIV/0!</v>
      </c>
      <c r="AI43" s="70" t="e">
        <f t="shared" si="196"/>
        <v>#DIV/0!</v>
      </c>
      <c r="AJ43" s="70" t="e">
        <f t="shared" si="196"/>
        <v>#DIV/0!</v>
      </c>
      <c r="AK43" s="70" t="e">
        <f t="shared" si="196"/>
        <v>#DIV/0!</v>
      </c>
    </row>
    <row r="44" spans="2:37" x14ac:dyDescent="0.15">
      <c r="B44" s="149" t="s">
        <v>27</v>
      </c>
      <c r="C44" s="79">
        <f>SUMIFS('caseload data'!E:E,'caseload data'!$A:$A,$B44,'caseload data'!$B:$B,"licence")</f>
        <v>0</v>
      </c>
      <c r="D44" s="79">
        <f>SUMIFS('caseload data'!F:F,'caseload data'!$A:$A,$B44,'caseload data'!$B:$B,"licence")</f>
        <v>0</v>
      </c>
      <c r="E44" s="79">
        <f>SUMIFS('caseload data'!G:G,'caseload data'!$A:$A,$B44,'caseload data'!$B:$B,"licence")</f>
        <v>0</v>
      </c>
      <c r="F44" s="79">
        <f>SUMIFS('caseload data'!H:H,'caseload data'!$A:$A,$B44,'caseload data'!$B:$B,"licence")</f>
        <v>0</v>
      </c>
      <c r="G44" s="79">
        <f>SUMIFS('caseload data'!I:I,'caseload data'!$A:$A,$B44,'caseload data'!$B:$B,"licence")</f>
        <v>0</v>
      </c>
      <c r="H44" s="79">
        <f>SUMIFS('caseload data'!J:J,'caseload data'!$A:$A,$B44,'caseload data'!$B:$B,"licence")</f>
        <v>0</v>
      </c>
      <c r="I44" s="79">
        <f>SUMIFS('caseload data'!K:K,'caseload data'!$A:$A,$B44,'caseload data'!$B:$B,"licence")</f>
        <v>0</v>
      </c>
      <c r="J44" s="79">
        <f>SUMIFS('caseload data'!L:L,'caseload data'!$A:$A,$B44,'caseload data'!$B:$B,"licence")</f>
        <v>0</v>
      </c>
      <c r="K44" s="79">
        <f>SUMIFS('caseload data'!M:M,'caseload data'!$A:$A,$B44,'caseload data'!$B:$B,"licence")</f>
        <v>0</v>
      </c>
      <c r="L44" s="79">
        <f>SUMIFS('caseload data'!N:N,'caseload data'!$A:$A,$B44,'caseload data'!$B:$B,"licence")</f>
        <v>0</v>
      </c>
      <c r="M44" s="79">
        <f>SUMIFS('caseload data'!O:O,'caseload data'!$A:$A,$B44,'caseload data'!$B:$B,"licence")</f>
        <v>0</v>
      </c>
      <c r="N44" s="79">
        <f>SUMIFS('caseload data'!P:P,'caseload data'!$A:$A,$B44,'caseload data'!$B:$B,"licence")</f>
        <v>0</v>
      </c>
      <c r="O44" s="79">
        <f>SUMIFS('caseload data'!Q:Q,'caseload data'!$A:$A,$B44,'caseload data'!$B:$B,"licence")</f>
        <v>0</v>
      </c>
      <c r="P44" s="79">
        <f>SUMIFS('caseload data'!R:R,'caseload data'!$A:$A,$B44,'caseload data'!$B:$B,"licence")</f>
        <v>0</v>
      </c>
      <c r="Q44" s="79">
        <f>SUMIFS('caseload data'!S:S,'caseload data'!$A:$A,$B44,'caseload data'!$B:$B,"licence")</f>
        <v>0</v>
      </c>
      <c r="R44" s="79">
        <f>SUMIFS('caseload data'!T:T,'caseload data'!$A:$A,$B44,'caseload data'!$B:$B,"licence")</f>
        <v>0</v>
      </c>
      <c r="S44" s="79">
        <f>SUMIFS('caseload data'!V:V,'caseload data'!$A:$A,B44,'caseload data'!$B:$B,"licence")</f>
        <v>0</v>
      </c>
      <c r="T44" s="95"/>
      <c r="U44" s="149" t="s">
        <v>27</v>
      </c>
      <c r="V44" s="70" t="e">
        <f>C44/$S$44</f>
        <v>#DIV/0!</v>
      </c>
      <c r="W44" s="70" t="e">
        <f t="shared" ref="W44:AK44" si="197">D44/$S$44</f>
        <v>#DIV/0!</v>
      </c>
      <c r="X44" s="70" t="e">
        <f t="shared" si="197"/>
        <v>#DIV/0!</v>
      </c>
      <c r="Y44" s="70" t="e">
        <f t="shared" si="197"/>
        <v>#DIV/0!</v>
      </c>
      <c r="Z44" s="70" t="e">
        <f t="shared" si="197"/>
        <v>#DIV/0!</v>
      </c>
      <c r="AA44" s="70" t="e">
        <f t="shared" si="197"/>
        <v>#DIV/0!</v>
      </c>
      <c r="AB44" s="70" t="e">
        <f t="shared" si="197"/>
        <v>#DIV/0!</v>
      </c>
      <c r="AC44" s="70" t="e">
        <f t="shared" si="197"/>
        <v>#DIV/0!</v>
      </c>
      <c r="AD44" s="70" t="e">
        <f t="shared" si="197"/>
        <v>#DIV/0!</v>
      </c>
      <c r="AE44" s="70" t="e">
        <f t="shared" si="197"/>
        <v>#DIV/0!</v>
      </c>
      <c r="AF44" s="70" t="e">
        <f t="shared" si="197"/>
        <v>#DIV/0!</v>
      </c>
      <c r="AG44" s="70" t="e">
        <f t="shared" si="197"/>
        <v>#DIV/0!</v>
      </c>
      <c r="AH44" s="70" t="e">
        <f t="shared" si="197"/>
        <v>#DIV/0!</v>
      </c>
      <c r="AI44" s="70" t="e">
        <f t="shared" si="197"/>
        <v>#DIV/0!</v>
      </c>
      <c r="AJ44" s="70" t="e">
        <f t="shared" si="197"/>
        <v>#DIV/0!</v>
      </c>
      <c r="AK44" s="70" t="e">
        <f t="shared" si="197"/>
        <v>#DIV/0!</v>
      </c>
    </row>
    <row r="45" spans="2:37" x14ac:dyDescent="0.15">
      <c r="B45" s="149" t="s">
        <v>28</v>
      </c>
      <c r="C45" s="79">
        <f>SUMIFS('caseload data'!E:E,'caseload data'!$A:$A,$B45,'caseload data'!$B:$B,"licence")</f>
        <v>0</v>
      </c>
      <c r="D45" s="79">
        <f>SUMIFS('caseload data'!F:F,'caseload data'!$A:$A,$B45,'caseload data'!$B:$B,"licence")</f>
        <v>0</v>
      </c>
      <c r="E45" s="79">
        <f>SUMIFS('caseload data'!G:G,'caseload data'!$A:$A,$B45,'caseload data'!$B:$B,"licence")</f>
        <v>0</v>
      </c>
      <c r="F45" s="79">
        <f>SUMIFS('caseload data'!H:H,'caseload data'!$A:$A,$B45,'caseload data'!$B:$B,"licence")</f>
        <v>0</v>
      </c>
      <c r="G45" s="79">
        <f>SUMIFS('caseload data'!I:I,'caseload data'!$A:$A,$B45,'caseload data'!$B:$B,"licence")</f>
        <v>0</v>
      </c>
      <c r="H45" s="79">
        <f>SUMIFS('caseload data'!J:J,'caseload data'!$A:$A,$B45,'caseload data'!$B:$B,"licence")</f>
        <v>0</v>
      </c>
      <c r="I45" s="79">
        <f>SUMIFS('caseload data'!K:K,'caseload data'!$A:$A,$B45,'caseload data'!$B:$B,"licence")</f>
        <v>0</v>
      </c>
      <c r="J45" s="79">
        <f>SUMIFS('caseload data'!L:L,'caseload data'!$A:$A,$B45,'caseload data'!$B:$B,"licence")</f>
        <v>0</v>
      </c>
      <c r="K45" s="79">
        <f>SUMIFS('caseload data'!M:M,'caseload data'!$A:$A,$B45,'caseload data'!$B:$B,"licence")</f>
        <v>0</v>
      </c>
      <c r="L45" s="79">
        <f>SUMIFS('caseload data'!N:N,'caseload data'!$A:$A,$B45,'caseload data'!$B:$B,"licence")</f>
        <v>0</v>
      </c>
      <c r="M45" s="79">
        <f>SUMIFS('caseload data'!O:O,'caseload data'!$A:$A,$B45,'caseload data'!$B:$B,"licence")</f>
        <v>0</v>
      </c>
      <c r="N45" s="79">
        <f>SUMIFS('caseload data'!P:P,'caseload data'!$A:$A,$B45,'caseload data'!$B:$B,"licence")</f>
        <v>0</v>
      </c>
      <c r="O45" s="79">
        <f>SUMIFS('caseload data'!Q:Q,'caseload data'!$A:$A,$B45,'caseload data'!$B:$B,"licence")</f>
        <v>0</v>
      </c>
      <c r="P45" s="79">
        <f>SUMIFS('caseload data'!R:R,'caseload data'!$A:$A,$B45,'caseload data'!$B:$B,"licence")</f>
        <v>0</v>
      </c>
      <c r="Q45" s="79">
        <f>SUMIFS('caseload data'!S:S,'caseload data'!$A:$A,$B45,'caseload data'!$B:$B,"licence")</f>
        <v>0</v>
      </c>
      <c r="R45" s="79">
        <f>SUMIFS('caseload data'!T:T,'caseload data'!$A:$A,$B45,'caseload data'!$B:$B,"licence")</f>
        <v>0</v>
      </c>
      <c r="S45" s="79">
        <f>SUMIFS('caseload data'!V:V,'caseload data'!$A:$A,B45,'caseload data'!$B:$B,"licence")</f>
        <v>0</v>
      </c>
      <c r="T45" s="95"/>
      <c r="U45" s="149" t="s">
        <v>28</v>
      </c>
      <c r="V45" s="70" t="e">
        <f>C45/$S$45</f>
        <v>#DIV/0!</v>
      </c>
      <c r="W45" s="70" t="e">
        <f t="shared" ref="W45:AK45" si="198">D45/$S$45</f>
        <v>#DIV/0!</v>
      </c>
      <c r="X45" s="70" t="e">
        <f t="shared" si="198"/>
        <v>#DIV/0!</v>
      </c>
      <c r="Y45" s="70" t="e">
        <f t="shared" si="198"/>
        <v>#DIV/0!</v>
      </c>
      <c r="Z45" s="70" t="e">
        <f t="shared" si="198"/>
        <v>#DIV/0!</v>
      </c>
      <c r="AA45" s="70" t="e">
        <f t="shared" si="198"/>
        <v>#DIV/0!</v>
      </c>
      <c r="AB45" s="70" t="e">
        <f t="shared" si="198"/>
        <v>#DIV/0!</v>
      </c>
      <c r="AC45" s="70" t="e">
        <f t="shared" si="198"/>
        <v>#DIV/0!</v>
      </c>
      <c r="AD45" s="70" t="e">
        <f t="shared" si="198"/>
        <v>#DIV/0!</v>
      </c>
      <c r="AE45" s="70" t="e">
        <f t="shared" si="198"/>
        <v>#DIV/0!</v>
      </c>
      <c r="AF45" s="70" t="e">
        <f t="shared" si="198"/>
        <v>#DIV/0!</v>
      </c>
      <c r="AG45" s="70" t="e">
        <f t="shared" si="198"/>
        <v>#DIV/0!</v>
      </c>
      <c r="AH45" s="70" t="e">
        <f t="shared" si="198"/>
        <v>#DIV/0!</v>
      </c>
      <c r="AI45" s="70" t="e">
        <f t="shared" si="198"/>
        <v>#DIV/0!</v>
      </c>
      <c r="AJ45" s="70" t="e">
        <f t="shared" si="198"/>
        <v>#DIV/0!</v>
      </c>
      <c r="AK45" s="70" t="e">
        <f t="shared" si="198"/>
        <v>#DIV/0!</v>
      </c>
    </row>
    <row r="46" spans="2:37" x14ac:dyDescent="0.15">
      <c r="B46" s="149" t="s">
        <v>29</v>
      </c>
      <c r="C46" s="79">
        <f>SUMIFS('caseload data'!E:E,'caseload data'!$A:$A,$B46,'caseload data'!$B:$B,"licence")</f>
        <v>0</v>
      </c>
      <c r="D46" s="79">
        <f>SUMIFS('caseload data'!F:F,'caseload data'!$A:$A,$B46,'caseload data'!$B:$B,"licence")</f>
        <v>0</v>
      </c>
      <c r="E46" s="79">
        <f>SUMIFS('caseload data'!G:G,'caseload data'!$A:$A,$B46,'caseload data'!$B:$B,"licence")</f>
        <v>0</v>
      </c>
      <c r="F46" s="79">
        <f>SUMIFS('caseload data'!H:H,'caseload data'!$A:$A,$B46,'caseload data'!$B:$B,"licence")</f>
        <v>0</v>
      </c>
      <c r="G46" s="79">
        <f>SUMIFS('caseload data'!I:I,'caseload data'!$A:$A,$B46,'caseload data'!$B:$B,"licence")</f>
        <v>0</v>
      </c>
      <c r="H46" s="79">
        <f>SUMIFS('caseload data'!J:J,'caseload data'!$A:$A,$B46,'caseload data'!$B:$B,"licence")</f>
        <v>0</v>
      </c>
      <c r="I46" s="79">
        <f>SUMIFS('caseload data'!K:K,'caseload data'!$A:$A,$B46,'caseload data'!$B:$B,"licence")</f>
        <v>0</v>
      </c>
      <c r="J46" s="79">
        <f>SUMIFS('caseload data'!L:L,'caseload data'!$A:$A,$B46,'caseload data'!$B:$B,"licence")</f>
        <v>0</v>
      </c>
      <c r="K46" s="79">
        <f>SUMIFS('caseload data'!M:M,'caseload data'!$A:$A,$B46,'caseload data'!$B:$B,"licence")</f>
        <v>0</v>
      </c>
      <c r="L46" s="79">
        <f>SUMIFS('caseload data'!N:N,'caseload data'!$A:$A,$B46,'caseload data'!$B:$B,"licence")</f>
        <v>0</v>
      </c>
      <c r="M46" s="79">
        <f>SUMIFS('caseload data'!O:O,'caseload data'!$A:$A,$B46,'caseload data'!$B:$B,"licence")</f>
        <v>0</v>
      </c>
      <c r="N46" s="79">
        <f>SUMIFS('caseload data'!P:P,'caseload data'!$A:$A,$B46,'caseload data'!$B:$B,"licence")</f>
        <v>0</v>
      </c>
      <c r="O46" s="79">
        <f>SUMIFS('caseload data'!Q:Q,'caseload data'!$A:$A,$B46,'caseload data'!$B:$B,"licence")</f>
        <v>0</v>
      </c>
      <c r="P46" s="79">
        <f>SUMIFS('caseload data'!R:R,'caseload data'!$A:$A,$B46,'caseload data'!$B:$B,"licence")</f>
        <v>0</v>
      </c>
      <c r="Q46" s="79">
        <f>SUMIFS('caseload data'!S:S,'caseload data'!$A:$A,$B46,'caseload data'!$B:$B,"licence")</f>
        <v>0</v>
      </c>
      <c r="R46" s="79">
        <f>SUMIFS('caseload data'!T:T,'caseload data'!$A:$A,$B46,'caseload data'!$B:$B,"licence")</f>
        <v>0</v>
      </c>
      <c r="S46" s="79">
        <f>SUMIFS('caseload data'!V:V,'caseload data'!$A:$A,B46,'caseload data'!$B:$B,"licence")</f>
        <v>0</v>
      </c>
      <c r="T46" s="95"/>
      <c r="U46" s="149" t="s">
        <v>29</v>
      </c>
      <c r="V46" s="70" t="e">
        <f>C46/$S$46</f>
        <v>#DIV/0!</v>
      </c>
      <c r="W46" s="70" t="e">
        <f t="shared" ref="W46:AK46" si="199">D46/$S$46</f>
        <v>#DIV/0!</v>
      </c>
      <c r="X46" s="70" t="e">
        <f t="shared" si="199"/>
        <v>#DIV/0!</v>
      </c>
      <c r="Y46" s="70" t="e">
        <f t="shared" si="199"/>
        <v>#DIV/0!</v>
      </c>
      <c r="Z46" s="70" t="e">
        <f t="shared" si="199"/>
        <v>#DIV/0!</v>
      </c>
      <c r="AA46" s="70" t="e">
        <f t="shared" si="199"/>
        <v>#DIV/0!</v>
      </c>
      <c r="AB46" s="70" t="e">
        <f t="shared" si="199"/>
        <v>#DIV/0!</v>
      </c>
      <c r="AC46" s="70" t="e">
        <f t="shared" si="199"/>
        <v>#DIV/0!</v>
      </c>
      <c r="AD46" s="70" t="e">
        <f t="shared" si="199"/>
        <v>#DIV/0!</v>
      </c>
      <c r="AE46" s="70" t="e">
        <f t="shared" si="199"/>
        <v>#DIV/0!</v>
      </c>
      <c r="AF46" s="70" t="e">
        <f t="shared" si="199"/>
        <v>#DIV/0!</v>
      </c>
      <c r="AG46" s="70" t="e">
        <f t="shared" si="199"/>
        <v>#DIV/0!</v>
      </c>
      <c r="AH46" s="70" t="e">
        <f t="shared" si="199"/>
        <v>#DIV/0!</v>
      </c>
      <c r="AI46" s="70" t="e">
        <f t="shared" si="199"/>
        <v>#DIV/0!</v>
      </c>
      <c r="AJ46" s="70" t="e">
        <f t="shared" si="199"/>
        <v>#DIV/0!</v>
      </c>
      <c r="AK46" s="70" t="e">
        <f t="shared" si="199"/>
        <v>#DIV/0!</v>
      </c>
    </row>
    <row r="47" spans="2:37" x14ac:dyDescent="0.15">
      <c r="B47" s="149" t="s">
        <v>30</v>
      </c>
      <c r="C47" s="79">
        <f>SUMIFS('caseload data'!E:E,'caseload data'!$A:$A,$B47,'caseload data'!$B:$B,"licence")</f>
        <v>0</v>
      </c>
      <c r="D47" s="79">
        <f>SUMIFS('caseload data'!F:F,'caseload data'!$A:$A,$B47,'caseload data'!$B:$B,"licence")</f>
        <v>0</v>
      </c>
      <c r="E47" s="79">
        <f>SUMIFS('caseload data'!G:G,'caseload data'!$A:$A,$B47,'caseload data'!$B:$B,"licence")</f>
        <v>0</v>
      </c>
      <c r="F47" s="79">
        <f>SUMIFS('caseload data'!H:H,'caseload data'!$A:$A,$B47,'caseload data'!$B:$B,"licence")</f>
        <v>0</v>
      </c>
      <c r="G47" s="79">
        <f>SUMIFS('caseload data'!I:I,'caseload data'!$A:$A,$B47,'caseload data'!$B:$B,"licence")</f>
        <v>0</v>
      </c>
      <c r="H47" s="79">
        <f>SUMIFS('caseload data'!J:J,'caseload data'!$A:$A,$B47,'caseload data'!$B:$B,"licence")</f>
        <v>0</v>
      </c>
      <c r="I47" s="79">
        <f>SUMIFS('caseload data'!K:K,'caseload data'!$A:$A,$B47,'caseload data'!$B:$B,"licence")</f>
        <v>0</v>
      </c>
      <c r="J47" s="79">
        <f>SUMIFS('caseload data'!L:L,'caseload data'!$A:$A,$B47,'caseload data'!$B:$B,"licence")</f>
        <v>0</v>
      </c>
      <c r="K47" s="79">
        <f>SUMIFS('caseload data'!M:M,'caseload data'!$A:$A,$B47,'caseload data'!$B:$B,"licence")</f>
        <v>0</v>
      </c>
      <c r="L47" s="79">
        <f>SUMIFS('caseload data'!N:N,'caseload data'!$A:$A,$B47,'caseload data'!$B:$B,"licence")</f>
        <v>0</v>
      </c>
      <c r="M47" s="79">
        <f>SUMIFS('caseload data'!O:O,'caseload data'!$A:$A,$B47,'caseload data'!$B:$B,"licence")</f>
        <v>0</v>
      </c>
      <c r="N47" s="79">
        <f>SUMIFS('caseload data'!P:P,'caseload data'!$A:$A,$B47,'caseload data'!$B:$B,"licence")</f>
        <v>0</v>
      </c>
      <c r="O47" s="79">
        <f>SUMIFS('caseload data'!Q:Q,'caseload data'!$A:$A,$B47,'caseload data'!$B:$B,"licence")</f>
        <v>0</v>
      </c>
      <c r="P47" s="79">
        <f>SUMIFS('caseload data'!R:R,'caseload data'!$A:$A,$B47,'caseload data'!$B:$B,"licence")</f>
        <v>0</v>
      </c>
      <c r="Q47" s="79">
        <f>SUMIFS('caseload data'!S:S,'caseload data'!$A:$A,$B47,'caseload data'!$B:$B,"licence")</f>
        <v>0</v>
      </c>
      <c r="R47" s="79">
        <f>SUMIFS('caseload data'!T:T,'caseload data'!$A:$A,$B47,'caseload data'!$B:$B,"licence")</f>
        <v>0</v>
      </c>
      <c r="S47" s="79">
        <f>SUMIFS('caseload data'!V:V,'caseload data'!$A:$A,B47,'caseload data'!$B:$B,"licence")</f>
        <v>0</v>
      </c>
      <c r="T47" s="95"/>
      <c r="U47" s="149" t="s">
        <v>30</v>
      </c>
      <c r="V47" s="70" t="e">
        <f t="shared" ref="V47:AK47" si="200">C47/$S$47</f>
        <v>#DIV/0!</v>
      </c>
      <c r="W47" s="70" t="e">
        <f t="shared" si="200"/>
        <v>#DIV/0!</v>
      </c>
      <c r="X47" s="70" t="e">
        <f t="shared" si="200"/>
        <v>#DIV/0!</v>
      </c>
      <c r="Y47" s="70" t="e">
        <f t="shared" si="200"/>
        <v>#DIV/0!</v>
      </c>
      <c r="Z47" s="70" t="e">
        <f t="shared" si="200"/>
        <v>#DIV/0!</v>
      </c>
      <c r="AA47" s="70" t="e">
        <f t="shared" si="200"/>
        <v>#DIV/0!</v>
      </c>
      <c r="AB47" s="70" t="e">
        <f t="shared" si="200"/>
        <v>#DIV/0!</v>
      </c>
      <c r="AC47" s="70" t="e">
        <f t="shared" si="200"/>
        <v>#DIV/0!</v>
      </c>
      <c r="AD47" s="70" t="e">
        <f t="shared" si="200"/>
        <v>#DIV/0!</v>
      </c>
      <c r="AE47" s="70" t="e">
        <f t="shared" si="200"/>
        <v>#DIV/0!</v>
      </c>
      <c r="AF47" s="70" t="e">
        <f t="shared" si="200"/>
        <v>#DIV/0!</v>
      </c>
      <c r="AG47" s="70" t="e">
        <f t="shared" si="200"/>
        <v>#DIV/0!</v>
      </c>
      <c r="AH47" s="70" t="e">
        <f t="shared" si="200"/>
        <v>#DIV/0!</v>
      </c>
      <c r="AI47" s="70" t="e">
        <f t="shared" si="200"/>
        <v>#DIV/0!</v>
      </c>
      <c r="AJ47" s="70" t="e">
        <f t="shared" si="200"/>
        <v>#DIV/0!</v>
      </c>
      <c r="AK47" s="70" t="e">
        <f t="shared" si="200"/>
        <v>#DIV/0!</v>
      </c>
    </row>
    <row r="48" spans="2:37" x14ac:dyDescent="0.15">
      <c r="B48" s="149" t="s">
        <v>31</v>
      </c>
      <c r="C48" s="79">
        <f>SUMIFS('caseload data'!E:E,'caseload data'!$A:$A,$B48,'caseload data'!$B:$B,"licence")</f>
        <v>0</v>
      </c>
      <c r="D48" s="79">
        <f>SUMIFS('caseload data'!F:F,'caseload data'!$A:$A,$B48,'caseload data'!$B:$B,"licence")</f>
        <v>0</v>
      </c>
      <c r="E48" s="79">
        <f>SUMIFS('caseload data'!G:G,'caseload data'!$A:$A,$B48,'caseload data'!$B:$B,"licence")</f>
        <v>0</v>
      </c>
      <c r="F48" s="79">
        <f>SUMIFS('caseload data'!H:H,'caseload data'!$A:$A,$B48,'caseload data'!$B:$B,"licence")</f>
        <v>0</v>
      </c>
      <c r="G48" s="79">
        <f>SUMIFS('caseload data'!I:I,'caseload data'!$A:$A,$B48,'caseload data'!$B:$B,"licence")</f>
        <v>0</v>
      </c>
      <c r="H48" s="79">
        <f>SUMIFS('caseload data'!J:J,'caseload data'!$A:$A,$B48,'caseload data'!$B:$B,"licence")</f>
        <v>0</v>
      </c>
      <c r="I48" s="79">
        <f>SUMIFS('caseload data'!K:K,'caseload data'!$A:$A,$B48,'caseload data'!$B:$B,"licence")</f>
        <v>0</v>
      </c>
      <c r="J48" s="79">
        <f>SUMIFS('caseload data'!L:L,'caseload data'!$A:$A,$B48,'caseload data'!$B:$B,"licence")</f>
        <v>0</v>
      </c>
      <c r="K48" s="79">
        <f>SUMIFS('caseload data'!M:M,'caseload data'!$A:$A,$B48,'caseload data'!$B:$B,"licence")</f>
        <v>0</v>
      </c>
      <c r="L48" s="79">
        <f>SUMIFS('caseload data'!N:N,'caseload data'!$A:$A,$B48,'caseload data'!$B:$B,"licence")</f>
        <v>0</v>
      </c>
      <c r="M48" s="79">
        <f>SUMIFS('caseload data'!O:O,'caseload data'!$A:$A,$B48,'caseload data'!$B:$B,"licence")</f>
        <v>0</v>
      </c>
      <c r="N48" s="79">
        <f>SUMIFS('caseload data'!P:P,'caseload data'!$A:$A,$B48,'caseload data'!$B:$B,"licence")</f>
        <v>0</v>
      </c>
      <c r="O48" s="79">
        <f>SUMIFS('caseload data'!Q:Q,'caseload data'!$A:$A,$B48,'caseload data'!$B:$B,"licence")</f>
        <v>0</v>
      </c>
      <c r="P48" s="79">
        <f>SUMIFS('caseload data'!R:R,'caseload data'!$A:$A,$B48,'caseload data'!$B:$B,"licence")</f>
        <v>0</v>
      </c>
      <c r="Q48" s="79">
        <f>SUMIFS('caseload data'!S:S,'caseload data'!$A:$A,$B48,'caseload data'!$B:$B,"licence")</f>
        <v>0</v>
      </c>
      <c r="R48" s="79">
        <f>SUMIFS('caseload data'!T:T,'caseload data'!$A:$A,$B48,'caseload data'!$B:$B,"licence")</f>
        <v>0</v>
      </c>
      <c r="S48" s="79">
        <f>SUMIFS('caseload data'!V:V,'caseload data'!$A:$A,B48,'caseload data'!$B:$B,"licence")</f>
        <v>0</v>
      </c>
      <c r="T48" s="95"/>
      <c r="U48" s="149" t="s">
        <v>1267</v>
      </c>
      <c r="V48" s="70" t="e">
        <f t="shared" ref="V48:AK48" si="201">C48/$S$48</f>
        <v>#DIV/0!</v>
      </c>
      <c r="W48" s="70" t="e">
        <f t="shared" si="201"/>
        <v>#DIV/0!</v>
      </c>
      <c r="X48" s="70" t="e">
        <f t="shared" si="201"/>
        <v>#DIV/0!</v>
      </c>
      <c r="Y48" s="70" t="e">
        <f t="shared" si="201"/>
        <v>#DIV/0!</v>
      </c>
      <c r="Z48" s="70" t="e">
        <f t="shared" si="201"/>
        <v>#DIV/0!</v>
      </c>
      <c r="AA48" s="70" t="e">
        <f t="shared" si="201"/>
        <v>#DIV/0!</v>
      </c>
      <c r="AB48" s="70" t="e">
        <f t="shared" si="201"/>
        <v>#DIV/0!</v>
      </c>
      <c r="AC48" s="70" t="e">
        <f t="shared" si="201"/>
        <v>#DIV/0!</v>
      </c>
      <c r="AD48" s="70" t="e">
        <f t="shared" si="201"/>
        <v>#DIV/0!</v>
      </c>
      <c r="AE48" s="70" t="e">
        <f t="shared" si="201"/>
        <v>#DIV/0!</v>
      </c>
      <c r="AF48" s="70" t="e">
        <f t="shared" si="201"/>
        <v>#DIV/0!</v>
      </c>
      <c r="AG48" s="70" t="e">
        <f t="shared" si="201"/>
        <v>#DIV/0!</v>
      </c>
      <c r="AH48" s="70" t="e">
        <f t="shared" si="201"/>
        <v>#DIV/0!</v>
      </c>
      <c r="AI48" s="70" t="e">
        <f t="shared" si="201"/>
        <v>#DIV/0!</v>
      </c>
      <c r="AJ48" s="70" t="e">
        <f t="shared" si="201"/>
        <v>#DIV/0!</v>
      </c>
      <c r="AK48" s="70" t="e">
        <f t="shared" si="201"/>
        <v>#DIV/0!</v>
      </c>
    </row>
    <row r="49" spans="2:37" x14ac:dyDescent="0.15">
      <c r="B49" s="149" t="s">
        <v>32</v>
      </c>
      <c r="C49" s="79">
        <f>SUMIFS('caseload data'!E:E,'caseload data'!$A:$A,$B49,'caseload data'!$B:$B,"licence")</f>
        <v>0</v>
      </c>
      <c r="D49" s="79">
        <f>SUMIFS('caseload data'!F:F,'caseload data'!$A:$A,$B49,'caseload data'!$B:$B,"licence")</f>
        <v>0</v>
      </c>
      <c r="E49" s="79">
        <f>SUMIFS('caseload data'!G:G,'caseload data'!$A:$A,$B49,'caseload data'!$B:$B,"licence")</f>
        <v>0</v>
      </c>
      <c r="F49" s="79">
        <f>SUMIFS('caseload data'!H:H,'caseload data'!$A:$A,$B49,'caseload data'!$B:$B,"licence")</f>
        <v>0</v>
      </c>
      <c r="G49" s="79">
        <f>SUMIFS('caseload data'!I:I,'caseload data'!$A:$A,$B49,'caseload data'!$B:$B,"licence")</f>
        <v>0</v>
      </c>
      <c r="H49" s="79">
        <f>SUMIFS('caseload data'!J:J,'caseload data'!$A:$A,$B49,'caseload data'!$B:$B,"licence")</f>
        <v>0</v>
      </c>
      <c r="I49" s="79">
        <f>SUMIFS('caseload data'!K:K,'caseload data'!$A:$A,$B49,'caseload data'!$B:$B,"licence")</f>
        <v>0</v>
      </c>
      <c r="J49" s="79">
        <f>SUMIFS('caseload data'!L:L,'caseload data'!$A:$A,$B49,'caseload data'!$B:$B,"licence")</f>
        <v>0</v>
      </c>
      <c r="K49" s="79">
        <f>SUMIFS('caseload data'!M:M,'caseload data'!$A:$A,$B49,'caseload data'!$B:$B,"licence")</f>
        <v>0</v>
      </c>
      <c r="L49" s="79">
        <f>SUMIFS('caseload data'!N:N,'caseload data'!$A:$A,$B49,'caseload data'!$B:$B,"licence")</f>
        <v>0</v>
      </c>
      <c r="M49" s="79">
        <f>SUMIFS('caseload data'!O:O,'caseload data'!$A:$A,$B49,'caseload data'!$B:$B,"licence")</f>
        <v>0</v>
      </c>
      <c r="N49" s="79">
        <f>SUMIFS('caseload data'!P:P,'caseload data'!$A:$A,$B49,'caseload data'!$B:$B,"licence")</f>
        <v>0</v>
      </c>
      <c r="O49" s="79">
        <f>SUMIFS('caseload data'!Q:Q,'caseload data'!$A:$A,$B49,'caseload data'!$B:$B,"licence")</f>
        <v>0</v>
      </c>
      <c r="P49" s="79">
        <f>SUMIFS('caseload data'!R:R,'caseload data'!$A:$A,$B49,'caseload data'!$B:$B,"licence")</f>
        <v>0</v>
      </c>
      <c r="Q49" s="79">
        <f>SUMIFS('caseload data'!S:S,'caseload data'!$A:$A,$B49,'caseload data'!$B:$B,"licence")</f>
        <v>0</v>
      </c>
      <c r="R49" s="79">
        <f>SUMIFS('caseload data'!T:T,'caseload data'!$A:$A,$B49,'caseload data'!$B:$B,"licence")</f>
        <v>0</v>
      </c>
      <c r="S49" s="79">
        <f>SUMIFS('caseload data'!V:V,'caseload data'!$A:$A,B49,'caseload data'!$B:$B,"licence")</f>
        <v>0</v>
      </c>
      <c r="T49" s="95"/>
      <c r="U49" s="149" t="s">
        <v>32</v>
      </c>
      <c r="V49" s="70" t="e">
        <f>C49/$S$49</f>
        <v>#DIV/0!</v>
      </c>
      <c r="W49" s="70" t="e">
        <f t="shared" ref="W49:AK49" si="202">D49/$S$49</f>
        <v>#DIV/0!</v>
      </c>
      <c r="X49" s="70" t="e">
        <f t="shared" si="202"/>
        <v>#DIV/0!</v>
      </c>
      <c r="Y49" s="70" t="e">
        <f t="shared" si="202"/>
        <v>#DIV/0!</v>
      </c>
      <c r="Z49" s="70" t="e">
        <f t="shared" si="202"/>
        <v>#DIV/0!</v>
      </c>
      <c r="AA49" s="70" t="e">
        <f t="shared" si="202"/>
        <v>#DIV/0!</v>
      </c>
      <c r="AB49" s="70" t="e">
        <f t="shared" si="202"/>
        <v>#DIV/0!</v>
      </c>
      <c r="AC49" s="70" t="e">
        <f t="shared" si="202"/>
        <v>#DIV/0!</v>
      </c>
      <c r="AD49" s="70" t="e">
        <f t="shared" si="202"/>
        <v>#DIV/0!</v>
      </c>
      <c r="AE49" s="70" t="e">
        <f t="shared" si="202"/>
        <v>#DIV/0!</v>
      </c>
      <c r="AF49" s="70" t="e">
        <f t="shared" si="202"/>
        <v>#DIV/0!</v>
      </c>
      <c r="AG49" s="70" t="e">
        <f t="shared" si="202"/>
        <v>#DIV/0!</v>
      </c>
      <c r="AH49" s="70" t="e">
        <f t="shared" si="202"/>
        <v>#DIV/0!</v>
      </c>
      <c r="AI49" s="70" t="e">
        <f t="shared" si="202"/>
        <v>#DIV/0!</v>
      </c>
      <c r="AJ49" s="70" t="e">
        <f t="shared" si="202"/>
        <v>#DIV/0!</v>
      </c>
      <c r="AK49" s="70" t="e">
        <f t="shared" si="202"/>
        <v>#DIV/0!</v>
      </c>
    </row>
    <row r="50" spans="2:37" x14ac:dyDescent="0.15">
      <c r="B50" s="149" t="s">
        <v>33</v>
      </c>
      <c r="C50" s="79">
        <f>SUMIFS('caseload data'!E:E,'caseload data'!$A:$A,$B50,'caseload data'!$B:$B,"licence")</f>
        <v>0</v>
      </c>
      <c r="D50" s="79">
        <f>SUMIFS('caseload data'!F:F,'caseload data'!$A:$A,$B50,'caseload data'!$B:$B,"licence")</f>
        <v>0</v>
      </c>
      <c r="E50" s="79">
        <f>SUMIFS('caseload data'!G:G,'caseload data'!$A:$A,$B50,'caseload data'!$B:$B,"licence")</f>
        <v>0</v>
      </c>
      <c r="F50" s="79">
        <f>SUMIFS('caseload data'!H:H,'caseload data'!$A:$A,$B50,'caseload data'!$B:$B,"licence")</f>
        <v>0</v>
      </c>
      <c r="G50" s="79">
        <f>SUMIFS('caseload data'!I:I,'caseload data'!$A:$A,$B50,'caseload data'!$B:$B,"licence")</f>
        <v>0</v>
      </c>
      <c r="H50" s="79">
        <f>SUMIFS('caseload data'!J:J,'caseload data'!$A:$A,$B50,'caseload data'!$B:$B,"licence")</f>
        <v>0</v>
      </c>
      <c r="I50" s="79">
        <f>SUMIFS('caseload data'!K:K,'caseload data'!$A:$A,$B50,'caseload data'!$B:$B,"licence")</f>
        <v>0</v>
      </c>
      <c r="J50" s="79">
        <f>SUMIFS('caseload data'!L:L,'caseload data'!$A:$A,$B50,'caseload data'!$B:$B,"licence")</f>
        <v>0</v>
      </c>
      <c r="K50" s="79">
        <f>SUMIFS('caseload data'!M:M,'caseload data'!$A:$A,$B50,'caseload data'!$B:$B,"licence")</f>
        <v>0</v>
      </c>
      <c r="L50" s="79">
        <f>SUMIFS('caseload data'!N:N,'caseload data'!$A:$A,$B50,'caseload data'!$B:$B,"licence")</f>
        <v>0</v>
      </c>
      <c r="M50" s="79">
        <f>SUMIFS('caseload data'!O:O,'caseload data'!$A:$A,$B50,'caseload data'!$B:$B,"licence")</f>
        <v>0</v>
      </c>
      <c r="N50" s="79">
        <f>SUMIFS('caseload data'!P:P,'caseload data'!$A:$A,$B50,'caseload data'!$B:$B,"licence")</f>
        <v>0</v>
      </c>
      <c r="O50" s="79">
        <f>SUMIFS('caseload data'!Q:Q,'caseload data'!$A:$A,$B50,'caseload data'!$B:$B,"licence")</f>
        <v>0</v>
      </c>
      <c r="P50" s="79">
        <f>SUMIFS('caseload data'!R:R,'caseload data'!$A:$A,$B50,'caseload data'!$B:$B,"licence")</f>
        <v>0</v>
      </c>
      <c r="Q50" s="79">
        <f>SUMIFS('caseload data'!S:S,'caseload data'!$A:$A,$B50,'caseload data'!$B:$B,"licence")</f>
        <v>0</v>
      </c>
      <c r="R50" s="79">
        <f>SUMIFS('caseload data'!T:T,'caseload data'!$A:$A,$B50,'caseload data'!$B:$B,"licence")</f>
        <v>0</v>
      </c>
      <c r="S50" s="79">
        <f>SUMIFS('caseload data'!V:V,'caseload data'!$A:$A,B50,'caseload data'!$B:$B,"licence")</f>
        <v>0</v>
      </c>
      <c r="T50" s="95"/>
      <c r="U50" s="149" t="s">
        <v>33</v>
      </c>
      <c r="V50" s="70" t="e">
        <f>C50/$S$50</f>
        <v>#DIV/0!</v>
      </c>
      <c r="W50" s="70" t="e">
        <f t="shared" ref="W50:AK50" si="203">D50/$S$50</f>
        <v>#DIV/0!</v>
      </c>
      <c r="X50" s="70" t="e">
        <f t="shared" si="203"/>
        <v>#DIV/0!</v>
      </c>
      <c r="Y50" s="70" t="e">
        <f t="shared" si="203"/>
        <v>#DIV/0!</v>
      </c>
      <c r="Z50" s="70" t="e">
        <f t="shared" si="203"/>
        <v>#DIV/0!</v>
      </c>
      <c r="AA50" s="70" t="e">
        <f t="shared" si="203"/>
        <v>#DIV/0!</v>
      </c>
      <c r="AB50" s="70" t="e">
        <f t="shared" si="203"/>
        <v>#DIV/0!</v>
      </c>
      <c r="AC50" s="70" t="e">
        <f t="shared" si="203"/>
        <v>#DIV/0!</v>
      </c>
      <c r="AD50" s="70" t="e">
        <f t="shared" si="203"/>
        <v>#DIV/0!</v>
      </c>
      <c r="AE50" s="70" t="e">
        <f t="shared" si="203"/>
        <v>#DIV/0!</v>
      </c>
      <c r="AF50" s="70" t="e">
        <f t="shared" si="203"/>
        <v>#DIV/0!</v>
      </c>
      <c r="AG50" s="70" t="e">
        <f t="shared" si="203"/>
        <v>#DIV/0!</v>
      </c>
      <c r="AH50" s="70" t="e">
        <f t="shared" si="203"/>
        <v>#DIV/0!</v>
      </c>
      <c r="AI50" s="70" t="e">
        <f t="shared" si="203"/>
        <v>#DIV/0!</v>
      </c>
      <c r="AJ50" s="70" t="e">
        <f t="shared" si="203"/>
        <v>#DIV/0!</v>
      </c>
      <c r="AK50" s="70" t="e">
        <f t="shared" si="203"/>
        <v>#DIV/0!</v>
      </c>
    </row>
    <row r="51" spans="2:37" x14ac:dyDescent="0.15">
      <c r="B51" s="149" t="s">
        <v>34</v>
      </c>
      <c r="C51" s="79">
        <f>SUMIFS('caseload data'!E:E,'caseload data'!$A:$A,$B51,'caseload data'!$B:$B,"licence")</f>
        <v>0</v>
      </c>
      <c r="D51" s="79">
        <f>SUMIFS('caseload data'!F:F,'caseload data'!$A:$A,$B51,'caseload data'!$B:$B,"licence")</f>
        <v>0</v>
      </c>
      <c r="E51" s="79">
        <f>SUMIFS('caseload data'!G:G,'caseload data'!$A:$A,$B51,'caseload data'!$B:$B,"licence")</f>
        <v>0</v>
      </c>
      <c r="F51" s="79">
        <f>SUMIFS('caseload data'!H:H,'caseload data'!$A:$A,$B51,'caseload data'!$B:$B,"licence")</f>
        <v>0</v>
      </c>
      <c r="G51" s="79">
        <f>SUMIFS('caseload data'!I:I,'caseload data'!$A:$A,$B51,'caseload data'!$B:$B,"licence")</f>
        <v>0</v>
      </c>
      <c r="H51" s="79">
        <f>SUMIFS('caseload data'!J:J,'caseload data'!$A:$A,$B51,'caseload data'!$B:$B,"licence")</f>
        <v>0</v>
      </c>
      <c r="I51" s="79">
        <f>SUMIFS('caseload data'!K:K,'caseload data'!$A:$A,$B51,'caseload data'!$B:$B,"licence")</f>
        <v>0</v>
      </c>
      <c r="J51" s="79">
        <f>SUMIFS('caseload data'!L:L,'caseload data'!$A:$A,$B51,'caseload data'!$B:$B,"licence")</f>
        <v>0</v>
      </c>
      <c r="K51" s="79">
        <f>SUMIFS('caseload data'!M:M,'caseload data'!$A:$A,$B51,'caseload data'!$B:$B,"licence")</f>
        <v>0</v>
      </c>
      <c r="L51" s="79">
        <f>SUMIFS('caseload data'!N:N,'caseload data'!$A:$A,$B51,'caseload data'!$B:$B,"licence")</f>
        <v>0</v>
      </c>
      <c r="M51" s="79">
        <f>SUMIFS('caseload data'!O:O,'caseload data'!$A:$A,$B51,'caseload data'!$B:$B,"licence")</f>
        <v>0</v>
      </c>
      <c r="N51" s="79">
        <f>SUMIFS('caseload data'!P:P,'caseload data'!$A:$A,$B51,'caseload data'!$B:$B,"licence")</f>
        <v>0</v>
      </c>
      <c r="O51" s="79">
        <f>SUMIFS('caseload data'!Q:Q,'caseload data'!$A:$A,$B51,'caseload data'!$B:$B,"licence")</f>
        <v>0</v>
      </c>
      <c r="P51" s="79">
        <f>SUMIFS('caseload data'!R:R,'caseload data'!$A:$A,$B51,'caseload data'!$B:$B,"licence")</f>
        <v>0</v>
      </c>
      <c r="Q51" s="79">
        <f>SUMIFS('caseload data'!S:S,'caseload data'!$A:$A,$B51,'caseload data'!$B:$B,"licence")</f>
        <v>0</v>
      </c>
      <c r="R51" s="79">
        <f>SUMIFS('caseload data'!T:T,'caseload data'!$A:$A,$B51,'caseload data'!$B:$B,"licence")</f>
        <v>0</v>
      </c>
      <c r="S51" s="79">
        <f>SUMIFS('caseload data'!V:V,'caseload data'!$A:$A,B51,'caseload data'!$B:$B,"licence")</f>
        <v>0</v>
      </c>
      <c r="T51" s="95"/>
      <c r="U51" s="149" t="s">
        <v>34</v>
      </c>
      <c r="V51" s="70" t="e">
        <f>C51/$S$51</f>
        <v>#DIV/0!</v>
      </c>
      <c r="W51" s="70" t="e">
        <f t="shared" ref="W51:AK51" si="204">D51/$S$51</f>
        <v>#DIV/0!</v>
      </c>
      <c r="X51" s="70" t="e">
        <f t="shared" si="204"/>
        <v>#DIV/0!</v>
      </c>
      <c r="Y51" s="70" t="e">
        <f t="shared" si="204"/>
        <v>#DIV/0!</v>
      </c>
      <c r="Z51" s="70" t="e">
        <f t="shared" si="204"/>
        <v>#DIV/0!</v>
      </c>
      <c r="AA51" s="70" t="e">
        <f t="shared" si="204"/>
        <v>#DIV/0!</v>
      </c>
      <c r="AB51" s="70" t="e">
        <f t="shared" si="204"/>
        <v>#DIV/0!</v>
      </c>
      <c r="AC51" s="70" t="e">
        <f t="shared" si="204"/>
        <v>#DIV/0!</v>
      </c>
      <c r="AD51" s="70" t="e">
        <f t="shared" si="204"/>
        <v>#DIV/0!</v>
      </c>
      <c r="AE51" s="70" t="e">
        <f t="shared" si="204"/>
        <v>#DIV/0!</v>
      </c>
      <c r="AF51" s="70" t="e">
        <f t="shared" si="204"/>
        <v>#DIV/0!</v>
      </c>
      <c r="AG51" s="70" t="e">
        <f t="shared" si="204"/>
        <v>#DIV/0!</v>
      </c>
      <c r="AH51" s="70" t="e">
        <f t="shared" si="204"/>
        <v>#DIV/0!</v>
      </c>
      <c r="AI51" s="70" t="e">
        <f t="shared" si="204"/>
        <v>#DIV/0!</v>
      </c>
      <c r="AJ51" s="70" t="e">
        <f t="shared" si="204"/>
        <v>#DIV/0!</v>
      </c>
      <c r="AK51" s="70" t="e">
        <f t="shared" si="204"/>
        <v>#DIV/0!</v>
      </c>
    </row>
    <row r="52" spans="2:37" x14ac:dyDescent="0.15">
      <c r="B52" s="114" t="s">
        <v>1262</v>
      </c>
      <c r="C52" s="114">
        <f>SUMIF('caseload data'!$B:$B,"licence",'caseload data'!E:E)</f>
        <v>0</v>
      </c>
      <c r="D52" s="114">
        <f>SUMIF('caseload data'!$B:$B,"licence",'caseload data'!F:F)</f>
        <v>0</v>
      </c>
      <c r="E52" s="114">
        <f>SUMIF('caseload data'!$B:$B,"licence",'caseload data'!G:G)</f>
        <v>0</v>
      </c>
      <c r="F52" s="114">
        <f>SUMIF('caseload data'!$B:$B,"licence",'caseload data'!H:H)</f>
        <v>0</v>
      </c>
      <c r="G52" s="114">
        <f>SUMIF('caseload data'!$B:$B,"licence",'caseload data'!I:I)</f>
        <v>0</v>
      </c>
      <c r="H52" s="114">
        <f>SUMIF('caseload data'!$B:$B,"licence",'caseload data'!J:J)</f>
        <v>0</v>
      </c>
      <c r="I52" s="114">
        <f>SUMIF('caseload data'!$B:$B,"licence",'caseload data'!K:K)</f>
        <v>0</v>
      </c>
      <c r="J52" s="114">
        <f>SUMIF('caseload data'!$B:$B,"licence",'caseload data'!L:L)</f>
        <v>0</v>
      </c>
      <c r="K52" s="114">
        <f>SUMIF('caseload data'!$B:$B,"licence",'caseload data'!M:M)</f>
        <v>0</v>
      </c>
      <c r="L52" s="114">
        <f>SUMIF('caseload data'!$B:$B,"licence",'caseload data'!N:N)</f>
        <v>0</v>
      </c>
      <c r="M52" s="114">
        <f>SUMIF('caseload data'!$B:$B,"licence",'caseload data'!O:O)</f>
        <v>0</v>
      </c>
      <c r="N52" s="114">
        <f>SUMIF('caseload data'!$B:$B,"licence",'caseload data'!P:P)</f>
        <v>0</v>
      </c>
      <c r="O52" s="114">
        <f>SUMIF('caseload data'!$B:$B,"licence",'caseload data'!Q:Q)</f>
        <v>0</v>
      </c>
      <c r="P52" s="114">
        <f>SUMIF('caseload data'!$B:$B,"licence",'caseload data'!R:R)</f>
        <v>0</v>
      </c>
      <c r="Q52" s="114">
        <f>SUMIF('caseload data'!$B:$B,"licence",'caseload data'!S:S)</f>
        <v>0</v>
      </c>
      <c r="R52" s="114">
        <f>SUMIF('caseload data'!$B:$B,"licence",'caseload data'!T:T)</f>
        <v>0</v>
      </c>
      <c r="S52" s="114">
        <f>SUMIF('caseload data'!$B:$B,"licence",'caseload data'!V:V)</f>
        <v>0</v>
      </c>
      <c r="T52" s="95"/>
      <c r="U52" s="114" t="s">
        <v>1262</v>
      </c>
      <c r="V52" s="119" t="e">
        <f>C52/$S$52</f>
        <v>#DIV/0!</v>
      </c>
      <c r="W52" s="119" t="e">
        <f t="shared" ref="W52:AK52" si="205">D52/$S$52</f>
        <v>#DIV/0!</v>
      </c>
      <c r="X52" s="119" t="e">
        <f t="shared" si="205"/>
        <v>#DIV/0!</v>
      </c>
      <c r="Y52" s="119" t="e">
        <f t="shared" si="205"/>
        <v>#DIV/0!</v>
      </c>
      <c r="Z52" s="119" t="e">
        <f t="shared" si="205"/>
        <v>#DIV/0!</v>
      </c>
      <c r="AA52" s="119" t="e">
        <f t="shared" si="205"/>
        <v>#DIV/0!</v>
      </c>
      <c r="AB52" s="119" t="e">
        <f t="shared" si="205"/>
        <v>#DIV/0!</v>
      </c>
      <c r="AC52" s="119" t="e">
        <f t="shared" si="205"/>
        <v>#DIV/0!</v>
      </c>
      <c r="AD52" s="119" t="e">
        <f t="shared" si="205"/>
        <v>#DIV/0!</v>
      </c>
      <c r="AE52" s="119" t="e">
        <f t="shared" si="205"/>
        <v>#DIV/0!</v>
      </c>
      <c r="AF52" s="119" t="e">
        <f t="shared" si="205"/>
        <v>#DIV/0!</v>
      </c>
      <c r="AG52" s="119" t="e">
        <f t="shared" si="205"/>
        <v>#DIV/0!</v>
      </c>
      <c r="AH52" s="119" t="e">
        <f t="shared" si="205"/>
        <v>#DIV/0!</v>
      </c>
      <c r="AI52" s="119" t="e">
        <f t="shared" si="205"/>
        <v>#DIV/0!</v>
      </c>
      <c r="AJ52" s="119" t="e">
        <f t="shared" si="205"/>
        <v>#DIV/0!</v>
      </c>
      <c r="AK52" s="119" t="e">
        <f t="shared" si="205"/>
        <v>#DIV/0!</v>
      </c>
    </row>
    <row r="54" spans="2:37" ht="22.5" customHeight="1" x14ac:dyDescent="0.2">
      <c r="C54" s="455" t="s">
        <v>1268</v>
      </c>
      <c r="D54" s="456"/>
      <c r="E54" s="456"/>
      <c r="F54" s="456"/>
      <c r="G54" s="456"/>
      <c r="H54" s="456"/>
      <c r="I54" s="456"/>
      <c r="J54" s="456"/>
      <c r="K54" s="456"/>
      <c r="L54" s="456"/>
      <c r="M54" s="456"/>
      <c r="N54" s="456"/>
      <c r="O54" s="456"/>
      <c r="P54" s="456"/>
      <c r="Q54" s="456"/>
      <c r="R54" s="456"/>
      <c r="S54" s="457"/>
      <c r="V54" s="455" t="s">
        <v>1269</v>
      </c>
      <c r="W54" s="456"/>
      <c r="X54" s="456"/>
      <c r="Y54" s="456"/>
      <c r="Z54" s="456"/>
      <c r="AA54" s="456"/>
      <c r="AB54" s="456"/>
      <c r="AC54" s="456"/>
      <c r="AD54" s="456"/>
      <c r="AE54" s="456"/>
      <c r="AF54" s="456"/>
      <c r="AG54" s="456"/>
      <c r="AH54" s="456"/>
      <c r="AI54" s="456"/>
      <c r="AJ54" s="456"/>
      <c r="AK54" s="456"/>
    </row>
    <row r="55" spans="2:37" ht="15.75" customHeight="1" x14ac:dyDescent="0.15">
      <c r="B55" s="147"/>
      <c r="C55" s="40" t="s">
        <v>1022</v>
      </c>
      <c r="D55" s="40" t="s">
        <v>1023</v>
      </c>
      <c r="E55" s="40" t="s">
        <v>1024</v>
      </c>
      <c r="F55" s="40" t="s">
        <v>1025</v>
      </c>
      <c r="G55" s="40" t="s">
        <v>1026</v>
      </c>
      <c r="H55" s="40" t="s">
        <v>1027</v>
      </c>
      <c r="I55" s="40" t="s">
        <v>1028</v>
      </c>
      <c r="J55" s="40" t="s">
        <v>1029</v>
      </c>
      <c r="K55" s="40" t="s">
        <v>1030</v>
      </c>
      <c r="L55" s="40" t="s">
        <v>1031</v>
      </c>
      <c r="M55" s="40" t="s">
        <v>1032</v>
      </c>
      <c r="N55" s="40" t="s">
        <v>1033</v>
      </c>
      <c r="O55" s="40" t="s">
        <v>1034</v>
      </c>
      <c r="P55" s="40" t="s">
        <v>1035</v>
      </c>
      <c r="Q55" s="40" t="s">
        <v>1036</v>
      </c>
      <c r="R55" s="40" t="s">
        <v>1037</v>
      </c>
      <c r="S55" s="41" t="s">
        <v>1039</v>
      </c>
      <c r="T55" s="95"/>
      <c r="U55" s="239"/>
      <c r="V55" s="40" t="s">
        <v>1022</v>
      </c>
      <c r="W55" s="40" t="s">
        <v>1023</v>
      </c>
      <c r="X55" s="40" t="s">
        <v>1024</v>
      </c>
      <c r="Y55" s="40" t="s">
        <v>1025</v>
      </c>
      <c r="Z55" s="40" t="s">
        <v>1026</v>
      </c>
      <c r="AA55" s="40" t="s">
        <v>1027</v>
      </c>
      <c r="AB55" s="40" t="s">
        <v>1028</v>
      </c>
      <c r="AC55" s="40" t="s">
        <v>1029</v>
      </c>
      <c r="AD55" s="40" t="s">
        <v>1030</v>
      </c>
      <c r="AE55" s="40" t="s">
        <v>1031</v>
      </c>
      <c r="AF55" s="40" t="s">
        <v>1032</v>
      </c>
      <c r="AG55" s="40" t="s">
        <v>1033</v>
      </c>
      <c r="AH55" s="40" t="s">
        <v>1034</v>
      </c>
      <c r="AI55" s="40" t="s">
        <v>1035</v>
      </c>
      <c r="AJ55" s="40" t="s">
        <v>1036</v>
      </c>
      <c r="AK55" s="40" t="s">
        <v>1037</v>
      </c>
    </row>
    <row r="56" spans="2:37" x14ac:dyDescent="0.15">
      <c r="B56" s="149" t="s">
        <v>23</v>
      </c>
      <c r="C56" s="79">
        <f>SUMIFS('caseload data'!E:E,'caseload data'!$A:$A,$B56,'caseload data'!$B:$B,"community")</f>
        <v>0</v>
      </c>
      <c r="D56" s="79">
        <f>SUMIFS('caseload data'!F:F,'caseload data'!$A:$A,$B56,'caseload data'!$B:$B,"community")</f>
        <v>0</v>
      </c>
      <c r="E56" s="79">
        <f>SUMIFS('caseload data'!G:G,'caseload data'!$A:$A,$B56,'caseload data'!$B:$B,"community")</f>
        <v>0</v>
      </c>
      <c r="F56" s="79">
        <f>SUMIFS('caseload data'!H:H,'caseload data'!$A:$A,$B56,'caseload data'!$B:$B,"community")</f>
        <v>0</v>
      </c>
      <c r="G56" s="79">
        <f>SUMIFS('caseload data'!I:I,'caseload data'!$A:$A,$B56,'caseload data'!$B:$B,"community")</f>
        <v>0</v>
      </c>
      <c r="H56" s="79">
        <f>SUMIFS('caseload data'!J:J,'caseload data'!$A:$A,$B56,'caseload data'!$B:$B,"community")</f>
        <v>0</v>
      </c>
      <c r="I56" s="79">
        <f>SUMIFS('caseload data'!K:K,'caseload data'!$A:$A,$B56,'caseload data'!$B:$B,"community")</f>
        <v>0</v>
      </c>
      <c r="J56" s="79">
        <f>SUMIFS('caseload data'!L:L,'caseload data'!$A:$A,$B56,'caseload data'!$B:$B,"community")</f>
        <v>0</v>
      </c>
      <c r="K56" s="79">
        <f>SUMIFS('caseload data'!M:M,'caseload data'!$A:$A,$B56,'caseload data'!$B:$B,"community")</f>
        <v>0</v>
      </c>
      <c r="L56" s="79">
        <f>SUMIFS('caseload data'!N:N,'caseload data'!$A:$A,$B56,'caseload data'!$B:$B,"community")</f>
        <v>0</v>
      </c>
      <c r="M56" s="79">
        <f>SUMIFS('caseload data'!O:O,'caseload data'!$A:$A,$B56,'caseload data'!$B:$B,"community")</f>
        <v>0</v>
      </c>
      <c r="N56" s="79">
        <f>SUMIFS('caseload data'!P:P,'caseload data'!$A:$A,$B56,'caseload data'!$B:$B,"community")</f>
        <v>0</v>
      </c>
      <c r="O56" s="79">
        <f>SUMIFS('caseload data'!Q:Q,'caseload data'!$A:$A,$B56,'caseload data'!$B:$B,"community")</f>
        <v>0</v>
      </c>
      <c r="P56" s="79">
        <f>SUMIFS('caseload data'!R:R,'caseload data'!$A:$A,$B56,'caseload data'!$B:$B,"community")</f>
        <v>0</v>
      </c>
      <c r="Q56" s="79">
        <f>SUMIFS('caseload data'!S:S,'caseload data'!$A:$A,$B56,'caseload data'!$B:$B,"community")</f>
        <v>0</v>
      </c>
      <c r="R56" s="79">
        <f>SUMIFS('caseload data'!T:T,'caseload data'!$A:$A,$B56,'caseload data'!$B:$B,"community")</f>
        <v>0</v>
      </c>
      <c r="S56" s="79">
        <f>SUMIFS('caseload data'!V:V,'caseload data'!$A:$A,B56,'caseload data'!$B:$B,"community")</f>
        <v>0</v>
      </c>
      <c r="T56" s="95"/>
      <c r="U56" s="149" t="s">
        <v>23</v>
      </c>
      <c r="V56" s="70" t="e">
        <f>C56/$S$56</f>
        <v>#DIV/0!</v>
      </c>
      <c r="W56" s="70" t="e">
        <f t="shared" ref="W56:AK56" si="206">D56/$S$56</f>
        <v>#DIV/0!</v>
      </c>
      <c r="X56" s="70" t="e">
        <f t="shared" si="206"/>
        <v>#DIV/0!</v>
      </c>
      <c r="Y56" s="70" t="e">
        <f t="shared" si="206"/>
        <v>#DIV/0!</v>
      </c>
      <c r="Z56" s="70" t="e">
        <f t="shared" si="206"/>
        <v>#DIV/0!</v>
      </c>
      <c r="AA56" s="70" t="e">
        <f t="shared" si="206"/>
        <v>#DIV/0!</v>
      </c>
      <c r="AB56" s="70" t="e">
        <f t="shared" si="206"/>
        <v>#DIV/0!</v>
      </c>
      <c r="AC56" s="70" t="e">
        <f t="shared" si="206"/>
        <v>#DIV/0!</v>
      </c>
      <c r="AD56" s="70" t="e">
        <f t="shared" si="206"/>
        <v>#DIV/0!</v>
      </c>
      <c r="AE56" s="70" t="e">
        <f t="shared" si="206"/>
        <v>#DIV/0!</v>
      </c>
      <c r="AF56" s="70" t="e">
        <f t="shared" si="206"/>
        <v>#DIV/0!</v>
      </c>
      <c r="AG56" s="70" t="e">
        <f t="shared" si="206"/>
        <v>#DIV/0!</v>
      </c>
      <c r="AH56" s="70" t="e">
        <f t="shared" si="206"/>
        <v>#DIV/0!</v>
      </c>
      <c r="AI56" s="70" t="e">
        <f t="shared" si="206"/>
        <v>#DIV/0!</v>
      </c>
      <c r="AJ56" s="70" t="e">
        <f t="shared" si="206"/>
        <v>#DIV/0!</v>
      </c>
      <c r="AK56" s="70" t="e">
        <f t="shared" si="206"/>
        <v>#DIV/0!</v>
      </c>
    </row>
    <row r="57" spans="2:37" x14ac:dyDescent="0.15">
      <c r="B57" s="149" t="s">
        <v>24</v>
      </c>
      <c r="C57" s="79">
        <f>SUMIFS('caseload data'!E:E,'caseload data'!$A:$A,$B57,'caseload data'!$B:$B,"community")</f>
        <v>0</v>
      </c>
      <c r="D57" s="79">
        <f>SUMIFS('caseload data'!F:F,'caseload data'!$A:$A,$B57,'caseload data'!$B:$B,"community")</f>
        <v>0</v>
      </c>
      <c r="E57" s="79">
        <f>SUMIFS('caseload data'!G:G,'caseload data'!$A:$A,$B57,'caseload data'!$B:$B,"community")</f>
        <v>0</v>
      </c>
      <c r="F57" s="79">
        <f>SUMIFS('caseload data'!H:H,'caseload data'!$A:$A,$B57,'caseload data'!$B:$B,"community")</f>
        <v>0</v>
      </c>
      <c r="G57" s="79">
        <f>SUMIFS('caseload data'!I:I,'caseload data'!$A:$A,$B57,'caseload data'!$B:$B,"community")</f>
        <v>0</v>
      </c>
      <c r="H57" s="79">
        <f>SUMIFS('caseload data'!J:J,'caseload data'!$A:$A,$B57,'caseload data'!$B:$B,"community")</f>
        <v>0</v>
      </c>
      <c r="I57" s="79">
        <f>SUMIFS('caseload data'!K:K,'caseload data'!$A:$A,$B57,'caseload data'!$B:$B,"community")</f>
        <v>0</v>
      </c>
      <c r="J57" s="79">
        <f>SUMIFS('caseload data'!L:L,'caseload data'!$A:$A,$B57,'caseload data'!$B:$B,"community")</f>
        <v>0</v>
      </c>
      <c r="K57" s="79">
        <f>SUMIFS('caseload data'!M:M,'caseload data'!$A:$A,$B57,'caseload data'!$B:$B,"community")</f>
        <v>0</v>
      </c>
      <c r="L57" s="79">
        <f>SUMIFS('caseload data'!N:N,'caseload data'!$A:$A,$B57,'caseload data'!$B:$B,"community")</f>
        <v>0</v>
      </c>
      <c r="M57" s="79">
        <f>SUMIFS('caseload data'!O:O,'caseload data'!$A:$A,$B57,'caseload data'!$B:$B,"community")</f>
        <v>0</v>
      </c>
      <c r="N57" s="79">
        <f>SUMIFS('caseload data'!P:P,'caseload data'!$A:$A,$B57,'caseload data'!$B:$B,"community")</f>
        <v>0</v>
      </c>
      <c r="O57" s="79">
        <f>SUMIFS('caseload data'!Q:Q,'caseload data'!$A:$A,$B57,'caseload data'!$B:$B,"community")</f>
        <v>0</v>
      </c>
      <c r="P57" s="79">
        <f>SUMIFS('caseload data'!R:R,'caseload data'!$A:$A,$B57,'caseload data'!$B:$B,"community")</f>
        <v>0</v>
      </c>
      <c r="Q57" s="79">
        <f>SUMIFS('caseload data'!S:S,'caseload data'!$A:$A,$B57,'caseload data'!$B:$B,"community")</f>
        <v>0</v>
      </c>
      <c r="R57" s="79">
        <f>SUMIFS('caseload data'!T:T,'caseload data'!$A:$A,$B57,'caseload data'!$B:$B,"community")</f>
        <v>0</v>
      </c>
      <c r="S57" s="79">
        <f>SUMIFS('caseload data'!V:V,'caseload data'!$A:$A,B57,'caseload data'!$B:$B,"community")</f>
        <v>0</v>
      </c>
      <c r="T57" s="95"/>
      <c r="U57" s="149" t="s">
        <v>24</v>
      </c>
      <c r="V57" s="70" t="e">
        <f>C57/$S$57</f>
        <v>#DIV/0!</v>
      </c>
      <c r="W57" s="70" t="e">
        <f t="shared" ref="W57:AK57" si="207">D57/$S$57</f>
        <v>#DIV/0!</v>
      </c>
      <c r="X57" s="70" t="e">
        <f t="shared" si="207"/>
        <v>#DIV/0!</v>
      </c>
      <c r="Y57" s="70" t="e">
        <f t="shared" si="207"/>
        <v>#DIV/0!</v>
      </c>
      <c r="Z57" s="70" t="e">
        <f t="shared" si="207"/>
        <v>#DIV/0!</v>
      </c>
      <c r="AA57" s="70" t="e">
        <f t="shared" si="207"/>
        <v>#DIV/0!</v>
      </c>
      <c r="AB57" s="70" t="e">
        <f t="shared" si="207"/>
        <v>#DIV/0!</v>
      </c>
      <c r="AC57" s="70" t="e">
        <f t="shared" si="207"/>
        <v>#DIV/0!</v>
      </c>
      <c r="AD57" s="70" t="e">
        <f t="shared" si="207"/>
        <v>#DIV/0!</v>
      </c>
      <c r="AE57" s="70" t="e">
        <f t="shared" si="207"/>
        <v>#DIV/0!</v>
      </c>
      <c r="AF57" s="70" t="e">
        <f t="shared" si="207"/>
        <v>#DIV/0!</v>
      </c>
      <c r="AG57" s="70" t="e">
        <f t="shared" si="207"/>
        <v>#DIV/0!</v>
      </c>
      <c r="AH57" s="70" t="e">
        <f t="shared" si="207"/>
        <v>#DIV/0!</v>
      </c>
      <c r="AI57" s="70" t="e">
        <f t="shared" si="207"/>
        <v>#DIV/0!</v>
      </c>
      <c r="AJ57" s="70" t="e">
        <f t="shared" si="207"/>
        <v>#DIV/0!</v>
      </c>
      <c r="AK57" s="70" t="e">
        <f t="shared" si="207"/>
        <v>#DIV/0!</v>
      </c>
    </row>
    <row r="58" spans="2:37" x14ac:dyDescent="0.15">
      <c r="B58" s="149" t="s">
        <v>25</v>
      </c>
      <c r="C58" s="79">
        <f>SUMIFS('caseload data'!E:E,'caseload data'!$A:$A,$B58,'caseload data'!$B:$B,"community")</f>
        <v>0</v>
      </c>
      <c r="D58" s="79">
        <f>SUMIFS('caseload data'!F:F,'caseload data'!$A:$A,$B58,'caseload data'!$B:$B,"community")</f>
        <v>0</v>
      </c>
      <c r="E58" s="79">
        <f>SUMIFS('caseload data'!G:G,'caseload data'!$A:$A,$B58,'caseload data'!$B:$B,"community")</f>
        <v>0</v>
      </c>
      <c r="F58" s="79">
        <f>SUMIFS('caseload data'!H:H,'caseload data'!$A:$A,$B58,'caseload data'!$B:$B,"community")</f>
        <v>0</v>
      </c>
      <c r="G58" s="79">
        <f>SUMIFS('caseload data'!I:I,'caseload data'!$A:$A,$B58,'caseload data'!$B:$B,"community")</f>
        <v>0</v>
      </c>
      <c r="H58" s="79">
        <f>SUMIFS('caseload data'!J:J,'caseload data'!$A:$A,$B58,'caseload data'!$B:$B,"community")</f>
        <v>0</v>
      </c>
      <c r="I58" s="79">
        <f>SUMIFS('caseload data'!K:K,'caseload data'!$A:$A,$B58,'caseload data'!$B:$B,"community")</f>
        <v>0</v>
      </c>
      <c r="J58" s="79">
        <f>SUMIFS('caseload data'!L:L,'caseload data'!$A:$A,$B58,'caseload data'!$B:$B,"community")</f>
        <v>0</v>
      </c>
      <c r="K58" s="79">
        <f>SUMIFS('caseload data'!M:M,'caseload data'!$A:$A,$B58,'caseload data'!$B:$B,"community")</f>
        <v>0</v>
      </c>
      <c r="L58" s="79">
        <f>SUMIFS('caseload data'!N:N,'caseload data'!$A:$A,$B58,'caseload data'!$B:$B,"community")</f>
        <v>0</v>
      </c>
      <c r="M58" s="79">
        <f>SUMIFS('caseload data'!O:O,'caseload data'!$A:$A,$B58,'caseload data'!$B:$B,"community")</f>
        <v>0</v>
      </c>
      <c r="N58" s="79">
        <f>SUMIFS('caseload data'!P:P,'caseload data'!$A:$A,$B58,'caseload data'!$B:$B,"community")</f>
        <v>0</v>
      </c>
      <c r="O58" s="79">
        <f>SUMIFS('caseload data'!Q:Q,'caseload data'!$A:$A,$B58,'caseload data'!$B:$B,"community")</f>
        <v>0</v>
      </c>
      <c r="P58" s="79">
        <f>SUMIFS('caseload data'!R:R,'caseload data'!$A:$A,$B58,'caseload data'!$B:$B,"community")</f>
        <v>0</v>
      </c>
      <c r="Q58" s="79">
        <f>SUMIFS('caseload data'!S:S,'caseload data'!$A:$A,$B58,'caseload data'!$B:$B,"community")</f>
        <v>0</v>
      </c>
      <c r="R58" s="79">
        <f>SUMIFS('caseload data'!T:T,'caseload data'!$A:$A,$B58,'caseload data'!$B:$B,"community")</f>
        <v>0</v>
      </c>
      <c r="S58" s="79">
        <f>SUMIFS('caseload data'!V:V,'caseload data'!$A:$A,B58,'caseload data'!$B:$B,"community")</f>
        <v>0</v>
      </c>
      <c r="T58" s="95"/>
      <c r="U58" s="149" t="s">
        <v>25</v>
      </c>
      <c r="V58" s="70" t="e">
        <f>C58/$S$58</f>
        <v>#DIV/0!</v>
      </c>
      <c r="W58" s="70" t="e">
        <f t="shared" ref="W58:AK58" si="208">D58/$S$58</f>
        <v>#DIV/0!</v>
      </c>
      <c r="X58" s="70" t="e">
        <f t="shared" si="208"/>
        <v>#DIV/0!</v>
      </c>
      <c r="Y58" s="70" t="e">
        <f t="shared" si="208"/>
        <v>#DIV/0!</v>
      </c>
      <c r="Z58" s="70" t="e">
        <f t="shared" si="208"/>
        <v>#DIV/0!</v>
      </c>
      <c r="AA58" s="70" t="e">
        <f t="shared" si="208"/>
        <v>#DIV/0!</v>
      </c>
      <c r="AB58" s="70" t="e">
        <f t="shared" si="208"/>
        <v>#DIV/0!</v>
      </c>
      <c r="AC58" s="70" t="e">
        <f t="shared" si="208"/>
        <v>#DIV/0!</v>
      </c>
      <c r="AD58" s="70" t="e">
        <f t="shared" si="208"/>
        <v>#DIV/0!</v>
      </c>
      <c r="AE58" s="70" t="e">
        <f t="shared" si="208"/>
        <v>#DIV/0!</v>
      </c>
      <c r="AF58" s="70" t="e">
        <f t="shared" si="208"/>
        <v>#DIV/0!</v>
      </c>
      <c r="AG58" s="70" t="e">
        <f t="shared" si="208"/>
        <v>#DIV/0!</v>
      </c>
      <c r="AH58" s="70" t="e">
        <f t="shared" si="208"/>
        <v>#DIV/0!</v>
      </c>
      <c r="AI58" s="70" t="e">
        <f t="shared" si="208"/>
        <v>#DIV/0!</v>
      </c>
      <c r="AJ58" s="70" t="e">
        <f t="shared" si="208"/>
        <v>#DIV/0!</v>
      </c>
      <c r="AK58" s="70" t="e">
        <f t="shared" si="208"/>
        <v>#DIV/0!</v>
      </c>
    </row>
    <row r="59" spans="2:37" x14ac:dyDescent="0.15">
      <c r="B59" s="149" t="s">
        <v>26</v>
      </c>
      <c r="C59" s="79">
        <f>SUMIFS('caseload data'!E:E,'caseload data'!$A:$A,$B59,'caseload data'!$B:$B,"community")</f>
        <v>0</v>
      </c>
      <c r="D59" s="79">
        <f>SUMIFS('caseload data'!F:F,'caseload data'!$A:$A,$B59,'caseload data'!$B:$B,"community")</f>
        <v>0</v>
      </c>
      <c r="E59" s="79">
        <f>SUMIFS('caseload data'!G:G,'caseload data'!$A:$A,$B59,'caseload data'!$B:$B,"community")</f>
        <v>0</v>
      </c>
      <c r="F59" s="79">
        <f>SUMIFS('caseload data'!H:H,'caseload data'!$A:$A,$B59,'caseload data'!$B:$B,"community")</f>
        <v>0</v>
      </c>
      <c r="G59" s="79">
        <f>SUMIFS('caseload data'!I:I,'caseload data'!$A:$A,$B59,'caseload data'!$B:$B,"community")</f>
        <v>0</v>
      </c>
      <c r="H59" s="79">
        <f>SUMIFS('caseload data'!J:J,'caseload data'!$A:$A,$B59,'caseload data'!$B:$B,"community")</f>
        <v>0</v>
      </c>
      <c r="I59" s="79">
        <f>SUMIFS('caseload data'!K:K,'caseload data'!$A:$A,$B59,'caseload data'!$B:$B,"community")</f>
        <v>0</v>
      </c>
      <c r="J59" s="79">
        <f>SUMIFS('caseload data'!L:L,'caseload data'!$A:$A,$B59,'caseload data'!$B:$B,"community")</f>
        <v>0</v>
      </c>
      <c r="K59" s="79">
        <f>SUMIFS('caseload data'!M:M,'caseload data'!$A:$A,$B59,'caseload data'!$B:$B,"community")</f>
        <v>0</v>
      </c>
      <c r="L59" s="79">
        <f>SUMIFS('caseload data'!N:N,'caseload data'!$A:$A,$B59,'caseload data'!$B:$B,"community")</f>
        <v>0</v>
      </c>
      <c r="M59" s="79">
        <f>SUMIFS('caseload data'!O:O,'caseload data'!$A:$A,$B59,'caseload data'!$B:$B,"community")</f>
        <v>0</v>
      </c>
      <c r="N59" s="79">
        <f>SUMIFS('caseload data'!P:P,'caseload data'!$A:$A,$B59,'caseload data'!$B:$B,"community")</f>
        <v>0</v>
      </c>
      <c r="O59" s="79">
        <f>SUMIFS('caseload data'!Q:Q,'caseload data'!$A:$A,$B59,'caseload data'!$B:$B,"community")</f>
        <v>0</v>
      </c>
      <c r="P59" s="79">
        <f>SUMIFS('caseload data'!R:R,'caseload data'!$A:$A,$B59,'caseload data'!$B:$B,"community")</f>
        <v>0</v>
      </c>
      <c r="Q59" s="79">
        <f>SUMIFS('caseload data'!S:S,'caseload data'!$A:$A,$B59,'caseload data'!$B:$B,"community")</f>
        <v>0</v>
      </c>
      <c r="R59" s="79">
        <f>SUMIFS('caseload data'!T:T,'caseload data'!$A:$A,$B59,'caseload data'!$B:$B,"community")</f>
        <v>0</v>
      </c>
      <c r="S59" s="79">
        <f>SUMIFS('caseload data'!V:V,'caseload data'!$A:$A,B59,'caseload data'!$B:$B,"community")</f>
        <v>0</v>
      </c>
      <c r="T59" s="95"/>
      <c r="U59" s="149" t="s">
        <v>26</v>
      </c>
      <c r="V59" s="70" t="e">
        <f>C59/$S$59</f>
        <v>#DIV/0!</v>
      </c>
      <c r="W59" s="70" t="e">
        <f t="shared" ref="W59:AK59" si="209">D59/$S$59</f>
        <v>#DIV/0!</v>
      </c>
      <c r="X59" s="70" t="e">
        <f t="shared" si="209"/>
        <v>#DIV/0!</v>
      </c>
      <c r="Y59" s="70" t="e">
        <f t="shared" si="209"/>
        <v>#DIV/0!</v>
      </c>
      <c r="Z59" s="70" t="e">
        <f t="shared" si="209"/>
        <v>#DIV/0!</v>
      </c>
      <c r="AA59" s="70" t="e">
        <f t="shared" si="209"/>
        <v>#DIV/0!</v>
      </c>
      <c r="AB59" s="70" t="e">
        <f t="shared" si="209"/>
        <v>#DIV/0!</v>
      </c>
      <c r="AC59" s="70" t="e">
        <f t="shared" si="209"/>
        <v>#DIV/0!</v>
      </c>
      <c r="AD59" s="70" t="e">
        <f t="shared" si="209"/>
        <v>#DIV/0!</v>
      </c>
      <c r="AE59" s="70" t="e">
        <f t="shared" si="209"/>
        <v>#DIV/0!</v>
      </c>
      <c r="AF59" s="70" t="e">
        <f t="shared" si="209"/>
        <v>#DIV/0!</v>
      </c>
      <c r="AG59" s="70" t="e">
        <f t="shared" si="209"/>
        <v>#DIV/0!</v>
      </c>
      <c r="AH59" s="70" t="e">
        <f t="shared" si="209"/>
        <v>#DIV/0!</v>
      </c>
      <c r="AI59" s="70" t="e">
        <f t="shared" si="209"/>
        <v>#DIV/0!</v>
      </c>
      <c r="AJ59" s="70" t="e">
        <f t="shared" si="209"/>
        <v>#DIV/0!</v>
      </c>
      <c r="AK59" s="70" t="e">
        <f t="shared" si="209"/>
        <v>#DIV/0!</v>
      </c>
    </row>
    <row r="60" spans="2:37" x14ac:dyDescent="0.15">
      <c r="B60" s="149" t="s">
        <v>27</v>
      </c>
      <c r="C60" s="79">
        <f>SUMIFS('caseload data'!E:E,'caseload data'!$A:$A,$B60,'caseload data'!$B:$B,"community")</f>
        <v>0</v>
      </c>
      <c r="D60" s="79">
        <f>SUMIFS('caseload data'!F:F,'caseload data'!$A:$A,$B60,'caseload data'!$B:$B,"community")</f>
        <v>0</v>
      </c>
      <c r="E60" s="79">
        <f>SUMIFS('caseload data'!G:G,'caseload data'!$A:$A,$B60,'caseload data'!$B:$B,"community")</f>
        <v>0</v>
      </c>
      <c r="F60" s="79">
        <f>SUMIFS('caseload data'!H:H,'caseload data'!$A:$A,$B60,'caseload data'!$B:$B,"community")</f>
        <v>0</v>
      </c>
      <c r="G60" s="79">
        <f>SUMIFS('caseload data'!I:I,'caseload data'!$A:$A,$B60,'caseload data'!$B:$B,"community")</f>
        <v>0</v>
      </c>
      <c r="H60" s="79">
        <f>SUMIFS('caseload data'!J:J,'caseload data'!$A:$A,$B60,'caseload data'!$B:$B,"community")</f>
        <v>0</v>
      </c>
      <c r="I60" s="79">
        <f>SUMIFS('caseload data'!K:K,'caseload data'!$A:$A,$B60,'caseload data'!$B:$B,"community")</f>
        <v>0</v>
      </c>
      <c r="J60" s="79">
        <f>SUMIFS('caseload data'!L:L,'caseload data'!$A:$A,$B60,'caseload data'!$B:$B,"community")</f>
        <v>0</v>
      </c>
      <c r="K60" s="79">
        <f>SUMIFS('caseload data'!M:M,'caseload data'!$A:$A,$B60,'caseload data'!$B:$B,"community")</f>
        <v>0</v>
      </c>
      <c r="L60" s="79">
        <f>SUMIFS('caseload data'!N:N,'caseload data'!$A:$A,$B60,'caseload data'!$B:$B,"community")</f>
        <v>0</v>
      </c>
      <c r="M60" s="79">
        <f>SUMIFS('caseload data'!O:O,'caseload data'!$A:$A,$B60,'caseload data'!$B:$B,"community")</f>
        <v>0</v>
      </c>
      <c r="N60" s="79">
        <f>SUMIFS('caseload data'!P:P,'caseload data'!$A:$A,$B60,'caseload data'!$B:$B,"community")</f>
        <v>0</v>
      </c>
      <c r="O60" s="79">
        <f>SUMIFS('caseload data'!Q:Q,'caseload data'!$A:$A,$B60,'caseload data'!$B:$B,"community")</f>
        <v>0</v>
      </c>
      <c r="P60" s="79">
        <f>SUMIFS('caseload data'!R:R,'caseload data'!$A:$A,$B60,'caseload data'!$B:$B,"community")</f>
        <v>0</v>
      </c>
      <c r="Q60" s="79">
        <f>SUMIFS('caseload data'!S:S,'caseload data'!$A:$A,$B60,'caseload data'!$B:$B,"community")</f>
        <v>0</v>
      </c>
      <c r="R60" s="79">
        <f>SUMIFS('caseload data'!T:T,'caseload data'!$A:$A,$B60,'caseload data'!$B:$B,"community")</f>
        <v>0</v>
      </c>
      <c r="S60" s="79">
        <f>SUMIFS('caseload data'!V:V,'caseload data'!$A:$A,B60,'caseload data'!$B:$B,"community")</f>
        <v>0</v>
      </c>
      <c r="T60" s="95"/>
      <c r="U60" s="149" t="s">
        <v>27</v>
      </c>
      <c r="V60" s="70" t="e">
        <f>C60/$S$60</f>
        <v>#DIV/0!</v>
      </c>
      <c r="W60" s="70" t="e">
        <f t="shared" ref="W60:AK60" si="210">D60/$S$60</f>
        <v>#DIV/0!</v>
      </c>
      <c r="X60" s="70" t="e">
        <f t="shared" si="210"/>
        <v>#DIV/0!</v>
      </c>
      <c r="Y60" s="70" t="e">
        <f t="shared" si="210"/>
        <v>#DIV/0!</v>
      </c>
      <c r="Z60" s="70" t="e">
        <f t="shared" si="210"/>
        <v>#DIV/0!</v>
      </c>
      <c r="AA60" s="70" t="e">
        <f t="shared" si="210"/>
        <v>#DIV/0!</v>
      </c>
      <c r="AB60" s="70" t="e">
        <f t="shared" si="210"/>
        <v>#DIV/0!</v>
      </c>
      <c r="AC60" s="70" t="e">
        <f t="shared" si="210"/>
        <v>#DIV/0!</v>
      </c>
      <c r="AD60" s="70" t="e">
        <f t="shared" si="210"/>
        <v>#DIV/0!</v>
      </c>
      <c r="AE60" s="70" t="e">
        <f t="shared" si="210"/>
        <v>#DIV/0!</v>
      </c>
      <c r="AF60" s="70" t="e">
        <f t="shared" si="210"/>
        <v>#DIV/0!</v>
      </c>
      <c r="AG60" s="70" t="e">
        <f t="shared" si="210"/>
        <v>#DIV/0!</v>
      </c>
      <c r="AH60" s="70" t="e">
        <f t="shared" si="210"/>
        <v>#DIV/0!</v>
      </c>
      <c r="AI60" s="70" t="e">
        <f t="shared" si="210"/>
        <v>#DIV/0!</v>
      </c>
      <c r="AJ60" s="70" t="e">
        <f t="shared" si="210"/>
        <v>#DIV/0!</v>
      </c>
      <c r="AK60" s="70" t="e">
        <f t="shared" si="210"/>
        <v>#DIV/0!</v>
      </c>
    </row>
    <row r="61" spans="2:37" x14ac:dyDescent="0.15">
      <c r="B61" s="149" t="s">
        <v>28</v>
      </c>
      <c r="C61" s="79">
        <f>SUMIFS('caseload data'!E:E,'caseload data'!$A:$A,$B61,'caseload data'!$B:$B,"community")</f>
        <v>0</v>
      </c>
      <c r="D61" s="79">
        <f>SUMIFS('caseload data'!F:F,'caseload data'!$A:$A,$B61,'caseload data'!$B:$B,"community")</f>
        <v>0</v>
      </c>
      <c r="E61" s="79">
        <f>SUMIFS('caseload data'!G:G,'caseload data'!$A:$A,$B61,'caseload data'!$B:$B,"community")</f>
        <v>0</v>
      </c>
      <c r="F61" s="79">
        <f>SUMIFS('caseload data'!H:H,'caseload data'!$A:$A,$B61,'caseload data'!$B:$B,"community")</f>
        <v>0</v>
      </c>
      <c r="G61" s="79">
        <f>SUMIFS('caseload data'!I:I,'caseload data'!$A:$A,$B61,'caseload data'!$B:$B,"community")</f>
        <v>0</v>
      </c>
      <c r="H61" s="79">
        <f>SUMIFS('caseload data'!J:J,'caseload data'!$A:$A,$B61,'caseload data'!$B:$B,"community")</f>
        <v>0</v>
      </c>
      <c r="I61" s="79">
        <f>SUMIFS('caseload data'!K:K,'caseload data'!$A:$A,$B61,'caseload data'!$B:$B,"community")</f>
        <v>0</v>
      </c>
      <c r="J61" s="79">
        <f>SUMIFS('caseload data'!L:L,'caseload data'!$A:$A,$B61,'caseload data'!$B:$B,"community")</f>
        <v>0</v>
      </c>
      <c r="K61" s="79">
        <f>SUMIFS('caseload data'!M:M,'caseload data'!$A:$A,$B61,'caseload data'!$B:$B,"community")</f>
        <v>0</v>
      </c>
      <c r="L61" s="79">
        <f>SUMIFS('caseload data'!N:N,'caseload data'!$A:$A,$B61,'caseload data'!$B:$B,"community")</f>
        <v>0</v>
      </c>
      <c r="M61" s="79">
        <f>SUMIFS('caseload data'!O:O,'caseload data'!$A:$A,$B61,'caseload data'!$B:$B,"community")</f>
        <v>0</v>
      </c>
      <c r="N61" s="79">
        <f>SUMIFS('caseload data'!P:P,'caseload data'!$A:$A,$B61,'caseload data'!$B:$B,"community")</f>
        <v>0</v>
      </c>
      <c r="O61" s="79">
        <f>SUMIFS('caseload data'!Q:Q,'caseload data'!$A:$A,$B61,'caseload data'!$B:$B,"community")</f>
        <v>0</v>
      </c>
      <c r="P61" s="79">
        <f>SUMIFS('caseload data'!R:R,'caseload data'!$A:$A,$B61,'caseload data'!$B:$B,"community")</f>
        <v>0</v>
      </c>
      <c r="Q61" s="79">
        <f>SUMIFS('caseload data'!S:S,'caseload data'!$A:$A,$B61,'caseload data'!$B:$B,"community")</f>
        <v>0</v>
      </c>
      <c r="R61" s="79">
        <f>SUMIFS('caseload data'!T:T,'caseload data'!$A:$A,$B61,'caseload data'!$B:$B,"community")</f>
        <v>0</v>
      </c>
      <c r="S61" s="79">
        <f>SUMIFS('caseload data'!V:V,'caseload data'!$A:$A,B61,'caseload data'!$B:$B,"community")</f>
        <v>0</v>
      </c>
      <c r="T61" s="95"/>
      <c r="U61" s="149" t="s">
        <v>28</v>
      </c>
      <c r="V61" s="70" t="e">
        <f>C61/$S$61</f>
        <v>#DIV/0!</v>
      </c>
      <c r="W61" s="70" t="e">
        <f t="shared" ref="W61:AK61" si="211">D61/$S$61</f>
        <v>#DIV/0!</v>
      </c>
      <c r="X61" s="70" t="e">
        <f t="shared" si="211"/>
        <v>#DIV/0!</v>
      </c>
      <c r="Y61" s="70" t="e">
        <f t="shared" si="211"/>
        <v>#DIV/0!</v>
      </c>
      <c r="Z61" s="70" t="e">
        <f t="shared" si="211"/>
        <v>#DIV/0!</v>
      </c>
      <c r="AA61" s="70" t="e">
        <f t="shared" si="211"/>
        <v>#DIV/0!</v>
      </c>
      <c r="AB61" s="70" t="e">
        <f t="shared" si="211"/>
        <v>#DIV/0!</v>
      </c>
      <c r="AC61" s="70" t="e">
        <f t="shared" si="211"/>
        <v>#DIV/0!</v>
      </c>
      <c r="AD61" s="70" t="e">
        <f t="shared" si="211"/>
        <v>#DIV/0!</v>
      </c>
      <c r="AE61" s="70" t="e">
        <f t="shared" si="211"/>
        <v>#DIV/0!</v>
      </c>
      <c r="AF61" s="70" t="e">
        <f t="shared" si="211"/>
        <v>#DIV/0!</v>
      </c>
      <c r="AG61" s="70" t="e">
        <f t="shared" si="211"/>
        <v>#DIV/0!</v>
      </c>
      <c r="AH61" s="70" t="e">
        <f t="shared" si="211"/>
        <v>#DIV/0!</v>
      </c>
      <c r="AI61" s="70" t="e">
        <f t="shared" si="211"/>
        <v>#DIV/0!</v>
      </c>
      <c r="AJ61" s="70" t="e">
        <f t="shared" si="211"/>
        <v>#DIV/0!</v>
      </c>
      <c r="AK61" s="70" t="e">
        <f t="shared" si="211"/>
        <v>#DIV/0!</v>
      </c>
    </row>
    <row r="62" spans="2:37" x14ac:dyDescent="0.15">
      <c r="B62" s="149" t="s">
        <v>29</v>
      </c>
      <c r="C62" s="79">
        <f>SUMIFS('caseload data'!E:E,'caseload data'!$A:$A,$B62,'caseload data'!$B:$B,"community")</f>
        <v>0</v>
      </c>
      <c r="D62" s="79">
        <f>SUMIFS('caseload data'!F:F,'caseload data'!$A:$A,$B62,'caseload data'!$B:$B,"community")</f>
        <v>0</v>
      </c>
      <c r="E62" s="79">
        <f>SUMIFS('caseload data'!G:G,'caseload data'!$A:$A,$B62,'caseload data'!$B:$B,"community")</f>
        <v>0</v>
      </c>
      <c r="F62" s="79">
        <f>SUMIFS('caseload data'!H:H,'caseload data'!$A:$A,$B62,'caseload data'!$B:$B,"community")</f>
        <v>0</v>
      </c>
      <c r="G62" s="79">
        <f>SUMIFS('caseload data'!I:I,'caseload data'!$A:$A,$B62,'caseload data'!$B:$B,"community")</f>
        <v>0</v>
      </c>
      <c r="H62" s="79">
        <f>SUMIFS('caseload data'!J:J,'caseload data'!$A:$A,$B62,'caseload data'!$B:$B,"community")</f>
        <v>0</v>
      </c>
      <c r="I62" s="79">
        <f>SUMIFS('caseload data'!K:K,'caseload data'!$A:$A,$B62,'caseload data'!$B:$B,"community")</f>
        <v>0</v>
      </c>
      <c r="J62" s="79">
        <f>SUMIFS('caseload data'!L:L,'caseload data'!$A:$A,$B62,'caseload data'!$B:$B,"community")</f>
        <v>0</v>
      </c>
      <c r="K62" s="79">
        <f>SUMIFS('caseload data'!M:M,'caseload data'!$A:$A,$B62,'caseload data'!$B:$B,"community")</f>
        <v>0</v>
      </c>
      <c r="L62" s="79">
        <f>SUMIFS('caseload data'!N:N,'caseload data'!$A:$A,$B62,'caseload data'!$B:$B,"community")</f>
        <v>0</v>
      </c>
      <c r="M62" s="79">
        <f>SUMIFS('caseload data'!O:O,'caseload data'!$A:$A,$B62,'caseload data'!$B:$B,"community")</f>
        <v>0</v>
      </c>
      <c r="N62" s="79">
        <f>SUMIFS('caseload data'!P:P,'caseload data'!$A:$A,$B62,'caseload data'!$B:$B,"community")</f>
        <v>0</v>
      </c>
      <c r="O62" s="79">
        <f>SUMIFS('caseload data'!Q:Q,'caseload data'!$A:$A,$B62,'caseload data'!$B:$B,"community")</f>
        <v>0</v>
      </c>
      <c r="P62" s="79">
        <f>SUMIFS('caseload data'!R:R,'caseload data'!$A:$A,$B62,'caseload data'!$B:$B,"community")</f>
        <v>0</v>
      </c>
      <c r="Q62" s="79">
        <f>SUMIFS('caseload data'!S:S,'caseload data'!$A:$A,$B62,'caseload data'!$B:$B,"community")</f>
        <v>0</v>
      </c>
      <c r="R62" s="79">
        <f>SUMIFS('caseload data'!T:T,'caseload data'!$A:$A,$B62,'caseload data'!$B:$B,"community")</f>
        <v>0</v>
      </c>
      <c r="S62" s="79">
        <f>SUMIFS('caseload data'!V:V,'caseload data'!$A:$A,B62,'caseload data'!$B:$B,"community")</f>
        <v>0</v>
      </c>
      <c r="T62" s="95"/>
      <c r="U62" s="149" t="s">
        <v>29</v>
      </c>
      <c r="V62" s="70" t="e">
        <f>C62/$S$62</f>
        <v>#DIV/0!</v>
      </c>
      <c r="W62" s="70" t="e">
        <f t="shared" ref="W62:AK62" si="212">D62/$S$62</f>
        <v>#DIV/0!</v>
      </c>
      <c r="X62" s="70" t="e">
        <f t="shared" si="212"/>
        <v>#DIV/0!</v>
      </c>
      <c r="Y62" s="70" t="e">
        <f t="shared" si="212"/>
        <v>#DIV/0!</v>
      </c>
      <c r="Z62" s="70" t="e">
        <f t="shared" si="212"/>
        <v>#DIV/0!</v>
      </c>
      <c r="AA62" s="70" t="e">
        <f t="shared" si="212"/>
        <v>#DIV/0!</v>
      </c>
      <c r="AB62" s="70" t="e">
        <f t="shared" si="212"/>
        <v>#DIV/0!</v>
      </c>
      <c r="AC62" s="70" t="e">
        <f t="shared" si="212"/>
        <v>#DIV/0!</v>
      </c>
      <c r="AD62" s="70" t="e">
        <f t="shared" si="212"/>
        <v>#DIV/0!</v>
      </c>
      <c r="AE62" s="70" t="e">
        <f t="shared" si="212"/>
        <v>#DIV/0!</v>
      </c>
      <c r="AF62" s="70" t="e">
        <f t="shared" si="212"/>
        <v>#DIV/0!</v>
      </c>
      <c r="AG62" s="70" t="e">
        <f t="shared" si="212"/>
        <v>#DIV/0!</v>
      </c>
      <c r="AH62" s="70" t="e">
        <f t="shared" si="212"/>
        <v>#DIV/0!</v>
      </c>
      <c r="AI62" s="70" t="e">
        <f t="shared" si="212"/>
        <v>#DIV/0!</v>
      </c>
      <c r="AJ62" s="70" t="e">
        <f t="shared" si="212"/>
        <v>#DIV/0!</v>
      </c>
      <c r="AK62" s="70" t="e">
        <f t="shared" si="212"/>
        <v>#DIV/0!</v>
      </c>
    </row>
    <row r="63" spans="2:37" x14ac:dyDescent="0.15">
      <c r="B63" s="149" t="s">
        <v>30</v>
      </c>
      <c r="C63" s="79">
        <f>SUMIFS('caseload data'!E:E,'caseload data'!$A:$A,$B63,'caseload data'!$B:$B,"community")</f>
        <v>0</v>
      </c>
      <c r="D63" s="79">
        <f>SUMIFS('caseload data'!F:F,'caseload data'!$A:$A,$B63,'caseload data'!$B:$B,"community")</f>
        <v>0</v>
      </c>
      <c r="E63" s="79">
        <f>SUMIFS('caseload data'!G:G,'caseload data'!$A:$A,$B63,'caseload data'!$B:$B,"community")</f>
        <v>0</v>
      </c>
      <c r="F63" s="79">
        <f>SUMIFS('caseload data'!H:H,'caseload data'!$A:$A,$B63,'caseload data'!$B:$B,"community")</f>
        <v>0</v>
      </c>
      <c r="G63" s="79">
        <f>SUMIFS('caseload data'!I:I,'caseload data'!$A:$A,$B63,'caseload data'!$B:$B,"community")</f>
        <v>0</v>
      </c>
      <c r="H63" s="79">
        <f>SUMIFS('caseload data'!J:J,'caseload data'!$A:$A,$B63,'caseload data'!$B:$B,"community")</f>
        <v>0</v>
      </c>
      <c r="I63" s="79">
        <f>SUMIFS('caseload data'!K:K,'caseload data'!$A:$A,$B63,'caseload data'!$B:$B,"community")</f>
        <v>0</v>
      </c>
      <c r="J63" s="79">
        <f>SUMIFS('caseload data'!L:L,'caseload data'!$A:$A,$B63,'caseload data'!$B:$B,"community")</f>
        <v>0</v>
      </c>
      <c r="K63" s="79">
        <f>SUMIFS('caseload data'!M:M,'caseload data'!$A:$A,$B63,'caseload data'!$B:$B,"community")</f>
        <v>0</v>
      </c>
      <c r="L63" s="79">
        <f>SUMIFS('caseload data'!N:N,'caseload data'!$A:$A,$B63,'caseload data'!$B:$B,"community")</f>
        <v>0</v>
      </c>
      <c r="M63" s="79">
        <f>SUMIFS('caseload data'!O:O,'caseload data'!$A:$A,$B63,'caseload data'!$B:$B,"community")</f>
        <v>0</v>
      </c>
      <c r="N63" s="79">
        <f>SUMIFS('caseload data'!P:P,'caseload data'!$A:$A,$B63,'caseload data'!$B:$B,"community")</f>
        <v>0</v>
      </c>
      <c r="O63" s="79">
        <f>SUMIFS('caseload data'!Q:Q,'caseload data'!$A:$A,$B63,'caseload data'!$B:$B,"community")</f>
        <v>0</v>
      </c>
      <c r="P63" s="79">
        <f>SUMIFS('caseload data'!R:R,'caseload data'!$A:$A,$B63,'caseload data'!$B:$B,"community")</f>
        <v>0</v>
      </c>
      <c r="Q63" s="79">
        <f>SUMIFS('caseload data'!S:S,'caseload data'!$A:$A,$B63,'caseload data'!$B:$B,"community")</f>
        <v>0</v>
      </c>
      <c r="R63" s="79">
        <f>SUMIFS('caseload data'!T:T,'caseload data'!$A:$A,$B63,'caseload data'!$B:$B,"community")</f>
        <v>0</v>
      </c>
      <c r="S63" s="79">
        <f>SUMIFS('caseload data'!V:V,'caseload data'!$A:$A,B63,'caseload data'!$B:$B,"community")</f>
        <v>0</v>
      </c>
      <c r="T63" s="95"/>
      <c r="U63" s="149" t="s">
        <v>30</v>
      </c>
      <c r="V63" s="70" t="e">
        <f t="shared" ref="V63:AK63" si="213">C63/$S$63</f>
        <v>#DIV/0!</v>
      </c>
      <c r="W63" s="70" t="e">
        <f t="shared" si="213"/>
        <v>#DIV/0!</v>
      </c>
      <c r="X63" s="70" t="e">
        <f t="shared" si="213"/>
        <v>#DIV/0!</v>
      </c>
      <c r="Y63" s="70" t="e">
        <f t="shared" si="213"/>
        <v>#DIV/0!</v>
      </c>
      <c r="Z63" s="70" t="e">
        <f t="shared" si="213"/>
        <v>#DIV/0!</v>
      </c>
      <c r="AA63" s="70" t="e">
        <f t="shared" si="213"/>
        <v>#DIV/0!</v>
      </c>
      <c r="AB63" s="70" t="e">
        <f t="shared" si="213"/>
        <v>#DIV/0!</v>
      </c>
      <c r="AC63" s="70" t="e">
        <f t="shared" si="213"/>
        <v>#DIV/0!</v>
      </c>
      <c r="AD63" s="70" t="e">
        <f t="shared" si="213"/>
        <v>#DIV/0!</v>
      </c>
      <c r="AE63" s="70" t="e">
        <f t="shared" si="213"/>
        <v>#DIV/0!</v>
      </c>
      <c r="AF63" s="70" t="e">
        <f t="shared" si="213"/>
        <v>#DIV/0!</v>
      </c>
      <c r="AG63" s="70" t="e">
        <f t="shared" si="213"/>
        <v>#DIV/0!</v>
      </c>
      <c r="AH63" s="70" t="e">
        <f t="shared" si="213"/>
        <v>#DIV/0!</v>
      </c>
      <c r="AI63" s="70" t="e">
        <f t="shared" si="213"/>
        <v>#DIV/0!</v>
      </c>
      <c r="AJ63" s="70" t="e">
        <f t="shared" si="213"/>
        <v>#DIV/0!</v>
      </c>
      <c r="AK63" s="70" t="e">
        <f t="shared" si="213"/>
        <v>#DIV/0!</v>
      </c>
    </row>
    <row r="64" spans="2:37" x14ac:dyDescent="0.15">
      <c r="B64" s="149" t="s">
        <v>31</v>
      </c>
      <c r="C64" s="79">
        <f>SUMIFS('caseload data'!E:E,'caseload data'!$A:$A,$B64,'caseload data'!$B:$B,"community")</f>
        <v>0</v>
      </c>
      <c r="D64" s="79">
        <f>SUMIFS('caseload data'!F:F,'caseload data'!$A:$A,$B64,'caseload data'!$B:$B,"community")</f>
        <v>0</v>
      </c>
      <c r="E64" s="79">
        <f>SUMIFS('caseload data'!G:G,'caseload data'!$A:$A,$B64,'caseload data'!$B:$B,"community")</f>
        <v>0</v>
      </c>
      <c r="F64" s="79">
        <f>SUMIFS('caseload data'!H:H,'caseload data'!$A:$A,$B64,'caseload data'!$B:$B,"community")</f>
        <v>0</v>
      </c>
      <c r="G64" s="79">
        <f>SUMIFS('caseload data'!I:I,'caseload data'!$A:$A,$B64,'caseload data'!$B:$B,"community")</f>
        <v>0</v>
      </c>
      <c r="H64" s="79">
        <f>SUMIFS('caseload data'!J:J,'caseload data'!$A:$A,$B64,'caseload data'!$B:$B,"community")</f>
        <v>0</v>
      </c>
      <c r="I64" s="79">
        <f>SUMIFS('caseload data'!K:K,'caseload data'!$A:$A,$B64,'caseload data'!$B:$B,"community")</f>
        <v>0</v>
      </c>
      <c r="J64" s="79">
        <f>SUMIFS('caseload data'!L:L,'caseload data'!$A:$A,$B64,'caseload data'!$B:$B,"community")</f>
        <v>0</v>
      </c>
      <c r="K64" s="79">
        <f>SUMIFS('caseload data'!M:M,'caseload data'!$A:$A,$B64,'caseload data'!$B:$B,"community")</f>
        <v>0</v>
      </c>
      <c r="L64" s="79">
        <f>SUMIFS('caseload data'!N:N,'caseload data'!$A:$A,$B64,'caseload data'!$B:$B,"community")</f>
        <v>0</v>
      </c>
      <c r="M64" s="79">
        <f>SUMIFS('caseload data'!O:O,'caseload data'!$A:$A,$B64,'caseload data'!$B:$B,"community")</f>
        <v>0</v>
      </c>
      <c r="N64" s="79">
        <f>SUMIFS('caseload data'!P:P,'caseload data'!$A:$A,$B64,'caseload data'!$B:$B,"community")</f>
        <v>0</v>
      </c>
      <c r="O64" s="79">
        <f>SUMIFS('caseload data'!Q:Q,'caseload data'!$A:$A,$B64,'caseload data'!$B:$B,"community")</f>
        <v>0</v>
      </c>
      <c r="P64" s="79">
        <f>SUMIFS('caseload data'!R:R,'caseload data'!$A:$A,$B64,'caseload data'!$B:$B,"community")</f>
        <v>0</v>
      </c>
      <c r="Q64" s="79">
        <f>SUMIFS('caseload data'!S:S,'caseload data'!$A:$A,$B64,'caseload data'!$B:$B,"community")</f>
        <v>0</v>
      </c>
      <c r="R64" s="79">
        <f>SUMIFS('caseload data'!T:T,'caseload data'!$A:$A,$B64,'caseload data'!$B:$B,"community")</f>
        <v>0</v>
      </c>
      <c r="S64" s="79">
        <f>SUMIFS('caseload data'!V:V,'caseload data'!$A:$A,B64,'caseload data'!$B:$B,"community")</f>
        <v>0</v>
      </c>
      <c r="T64" s="95"/>
      <c r="U64" s="149" t="s">
        <v>31</v>
      </c>
      <c r="V64" s="70" t="e">
        <f t="shared" ref="V64:AK64" si="214">C64/$S$64</f>
        <v>#DIV/0!</v>
      </c>
      <c r="W64" s="70" t="e">
        <f t="shared" si="214"/>
        <v>#DIV/0!</v>
      </c>
      <c r="X64" s="70" t="e">
        <f t="shared" si="214"/>
        <v>#DIV/0!</v>
      </c>
      <c r="Y64" s="70" t="e">
        <f t="shared" si="214"/>
        <v>#DIV/0!</v>
      </c>
      <c r="Z64" s="70" t="e">
        <f t="shared" si="214"/>
        <v>#DIV/0!</v>
      </c>
      <c r="AA64" s="70" t="e">
        <f t="shared" si="214"/>
        <v>#DIV/0!</v>
      </c>
      <c r="AB64" s="70" t="e">
        <f t="shared" si="214"/>
        <v>#DIV/0!</v>
      </c>
      <c r="AC64" s="70" t="e">
        <f t="shared" si="214"/>
        <v>#DIV/0!</v>
      </c>
      <c r="AD64" s="70" t="e">
        <f t="shared" si="214"/>
        <v>#DIV/0!</v>
      </c>
      <c r="AE64" s="70" t="e">
        <f t="shared" si="214"/>
        <v>#DIV/0!</v>
      </c>
      <c r="AF64" s="70" t="e">
        <f t="shared" si="214"/>
        <v>#DIV/0!</v>
      </c>
      <c r="AG64" s="70" t="e">
        <f t="shared" si="214"/>
        <v>#DIV/0!</v>
      </c>
      <c r="AH64" s="70" t="e">
        <f t="shared" si="214"/>
        <v>#DIV/0!</v>
      </c>
      <c r="AI64" s="70" t="e">
        <f t="shared" si="214"/>
        <v>#DIV/0!</v>
      </c>
      <c r="AJ64" s="70" t="e">
        <f t="shared" si="214"/>
        <v>#DIV/0!</v>
      </c>
      <c r="AK64" s="70" t="e">
        <f t="shared" si="214"/>
        <v>#DIV/0!</v>
      </c>
    </row>
    <row r="65" spans="2:37" x14ac:dyDescent="0.15">
      <c r="B65" s="149" t="s">
        <v>32</v>
      </c>
      <c r="C65" s="79">
        <f>SUMIFS('caseload data'!E:E,'caseload data'!$A:$A,$B65,'caseload data'!$B:$B,"community")</f>
        <v>0</v>
      </c>
      <c r="D65" s="79">
        <f>SUMIFS('caseload data'!F:F,'caseload data'!$A:$A,$B65,'caseload data'!$B:$B,"community")</f>
        <v>0</v>
      </c>
      <c r="E65" s="79">
        <f>SUMIFS('caseload data'!G:G,'caseload data'!$A:$A,$B65,'caseload data'!$B:$B,"community")</f>
        <v>0</v>
      </c>
      <c r="F65" s="79">
        <f>SUMIFS('caseload data'!H:H,'caseload data'!$A:$A,$B65,'caseload data'!$B:$B,"community")</f>
        <v>0</v>
      </c>
      <c r="G65" s="79">
        <f>SUMIFS('caseload data'!I:I,'caseload data'!$A:$A,$B65,'caseload data'!$B:$B,"community")</f>
        <v>0</v>
      </c>
      <c r="H65" s="79">
        <f>SUMIFS('caseload data'!J:J,'caseload data'!$A:$A,$B65,'caseload data'!$B:$B,"community")</f>
        <v>0</v>
      </c>
      <c r="I65" s="79">
        <f>SUMIFS('caseload data'!K:K,'caseload data'!$A:$A,$B65,'caseload data'!$B:$B,"community")</f>
        <v>0</v>
      </c>
      <c r="J65" s="79">
        <f>SUMIFS('caseload data'!L:L,'caseload data'!$A:$A,$B65,'caseload data'!$B:$B,"community")</f>
        <v>0</v>
      </c>
      <c r="K65" s="79">
        <f>SUMIFS('caseload data'!M:M,'caseload data'!$A:$A,$B65,'caseload data'!$B:$B,"community")</f>
        <v>0</v>
      </c>
      <c r="L65" s="79">
        <f>SUMIFS('caseload data'!N:N,'caseload data'!$A:$A,$B65,'caseload data'!$B:$B,"community")</f>
        <v>0</v>
      </c>
      <c r="M65" s="79">
        <f>SUMIFS('caseload data'!O:O,'caseload data'!$A:$A,$B65,'caseload data'!$B:$B,"community")</f>
        <v>0</v>
      </c>
      <c r="N65" s="79">
        <f>SUMIFS('caseload data'!P:P,'caseload data'!$A:$A,$B65,'caseload data'!$B:$B,"community")</f>
        <v>0</v>
      </c>
      <c r="O65" s="79">
        <f>SUMIFS('caseload data'!Q:Q,'caseload data'!$A:$A,$B65,'caseload data'!$B:$B,"community")</f>
        <v>0</v>
      </c>
      <c r="P65" s="79">
        <f>SUMIFS('caseload data'!R:R,'caseload data'!$A:$A,$B65,'caseload data'!$B:$B,"community")</f>
        <v>0</v>
      </c>
      <c r="Q65" s="79">
        <f>SUMIFS('caseload data'!S:S,'caseload data'!$A:$A,$B65,'caseload data'!$B:$B,"community")</f>
        <v>0</v>
      </c>
      <c r="R65" s="79">
        <f>SUMIFS('caseload data'!T:T,'caseload data'!$A:$A,$B65,'caseload data'!$B:$B,"community")</f>
        <v>0</v>
      </c>
      <c r="S65" s="79">
        <f>SUMIFS('caseload data'!V:V,'caseload data'!$A:$A,B65,'caseload data'!$B:$B,"community")</f>
        <v>0</v>
      </c>
      <c r="T65" s="95"/>
      <c r="U65" s="149" t="s">
        <v>32</v>
      </c>
      <c r="V65" s="70" t="e">
        <f>C65/$S$65</f>
        <v>#DIV/0!</v>
      </c>
      <c r="W65" s="70" t="e">
        <f t="shared" ref="W65:AK65" si="215">D65/$S$65</f>
        <v>#DIV/0!</v>
      </c>
      <c r="X65" s="70" t="e">
        <f t="shared" si="215"/>
        <v>#DIV/0!</v>
      </c>
      <c r="Y65" s="70" t="e">
        <f t="shared" si="215"/>
        <v>#DIV/0!</v>
      </c>
      <c r="Z65" s="70" t="e">
        <f t="shared" si="215"/>
        <v>#DIV/0!</v>
      </c>
      <c r="AA65" s="70" t="e">
        <f t="shared" si="215"/>
        <v>#DIV/0!</v>
      </c>
      <c r="AB65" s="70" t="e">
        <f t="shared" si="215"/>
        <v>#DIV/0!</v>
      </c>
      <c r="AC65" s="70" t="e">
        <f t="shared" si="215"/>
        <v>#DIV/0!</v>
      </c>
      <c r="AD65" s="70" t="e">
        <f t="shared" si="215"/>
        <v>#DIV/0!</v>
      </c>
      <c r="AE65" s="70" t="e">
        <f t="shared" si="215"/>
        <v>#DIV/0!</v>
      </c>
      <c r="AF65" s="70" t="e">
        <f t="shared" si="215"/>
        <v>#DIV/0!</v>
      </c>
      <c r="AG65" s="70" t="e">
        <f t="shared" si="215"/>
        <v>#DIV/0!</v>
      </c>
      <c r="AH65" s="70" t="e">
        <f t="shared" si="215"/>
        <v>#DIV/0!</v>
      </c>
      <c r="AI65" s="70" t="e">
        <f t="shared" si="215"/>
        <v>#DIV/0!</v>
      </c>
      <c r="AJ65" s="70" t="e">
        <f t="shared" si="215"/>
        <v>#DIV/0!</v>
      </c>
      <c r="AK65" s="70" t="e">
        <f t="shared" si="215"/>
        <v>#DIV/0!</v>
      </c>
    </row>
    <row r="66" spans="2:37" x14ac:dyDescent="0.15">
      <c r="B66" s="149" t="s">
        <v>33</v>
      </c>
      <c r="C66" s="79">
        <f>SUMIFS('caseload data'!E:E,'caseload data'!$A:$A,$B66,'caseload data'!$B:$B,"community")</f>
        <v>0</v>
      </c>
      <c r="D66" s="79">
        <f>SUMIFS('caseload data'!F:F,'caseload data'!$A:$A,$B66,'caseload data'!$B:$B,"community")</f>
        <v>0</v>
      </c>
      <c r="E66" s="79">
        <f>SUMIFS('caseload data'!G:G,'caseload data'!$A:$A,$B66,'caseload data'!$B:$B,"community")</f>
        <v>0</v>
      </c>
      <c r="F66" s="79">
        <f>SUMIFS('caseload data'!H:H,'caseload data'!$A:$A,$B66,'caseload data'!$B:$B,"community")</f>
        <v>0</v>
      </c>
      <c r="G66" s="79">
        <f>SUMIFS('caseload data'!I:I,'caseload data'!$A:$A,$B66,'caseload data'!$B:$B,"community")</f>
        <v>0</v>
      </c>
      <c r="H66" s="79">
        <f>SUMIFS('caseload data'!J:J,'caseload data'!$A:$A,$B66,'caseload data'!$B:$B,"community")</f>
        <v>0</v>
      </c>
      <c r="I66" s="79">
        <f>SUMIFS('caseload data'!K:K,'caseload data'!$A:$A,$B66,'caseload data'!$B:$B,"community")</f>
        <v>0</v>
      </c>
      <c r="J66" s="79">
        <f>SUMIFS('caseload data'!L:L,'caseload data'!$A:$A,$B66,'caseload data'!$B:$B,"community")</f>
        <v>0</v>
      </c>
      <c r="K66" s="79">
        <f>SUMIFS('caseload data'!M:M,'caseload data'!$A:$A,$B66,'caseload data'!$B:$B,"community")</f>
        <v>0</v>
      </c>
      <c r="L66" s="79">
        <f>SUMIFS('caseload data'!N:N,'caseload data'!$A:$A,$B66,'caseload data'!$B:$B,"community")</f>
        <v>0</v>
      </c>
      <c r="M66" s="79">
        <f>SUMIFS('caseload data'!O:O,'caseload data'!$A:$A,$B66,'caseload data'!$B:$B,"community")</f>
        <v>0</v>
      </c>
      <c r="N66" s="79">
        <f>SUMIFS('caseload data'!P:P,'caseload data'!$A:$A,$B66,'caseload data'!$B:$B,"community")</f>
        <v>0</v>
      </c>
      <c r="O66" s="79">
        <f>SUMIFS('caseload data'!Q:Q,'caseload data'!$A:$A,$B66,'caseload data'!$B:$B,"community")</f>
        <v>0</v>
      </c>
      <c r="P66" s="79">
        <f>SUMIFS('caseload data'!R:R,'caseload data'!$A:$A,$B66,'caseload data'!$B:$B,"community")</f>
        <v>0</v>
      </c>
      <c r="Q66" s="79">
        <f>SUMIFS('caseload data'!S:S,'caseload data'!$A:$A,$B66,'caseload data'!$B:$B,"community")</f>
        <v>0</v>
      </c>
      <c r="R66" s="79">
        <f>SUMIFS('caseload data'!T:T,'caseload data'!$A:$A,$B66,'caseload data'!$B:$B,"community")</f>
        <v>0</v>
      </c>
      <c r="S66" s="79">
        <f>SUMIFS('caseload data'!V:V,'caseload data'!$A:$A,B66,'caseload data'!$B:$B,"community")</f>
        <v>0</v>
      </c>
      <c r="T66" s="95"/>
      <c r="U66" s="149" t="s">
        <v>33</v>
      </c>
      <c r="V66" s="70" t="e">
        <f>C66/$S$66</f>
        <v>#DIV/0!</v>
      </c>
      <c r="W66" s="70" t="e">
        <f t="shared" ref="W66:AK66" si="216">D66/$S$66</f>
        <v>#DIV/0!</v>
      </c>
      <c r="X66" s="70" t="e">
        <f t="shared" si="216"/>
        <v>#DIV/0!</v>
      </c>
      <c r="Y66" s="70" t="e">
        <f t="shared" si="216"/>
        <v>#DIV/0!</v>
      </c>
      <c r="Z66" s="70" t="e">
        <f t="shared" si="216"/>
        <v>#DIV/0!</v>
      </c>
      <c r="AA66" s="70" t="e">
        <f t="shared" si="216"/>
        <v>#DIV/0!</v>
      </c>
      <c r="AB66" s="70" t="e">
        <f t="shared" si="216"/>
        <v>#DIV/0!</v>
      </c>
      <c r="AC66" s="70" t="e">
        <f t="shared" si="216"/>
        <v>#DIV/0!</v>
      </c>
      <c r="AD66" s="70" t="e">
        <f t="shared" si="216"/>
        <v>#DIV/0!</v>
      </c>
      <c r="AE66" s="70" t="e">
        <f t="shared" si="216"/>
        <v>#DIV/0!</v>
      </c>
      <c r="AF66" s="70" t="e">
        <f t="shared" si="216"/>
        <v>#DIV/0!</v>
      </c>
      <c r="AG66" s="70" t="e">
        <f t="shared" si="216"/>
        <v>#DIV/0!</v>
      </c>
      <c r="AH66" s="70" t="e">
        <f t="shared" si="216"/>
        <v>#DIV/0!</v>
      </c>
      <c r="AI66" s="70" t="e">
        <f t="shared" si="216"/>
        <v>#DIV/0!</v>
      </c>
      <c r="AJ66" s="70" t="e">
        <f t="shared" si="216"/>
        <v>#DIV/0!</v>
      </c>
      <c r="AK66" s="70" t="e">
        <f t="shared" si="216"/>
        <v>#DIV/0!</v>
      </c>
    </row>
    <row r="67" spans="2:37" x14ac:dyDescent="0.15">
      <c r="B67" s="149" t="s">
        <v>34</v>
      </c>
      <c r="C67" s="79">
        <f>SUMIFS('caseload data'!E:E,'caseload data'!$A:$A,$B67,'caseload data'!$B:$B,"community")</f>
        <v>0</v>
      </c>
      <c r="D67" s="79">
        <f>SUMIFS('caseload data'!F:F,'caseload data'!$A:$A,$B67,'caseload data'!$B:$B,"community")</f>
        <v>0</v>
      </c>
      <c r="E67" s="79">
        <f>SUMIFS('caseload data'!G:G,'caseload data'!$A:$A,$B67,'caseload data'!$B:$B,"community")</f>
        <v>0</v>
      </c>
      <c r="F67" s="79">
        <f>SUMIFS('caseload data'!H:H,'caseload data'!$A:$A,$B67,'caseload data'!$B:$B,"community")</f>
        <v>0</v>
      </c>
      <c r="G67" s="79">
        <f>SUMIFS('caseload data'!I:I,'caseload data'!$A:$A,$B67,'caseload data'!$B:$B,"community")</f>
        <v>0</v>
      </c>
      <c r="H67" s="79">
        <f>SUMIFS('caseload data'!J:J,'caseload data'!$A:$A,$B67,'caseload data'!$B:$B,"community")</f>
        <v>0</v>
      </c>
      <c r="I67" s="79">
        <f>SUMIFS('caseload data'!K:K,'caseload data'!$A:$A,$B67,'caseload data'!$B:$B,"community")</f>
        <v>0</v>
      </c>
      <c r="J67" s="79">
        <f>SUMIFS('caseload data'!L:L,'caseload data'!$A:$A,$B67,'caseload data'!$B:$B,"community")</f>
        <v>0</v>
      </c>
      <c r="K67" s="79">
        <f>SUMIFS('caseload data'!M:M,'caseload data'!$A:$A,$B67,'caseload data'!$B:$B,"community")</f>
        <v>0</v>
      </c>
      <c r="L67" s="79">
        <f>SUMIFS('caseload data'!N:N,'caseload data'!$A:$A,$B67,'caseload data'!$B:$B,"community")</f>
        <v>0</v>
      </c>
      <c r="M67" s="79">
        <f>SUMIFS('caseload data'!O:O,'caseload data'!$A:$A,$B67,'caseload data'!$B:$B,"community")</f>
        <v>0</v>
      </c>
      <c r="N67" s="79">
        <f>SUMIFS('caseload data'!P:P,'caseload data'!$A:$A,$B67,'caseload data'!$B:$B,"community")</f>
        <v>0</v>
      </c>
      <c r="O67" s="79">
        <f>SUMIFS('caseload data'!Q:Q,'caseload data'!$A:$A,$B67,'caseload data'!$B:$B,"community")</f>
        <v>0</v>
      </c>
      <c r="P67" s="79">
        <f>SUMIFS('caseload data'!R:R,'caseload data'!$A:$A,$B67,'caseload data'!$B:$B,"community")</f>
        <v>0</v>
      </c>
      <c r="Q67" s="79">
        <f>SUMIFS('caseload data'!S:S,'caseload data'!$A:$A,$B67,'caseload data'!$B:$B,"community")</f>
        <v>0</v>
      </c>
      <c r="R67" s="79">
        <f>SUMIFS('caseload data'!T:T,'caseload data'!$A:$A,$B67,'caseload data'!$B:$B,"community")</f>
        <v>0</v>
      </c>
      <c r="S67" s="79">
        <f>SUMIFS('caseload data'!V:V,'caseload data'!$A:$A,B67,'caseload data'!$B:$B,"community")</f>
        <v>0</v>
      </c>
      <c r="T67" s="95"/>
      <c r="U67" s="149" t="s">
        <v>34</v>
      </c>
      <c r="V67" s="70" t="e">
        <f>C67/$S$67</f>
        <v>#DIV/0!</v>
      </c>
      <c r="W67" s="70" t="e">
        <f t="shared" ref="W67:AK67" si="217">D67/$S$67</f>
        <v>#DIV/0!</v>
      </c>
      <c r="X67" s="70" t="e">
        <f t="shared" si="217"/>
        <v>#DIV/0!</v>
      </c>
      <c r="Y67" s="70" t="e">
        <f t="shared" si="217"/>
        <v>#DIV/0!</v>
      </c>
      <c r="Z67" s="70" t="e">
        <f t="shared" si="217"/>
        <v>#DIV/0!</v>
      </c>
      <c r="AA67" s="70" t="e">
        <f t="shared" si="217"/>
        <v>#DIV/0!</v>
      </c>
      <c r="AB67" s="70" t="e">
        <f t="shared" si="217"/>
        <v>#DIV/0!</v>
      </c>
      <c r="AC67" s="70" t="e">
        <f t="shared" si="217"/>
        <v>#DIV/0!</v>
      </c>
      <c r="AD67" s="70" t="e">
        <f t="shared" si="217"/>
        <v>#DIV/0!</v>
      </c>
      <c r="AE67" s="70" t="e">
        <f t="shared" si="217"/>
        <v>#DIV/0!</v>
      </c>
      <c r="AF67" s="70" t="e">
        <f t="shared" si="217"/>
        <v>#DIV/0!</v>
      </c>
      <c r="AG67" s="70" t="e">
        <f t="shared" si="217"/>
        <v>#DIV/0!</v>
      </c>
      <c r="AH67" s="70" t="e">
        <f t="shared" si="217"/>
        <v>#DIV/0!</v>
      </c>
      <c r="AI67" s="70" t="e">
        <f t="shared" si="217"/>
        <v>#DIV/0!</v>
      </c>
      <c r="AJ67" s="70" t="e">
        <f t="shared" si="217"/>
        <v>#DIV/0!</v>
      </c>
      <c r="AK67" s="70" t="e">
        <f t="shared" si="217"/>
        <v>#DIV/0!</v>
      </c>
    </row>
    <row r="68" spans="2:37" x14ac:dyDescent="0.15">
      <c r="B68" s="114" t="s">
        <v>1262</v>
      </c>
      <c r="C68" s="114">
        <f>SUMIF('caseload data'!$B:$B,"community",'caseload data'!E:E)</f>
        <v>0</v>
      </c>
      <c r="D68" s="114">
        <f>SUMIF('caseload data'!$B:$B,"community",'caseload data'!F:F)</f>
        <v>0</v>
      </c>
      <c r="E68" s="114">
        <f>SUMIF('caseload data'!$B:$B,"community",'caseload data'!G:G)</f>
        <v>0</v>
      </c>
      <c r="F68" s="114">
        <f>SUMIF('caseload data'!$B:$B,"community",'caseload data'!H:H)</f>
        <v>0</v>
      </c>
      <c r="G68" s="114">
        <f>SUMIF('caseload data'!$B:$B,"community",'caseload data'!I:I)</f>
        <v>0</v>
      </c>
      <c r="H68" s="114">
        <f>SUMIF('caseload data'!$B:$B,"community",'caseload data'!J:J)</f>
        <v>0</v>
      </c>
      <c r="I68" s="114">
        <f>SUMIF('caseload data'!$B:$B,"community",'caseload data'!K:K)</f>
        <v>0</v>
      </c>
      <c r="J68" s="114">
        <f>SUMIF('caseload data'!$B:$B,"community",'caseload data'!L:L)</f>
        <v>0</v>
      </c>
      <c r="K68" s="114">
        <f>SUMIF('caseload data'!$B:$B,"community",'caseload data'!M:M)</f>
        <v>0</v>
      </c>
      <c r="L68" s="114">
        <f>SUMIF('caseload data'!$B:$B,"community",'caseload data'!N:N)</f>
        <v>0</v>
      </c>
      <c r="M68" s="114">
        <f>SUMIF('caseload data'!$B:$B,"community",'caseload data'!O:O)</f>
        <v>0</v>
      </c>
      <c r="N68" s="114">
        <f>SUMIF('caseload data'!$B:$B,"community",'caseload data'!P:P)</f>
        <v>0</v>
      </c>
      <c r="O68" s="114">
        <f>SUMIF('caseload data'!$B:$B,"community",'caseload data'!Q:Q)</f>
        <v>0</v>
      </c>
      <c r="P68" s="114">
        <f>SUMIF('caseload data'!$B:$B,"community",'caseload data'!R:R)</f>
        <v>0</v>
      </c>
      <c r="Q68" s="114">
        <f>SUMIF('caseload data'!$B:$B,"community",'caseload data'!S:S)</f>
        <v>0</v>
      </c>
      <c r="R68" s="114">
        <f>SUMIF('caseload data'!$B:$B,"community",'caseload data'!T:T)</f>
        <v>0</v>
      </c>
      <c r="S68" s="114">
        <f>SUMIF('caseload data'!$B:$B,"community",'caseload data'!V:V)</f>
        <v>0</v>
      </c>
      <c r="T68" s="95"/>
      <c r="U68" s="114" t="s">
        <v>1262</v>
      </c>
      <c r="V68" s="119" t="e">
        <f>C68/$S$68</f>
        <v>#DIV/0!</v>
      </c>
      <c r="W68" s="119" t="e">
        <f t="shared" ref="W68:AK68" si="218">D68/$S$68</f>
        <v>#DIV/0!</v>
      </c>
      <c r="X68" s="119" t="e">
        <f t="shared" si="218"/>
        <v>#DIV/0!</v>
      </c>
      <c r="Y68" s="119" t="e">
        <f t="shared" si="218"/>
        <v>#DIV/0!</v>
      </c>
      <c r="Z68" s="119" t="e">
        <f t="shared" si="218"/>
        <v>#DIV/0!</v>
      </c>
      <c r="AA68" s="119" t="e">
        <f t="shared" si="218"/>
        <v>#DIV/0!</v>
      </c>
      <c r="AB68" s="119" t="e">
        <f t="shared" si="218"/>
        <v>#DIV/0!</v>
      </c>
      <c r="AC68" s="119" t="e">
        <f t="shared" si="218"/>
        <v>#DIV/0!</v>
      </c>
      <c r="AD68" s="119" t="e">
        <f t="shared" si="218"/>
        <v>#DIV/0!</v>
      </c>
      <c r="AE68" s="119" t="e">
        <f t="shared" si="218"/>
        <v>#DIV/0!</v>
      </c>
      <c r="AF68" s="119" t="e">
        <f t="shared" si="218"/>
        <v>#DIV/0!</v>
      </c>
      <c r="AG68" s="119" t="e">
        <f t="shared" si="218"/>
        <v>#DIV/0!</v>
      </c>
      <c r="AH68" s="119" t="e">
        <f t="shared" si="218"/>
        <v>#DIV/0!</v>
      </c>
      <c r="AI68" s="119" t="e">
        <f t="shared" si="218"/>
        <v>#DIV/0!</v>
      </c>
      <c r="AJ68" s="119" t="e">
        <f t="shared" si="218"/>
        <v>#DIV/0!</v>
      </c>
      <c r="AK68" s="119" t="e">
        <f t="shared" si="218"/>
        <v>#DIV/0!</v>
      </c>
    </row>
  </sheetData>
  <mergeCells count="11">
    <mergeCell ref="C54:S54"/>
    <mergeCell ref="V38:AK38"/>
    <mergeCell ref="V54:AK54"/>
    <mergeCell ref="A2:AN2"/>
    <mergeCell ref="C4:S4"/>
    <mergeCell ref="C21:S21"/>
    <mergeCell ref="AA1:AM1"/>
    <mergeCell ref="A1:Z1"/>
    <mergeCell ref="V4:AK4"/>
    <mergeCell ref="V21:AK21"/>
    <mergeCell ref="C38:S38"/>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zoomScale="85" zoomScaleNormal="85" workbookViewId="0">
      <selection activeCell="B6" sqref="B6"/>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421" t="s">
        <v>1270</v>
      </c>
      <c r="B1" s="421"/>
      <c r="C1" s="421"/>
      <c r="D1" s="421"/>
      <c r="E1" s="421"/>
      <c r="F1" s="421"/>
      <c r="G1" s="421"/>
      <c r="H1" s="421"/>
      <c r="I1" s="421"/>
      <c r="J1" s="421"/>
      <c r="K1" s="421"/>
      <c r="L1" s="421"/>
      <c r="M1" s="421"/>
      <c r="N1" s="421"/>
      <c r="O1" s="421"/>
      <c r="P1" s="421"/>
      <c r="Q1" s="421"/>
      <c r="R1" s="421"/>
      <c r="S1" s="421"/>
      <c r="T1" s="421"/>
      <c r="U1" s="421"/>
      <c r="V1" s="421"/>
      <c r="W1" s="421"/>
      <c r="X1" s="421"/>
      <c r="Y1" s="421"/>
      <c r="Z1" s="421"/>
      <c r="AA1" s="421"/>
      <c r="AB1" s="421"/>
      <c r="AC1" s="421"/>
      <c r="AD1" s="421"/>
      <c r="AE1" s="421"/>
      <c r="AF1" s="421"/>
      <c r="AG1" s="421"/>
      <c r="AH1" s="421"/>
      <c r="AI1" s="421"/>
      <c r="AJ1" s="421"/>
      <c r="AK1" s="421"/>
      <c r="AL1" s="421"/>
      <c r="AM1" s="421"/>
      <c r="AN1" s="421"/>
      <c r="AO1" s="421"/>
    </row>
    <row r="2" spans="1:41" ht="56.25" customHeight="1" x14ac:dyDescent="0.15">
      <c r="A2" s="474"/>
      <c r="B2" s="474"/>
      <c r="C2" s="474"/>
      <c r="D2" s="474"/>
      <c r="E2" s="474"/>
      <c r="F2" s="474"/>
      <c r="G2" s="474"/>
      <c r="H2" s="474"/>
      <c r="I2" s="474"/>
      <c r="J2" s="474"/>
      <c r="K2" s="474"/>
      <c r="L2" s="474"/>
      <c r="M2" s="474"/>
      <c r="N2" s="474"/>
      <c r="O2" s="474"/>
      <c r="P2" s="474"/>
      <c r="Q2" s="474"/>
      <c r="R2" s="474"/>
      <c r="S2" s="474"/>
      <c r="T2" s="474"/>
      <c r="U2" s="474"/>
      <c r="V2" s="474"/>
      <c r="W2" s="474"/>
      <c r="X2" s="474"/>
      <c r="Y2" s="474"/>
      <c r="Z2" s="474"/>
      <c r="AA2" s="474"/>
      <c r="AB2" s="474"/>
      <c r="AC2" s="474"/>
      <c r="AD2" s="474"/>
      <c r="AE2" s="474"/>
      <c r="AF2" s="474"/>
      <c r="AG2" s="474"/>
      <c r="AH2" s="474"/>
      <c r="AI2" s="474"/>
      <c r="AJ2" s="474"/>
      <c r="AK2" s="474"/>
      <c r="AL2" s="474"/>
      <c r="AM2" s="474"/>
      <c r="AN2" s="474"/>
      <c r="AO2" s="474"/>
    </row>
    <row r="3" spans="1:41" s="51" customFormat="1" ht="16" x14ac:dyDescent="0.15">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row>
    <row r="4" spans="1:41" ht="28" x14ac:dyDescent="0.15">
      <c r="B4" s="151" t="s">
        <v>1103</v>
      </c>
    </row>
    <row r="5" spans="1:41" ht="25.5" customHeight="1" x14ac:dyDescent="0.15">
      <c r="B5" s="251" t="s">
        <v>27</v>
      </c>
      <c r="P5" s="42"/>
      <c r="Q5" s="42"/>
    </row>
    <row r="6" spans="1:41" x14ac:dyDescent="0.15">
      <c r="B6" s="49"/>
    </row>
    <row r="8" spans="1:41" ht="28.5" customHeight="1" x14ac:dyDescent="0.15">
      <c r="B8" s="302" t="str">
        <f>HLOOKUP($B$5,Region_Table,2,0)</f>
        <v>Barking and Dagenham and Havering</v>
      </c>
      <c r="C8" s="467" t="s">
        <v>1271</v>
      </c>
      <c r="D8" s="468"/>
      <c r="E8" s="468"/>
      <c r="F8" s="468"/>
      <c r="G8" s="468"/>
      <c r="H8" s="468"/>
      <c r="I8" s="468"/>
      <c r="J8" s="468"/>
      <c r="K8" s="468"/>
      <c r="L8" s="468"/>
      <c r="M8" s="472"/>
      <c r="N8" s="472"/>
      <c r="O8" s="473"/>
      <c r="P8" s="462">
        <f>SUMIF('caseload data'!C:C,'divisional &amp; regional caseload'!B8,'caseload data'!V:V)</f>
        <v>0</v>
      </c>
      <c r="Q8" s="463"/>
      <c r="R8" s="464"/>
      <c r="S8" s="95"/>
      <c r="T8" s="302" t="str">
        <f>HLOOKUP($B$5,Region_Table,3,0)</f>
        <v>Brent - N07</v>
      </c>
      <c r="U8" s="467" t="s">
        <v>1271</v>
      </c>
      <c r="V8" s="468"/>
      <c r="W8" s="468"/>
      <c r="X8" s="468"/>
      <c r="Y8" s="468"/>
      <c r="Z8" s="468"/>
      <c r="AA8" s="468"/>
      <c r="AB8" s="468"/>
      <c r="AC8" s="468"/>
      <c r="AD8" s="468"/>
      <c r="AE8" s="468"/>
      <c r="AF8" s="468"/>
      <c r="AG8" s="469"/>
      <c r="AH8" s="462">
        <f>SUMIF('caseload data'!C:C,'divisional &amp; regional caseload'!T8,'caseload data'!V:V)</f>
        <v>0</v>
      </c>
      <c r="AI8" s="465"/>
      <c r="AJ8" s="466"/>
    </row>
    <row r="9" spans="1:41" x14ac:dyDescent="0.15">
      <c r="B9" s="99" t="s">
        <v>1170</v>
      </c>
      <c r="C9" s="40" t="s">
        <v>1022</v>
      </c>
      <c r="D9" s="40" t="s">
        <v>1023</v>
      </c>
      <c r="E9" s="40" t="s">
        <v>1024</v>
      </c>
      <c r="F9" s="40" t="s">
        <v>1025</v>
      </c>
      <c r="G9" s="40" t="s">
        <v>1026</v>
      </c>
      <c r="H9" s="40" t="s">
        <v>1027</v>
      </c>
      <c r="I9" s="40" t="s">
        <v>1028</v>
      </c>
      <c r="J9" s="40" t="s">
        <v>1029</v>
      </c>
      <c r="K9" s="40" t="s">
        <v>1030</v>
      </c>
      <c r="L9" s="40" t="s">
        <v>1031</v>
      </c>
      <c r="M9" s="40" t="s">
        <v>1032</v>
      </c>
      <c r="N9" s="40" t="s">
        <v>1033</v>
      </c>
      <c r="O9" s="40" t="s">
        <v>1034</v>
      </c>
      <c r="P9" s="40" t="s">
        <v>1035</v>
      </c>
      <c r="Q9" s="40" t="s">
        <v>1036</v>
      </c>
      <c r="R9" s="40" t="s">
        <v>1037</v>
      </c>
      <c r="S9" s="95"/>
      <c r="T9" s="99" t="s">
        <v>1170</v>
      </c>
      <c r="U9" s="40" t="s">
        <v>1022</v>
      </c>
      <c r="V9" s="40" t="s">
        <v>1023</v>
      </c>
      <c r="W9" s="40" t="s">
        <v>1024</v>
      </c>
      <c r="X9" s="40" t="s">
        <v>1025</v>
      </c>
      <c r="Y9" s="40" t="s">
        <v>1026</v>
      </c>
      <c r="Z9" s="40" t="s">
        <v>1027</v>
      </c>
      <c r="AA9" s="40" t="s">
        <v>1028</v>
      </c>
      <c r="AB9" s="40" t="s">
        <v>1029</v>
      </c>
      <c r="AC9" s="40" t="s">
        <v>1030</v>
      </c>
      <c r="AD9" s="40" t="s">
        <v>1031</v>
      </c>
      <c r="AE9" s="40" t="s">
        <v>1032</v>
      </c>
      <c r="AF9" s="40" t="s">
        <v>1033</v>
      </c>
      <c r="AG9" s="40" t="s">
        <v>1034</v>
      </c>
      <c r="AH9" s="40" t="s">
        <v>1035</v>
      </c>
      <c r="AI9" s="40" t="s">
        <v>1036</v>
      </c>
      <c r="AJ9" s="40" t="s">
        <v>1037</v>
      </c>
    </row>
    <row r="10" spans="1:41" x14ac:dyDescent="0.15">
      <c r="B10" s="100" t="s">
        <v>1166</v>
      </c>
      <c r="C10" s="98">
        <f>SUMIFS('caseload data'!E:E,'caseload data'!$D:$D,"PO",'caseload data'!$C:$C,'divisional &amp; regional caseload'!$B$8)</f>
        <v>0</v>
      </c>
      <c r="D10" s="98">
        <f>SUMIFS('caseload data'!F:F,'caseload data'!$D:$D,"PO",'caseload data'!$C:$C,'divisional &amp; regional caseload'!$B$8)</f>
        <v>0</v>
      </c>
      <c r="E10" s="98">
        <f>SUMIFS('caseload data'!G:G,'caseload data'!$D:$D,"PO",'caseload data'!$C:$C,'divisional &amp; regional caseload'!$B$8)</f>
        <v>0</v>
      </c>
      <c r="F10" s="98">
        <f>SUMIFS('caseload data'!H:H,'caseload data'!$D:$D,"PO",'caseload data'!$C:$C,'divisional &amp; regional caseload'!$B$8)</f>
        <v>0</v>
      </c>
      <c r="G10" s="98">
        <f>SUMIFS('caseload data'!I:I,'caseload data'!$D:$D,"PO",'caseload data'!$C:$C,'divisional &amp; regional caseload'!$B$8)</f>
        <v>0</v>
      </c>
      <c r="H10" s="98">
        <f>SUMIFS('caseload data'!J:J,'caseload data'!$D:$D,"PO",'caseload data'!$C:$C,'divisional &amp; regional caseload'!$B$8)</f>
        <v>0</v>
      </c>
      <c r="I10" s="98">
        <f>SUMIFS('caseload data'!K:K,'caseload data'!$D:$D,"PO",'caseload data'!$C:$C,'divisional &amp; regional caseload'!$B$8)</f>
        <v>0</v>
      </c>
      <c r="J10" s="98">
        <f>SUMIFS('caseload data'!L:L,'caseload data'!$D:$D,"PO",'caseload data'!$C:$C,'divisional &amp; regional caseload'!$B$8)</f>
        <v>0</v>
      </c>
      <c r="K10" s="98">
        <f>SUMIFS('caseload data'!M:M,'caseload data'!$D:$D,"PO",'caseload data'!$C:$C,'divisional &amp; regional caseload'!$B$8)</f>
        <v>0</v>
      </c>
      <c r="L10" s="98">
        <f>SUMIFS('caseload data'!N:N,'caseload data'!$D:$D,"PO",'caseload data'!$C:$C,'divisional &amp; regional caseload'!$B$8)</f>
        <v>0</v>
      </c>
      <c r="M10" s="98">
        <f>SUMIFS('caseload data'!O:O,'caseload data'!$D:$D,"PO",'caseload data'!$C:$C,'divisional &amp; regional caseload'!$B$8)</f>
        <v>0</v>
      </c>
      <c r="N10" s="98">
        <f>SUMIFS('caseload data'!P:P,'caseload data'!$D:$D,"PO",'caseload data'!$C:$C,'divisional &amp; regional caseload'!$B$8)</f>
        <v>0</v>
      </c>
      <c r="O10" s="98">
        <f>SUMIFS('caseload data'!Q:Q,'caseload data'!$D:$D,"PO",'caseload data'!$C:$C,'divisional &amp; regional caseload'!$B$8)</f>
        <v>0</v>
      </c>
      <c r="P10" s="98">
        <f>SUMIFS('caseload data'!R:R,'caseload data'!$D:$D,"PO",'caseload data'!$C:$C,'divisional &amp; regional caseload'!$B$8)</f>
        <v>0</v>
      </c>
      <c r="Q10" s="98">
        <f>SUMIFS('caseload data'!S:S,'caseload data'!$D:$D,"PO",'caseload data'!$C:$C,'divisional &amp; regional caseload'!$B$8)</f>
        <v>0</v>
      </c>
      <c r="R10" s="98">
        <f>SUMIFS('caseload data'!T:T,'caseload data'!$D:$D,"PO",'caseload data'!$C:$C,'divisional &amp; regional caseload'!$B$8)</f>
        <v>0</v>
      </c>
      <c r="S10" s="95"/>
      <c r="T10" s="100" t="s">
        <v>1166</v>
      </c>
      <c r="U10" s="98">
        <f>SUMIFS('caseload data'!E:E,'caseload data'!$D:$D,"PO",'caseload data'!$C:$C,'divisional &amp; regional caseload'!$T$8)</f>
        <v>0</v>
      </c>
      <c r="V10" s="98">
        <f>SUMIFS('caseload data'!F:F,'caseload data'!$D:$D,"PO",'caseload data'!$C:$C,'divisional &amp; regional caseload'!$T$8)</f>
        <v>0</v>
      </c>
      <c r="W10" s="98">
        <f>SUMIFS('caseload data'!G:G,'caseload data'!$D:$D,"PO",'caseload data'!$C:$C,'divisional &amp; regional caseload'!$T$8)</f>
        <v>0</v>
      </c>
      <c r="X10" s="98">
        <f>SUMIFS('caseload data'!H:H,'caseload data'!$D:$D,"PO",'caseload data'!$C:$C,'divisional &amp; regional caseload'!$T$8)</f>
        <v>0</v>
      </c>
      <c r="Y10" s="98">
        <f>SUMIFS('caseload data'!I:I,'caseload data'!$D:$D,"PO",'caseload data'!$C:$C,'divisional &amp; regional caseload'!$T$8)</f>
        <v>0</v>
      </c>
      <c r="Z10" s="98">
        <f>SUMIFS('caseload data'!J:J,'caseload data'!$D:$D,"PO",'caseload data'!$C:$C,'divisional &amp; regional caseload'!$T$8)</f>
        <v>0</v>
      </c>
      <c r="AA10" s="98">
        <f>SUMIFS('caseload data'!K:K,'caseload data'!$D:$D,"PO",'caseload data'!$C:$C,'divisional &amp; regional caseload'!$T$8)</f>
        <v>0</v>
      </c>
      <c r="AB10" s="98">
        <f>SUMIFS('caseload data'!L:L,'caseload data'!$D:$D,"PO",'caseload data'!$C:$C,'divisional &amp; regional caseload'!$T$8)</f>
        <v>0</v>
      </c>
      <c r="AC10" s="98">
        <f>SUMIFS('caseload data'!M:M,'caseload data'!$D:$D,"PO",'caseload data'!$C:$C,'divisional &amp; regional caseload'!$T$8)</f>
        <v>0</v>
      </c>
      <c r="AD10" s="98">
        <f>SUMIFS('caseload data'!N:N,'caseload data'!$D:$D,"PO",'caseload data'!$C:$C,'divisional &amp; regional caseload'!$T$8)</f>
        <v>0</v>
      </c>
      <c r="AE10" s="98">
        <f>SUMIFS('caseload data'!O:O,'caseload data'!$D:$D,"PO",'caseload data'!$C:$C,'divisional &amp; regional caseload'!$T$8)</f>
        <v>0</v>
      </c>
      <c r="AF10" s="98">
        <f>SUMIFS('caseload data'!P:P,'caseload data'!$D:$D,"PO",'caseload data'!$C:$C,'divisional &amp; regional caseload'!$T$8)</f>
        <v>0</v>
      </c>
      <c r="AG10" s="98">
        <f>SUMIFS('caseload data'!Q:Q,'caseload data'!$D:$D,"PO",'caseload data'!$C:$C,'divisional &amp; regional caseload'!$T$8)</f>
        <v>0</v>
      </c>
      <c r="AH10" s="98">
        <f>SUMIFS('caseload data'!R:R,'caseload data'!$D:$D,"PO",'caseload data'!$C:$C,'divisional &amp; regional caseload'!$T$8)</f>
        <v>0</v>
      </c>
      <c r="AI10" s="98">
        <f>SUMIFS('caseload data'!S:S,'caseload data'!$D:$D,"PO",'caseload data'!$C:$C,'divisional &amp; regional caseload'!$T$8)</f>
        <v>0</v>
      </c>
      <c r="AJ10" s="98">
        <f>SUMIFS('caseload data'!T:T,'caseload data'!$D:$D,"PO",'caseload data'!$C:$C,'divisional &amp; regional caseload'!$T$8)</f>
        <v>0</v>
      </c>
    </row>
    <row r="11" spans="1:41" x14ac:dyDescent="0.15">
      <c r="B11" s="101" t="s">
        <v>1172</v>
      </c>
      <c r="C11" s="98">
        <f>SUMIFS('caseload data'!E:E,'caseload data'!$D:$D,"PSO",'caseload data'!$C:$C,'divisional &amp; regional caseload'!$B$8)</f>
        <v>0</v>
      </c>
      <c r="D11" s="98">
        <f>SUMIFS('caseload data'!F:F,'caseload data'!$D:$D,"PSO",'caseload data'!$C:$C,'divisional &amp; regional caseload'!$B$8)</f>
        <v>0</v>
      </c>
      <c r="E11" s="98">
        <f>SUMIFS('caseload data'!G:G,'caseload data'!$D:$D,"PSO",'caseload data'!$C:$C,'divisional &amp; regional caseload'!$B$8)</f>
        <v>0</v>
      </c>
      <c r="F11" s="98">
        <f>SUMIFS('caseload data'!H:H,'caseload data'!$D:$D,"PSO",'caseload data'!$C:$C,'divisional &amp; regional caseload'!$B$8)</f>
        <v>0</v>
      </c>
      <c r="G11" s="98">
        <f>SUMIFS('caseload data'!I:I,'caseload data'!$D:$D,"PSO",'caseload data'!$C:$C,'divisional &amp; regional caseload'!$B$8)</f>
        <v>0</v>
      </c>
      <c r="H11" s="98">
        <f>SUMIFS('caseload data'!J:J,'caseload data'!$D:$D,"PSO",'caseload data'!$C:$C,'divisional &amp; regional caseload'!$B$8)</f>
        <v>0</v>
      </c>
      <c r="I11" s="98">
        <f>SUMIFS('caseload data'!K:K,'caseload data'!$D:$D,"PSO",'caseload data'!$C:$C,'divisional &amp; regional caseload'!$B$8)</f>
        <v>0</v>
      </c>
      <c r="J11" s="98">
        <f>SUMIFS('caseload data'!L:L,'caseload data'!$D:$D,"PSO",'caseload data'!$C:$C,'divisional &amp; regional caseload'!$B$8)</f>
        <v>0</v>
      </c>
      <c r="K11" s="98">
        <f>SUMIFS('caseload data'!M:M,'caseload data'!$D:$D,"PSO",'caseload data'!$C:$C,'divisional &amp; regional caseload'!$B$8)</f>
        <v>0</v>
      </c>
      <c r="L11" s="98">
        <f>SUMIFS('caseload data'!N:N,'caseload data'!$D:$D,"PSO",'caseload data'!$C:$C,'divisional &amp; regional caseload'!$B$8)</f>
        <v>0</v>
      </c>
      <c r="M11" s="98">
        <f>SUMIFS('caseload data'!O:O,'caseload data'!$D:$D,"PSO",'caseload data'!$C:$C,'divisional &amp; regional caseload'!$B$8)</f>
        <v>0</v>
      </c>
      <c r="N11" s="98">
        <f>SUMIFS('caseload data'!P:P,'caseload data'!$D:$D,"PSO",'caseload data'!$C:$C,'divisional &amp; regional caseload'!$B$8)</f>
        <v>0</v>
      </c>
      <c r="O11" s="98">
        <f>SUMIFS('caseload data'!Q:Q,'caseload data'!$D:$D,"PSO",'caseload data'!$C:$C,'divisional &amp; regional caseload'!$B$8)</f>
        <v>0</v>
      </c>
      <c r="P11" s="98">
        <f>SUMIFS('caseload data'!R:R,'caseload data'!$D:$D,"PSO",'caseload data'!$C:$C,'divisional &amp; regional caseload'!$B$8)</f>
        <v>0</v>
      </c>
      <c r="Q11" s="98">
        <f>SUMIFS('caseload data'!S:S,'caseload data'!$D:$D,"PSO",'caseload data'!$C:$C,'divisional &amp; regional caseload'!$B$8)</f>
        <v>0</v>
      </c>
      <c r="R11" s="98">
        <f>SUMIFS('caseload data'!T:T,'caseload data'!$D:$D,"PSO",'caseload data'!$C:$C,'divisional &amp; regional caseload'!$B$8)</f>
        <v>0</v>
      </c>
      <c r="S11" s="95"/>
      <c r="T11" s="101" t="s">
        <v>1172</v>
      </c>
      <c r="U11" s="98">
        <f>SUMIFS('caseload data'!E:E,'caseload data'!$D:$D,"PSO",'caseload data'!$C:$C,'divisional &amp; regional caseload'!$T$8)</f>
        <v>0</v>
      </c>
      <c r="V11" s="98">
        <f>SUMIFS('caseload data'!F:F,'caseload data'!$D:$D,"PSO",'caseload data'!$C:$C,'divisional &amp; regional caseload'!$T$8)</f>
        <v>0</v>
      </c>
      <c r="W11" s="98">
        <f>SUMIFS('caseload data'!G:G,'caseload data'!$D:$D,"PSO",'caseload data'!$C:$C,'divisional &amp; regional caseload'!$T$8)</f>
        <v>0</v>
      </c>
      <c r="X11" s="98">
        <f>SUMIFS('caseload data'!H:H,'caseload data'!$D:$D,"PSO",'caseload data'!$C:$C,'divisional &amp; regional caseload'!$T$8)</f>
        <v>0</v>
      </c>
      <c r="Y11" s="98">
        <f>SUMIFS('caseload data'!I:I,'caseload data'!$D:$D,"PSO",'caseload data'!$C:$C,'divisional &amp; regional caseload'!$T$8)</f>
        <v>0</v>
      </c>
      <c r="Z11" s="98">
        <f>SUMIFS('caseload data'!J:J,'caseload data'!$D:$D,"PSO",'caseload data'!$C:$C,'divisional &amp; regional caseload'!$T$8)</f>
        <v>0</v>
      </c>
      <c r="AA11" s="98">
        <f>SUMIFS('caseload data'!K:K,'caseload data'!$D:$D,"PSO",'caseload data'!$C:$C,'divisional &amp; regional caseload'!$T$8)</f>
        <v>0</v>
      </c>
      <c r="AB11" s="98">
        <f>SUMIFS('caseload data'!L:L,'caseload data'!$D:$D,"PSO",'caseload data'!$C:$C,'divisional &amp; regional caseload'!$T$8)</f>
        <v>0</v>
      </c>
      <c r="AC11" s="98">
        <f>SUMIFS('caseload data'!M:M,'caseload data'!$D:$D,"PSO",'caseload data'!$C:$C,'divisional &amp; regional caseload'!$T$8)</f>
        <v>0</v>
      </c>
      <c r="AD11" s="98">
        <f>SUMIFS('caseload data'!N:N,'caseload data'!$D:$D,"PSO",'caseload data'!$C:$C,'divisional &amp; regional caseload'!$T$8)</f>
        <v>0</v>
      </c>
      <c r="AE11" s="98">
        <f>SUMIFS('caseload data'!O:O,'caseload data'!$D:$D,"PSO",'caseload data'!$C:$C,'divisional &amp; regional caseload'!$T$8)</f>
        <v>0</v>
      </c>
      <c r="AF11" s="98">
        <f>SUMIFS('caseload data'!P:P,'caseload data'!$D:$D,"PSO",'caseload data'!$C:$C,'divisional &amp; regional caseload'!$T$8)</f>
        <v>0</v>
      </c>
      <c r="AG11" s="98">
        <f>SUMIFS('caseload data'!Q:Q,'caseload data'!$D:$D,"PSO",'caseload data'!$C:$C,'divisional &amp; regional caseload'!$T$8)</f>
        <v>0</v>
      </c>
      <c r="AH11" s="98">
        <f>SUMIFS('caseload data'!R:R,'caseload data'!$D:$D,"PSO",'caseload data'!$C:$C,'divisional &amp; regional caseload'!$T$8)</f>
        <v>0</v>
      </c>
      <c r="AI11" s="98">
        <f>SUMIFS('caseload data'!S:S,'caseload data'!$D:$D,"PSO",'caseload data'!$C:$C,'divisional &amp; regional caseload'!$T$8)</f>
        <v>0</v>
      </c>
      <c r="AJ11" s="98">
        <f>SUMIFS('caseload data'!T:T,'caseload data'!$D:$D,"PSO",'caseload data'!$C:$C,'divisional &amp; regional caseload'!$T$8)</f>
        <v>0</v>
      </c>
    </row>
    <row r="12" spans="1:41" x14ac:dyDescent="0.15">
      <c r="B12" s="101" t="s">
        <v>1173</v>
      </c>
      <c r="C12" s="98">
        <f>SUMIFS('caseload data'!E:E,'caseload data'!$D:$D,"TPO",'caseload data'!$C:$C,'divisional &amp; regional caseload'!$B$8)</f>
        <v>0</v>
      </c>
      <c r="D12" s="98">
        <f>SUMIFS('caseload data'!F:F,'caseload data'!$D:$D,"TPO",'caseload data'!$C:$C,'divisional &amp; regional caseload'!$B$8)</f>
        <v>0</v>
      </c>
      <c r="E12" s="98">
        <f>SUMIFS('caseload data'!G:G,'caseload data'!$D:$D,"TPO",'caseload data'!$C:$C,'divisional &amp; regional caseload'!$B$8)</f>
        <v>0</v>
      </c>
      <c r="F12" s="98">
        <f>SUMIFS('caseload data'!H:H,'caseload data'!$D:$D,"TPO",'caseload data'!$C:$C,'divisional &amp; regional caseload'!$B$8)</f>
        <v>0</v>
      </c>
      <c r="G12" s="98">
        <f>SUMIFS('caseload data'!I:I,'caseload data'!$D:$D,"TPO",'caseload data'!$C:$C,'divisional &amp; regional caseload'!$B$8)</f>
        <v>0</v>
      </c>
      <c r="H12" s="98">
        <f>SUMIFS('caseload data'!J:J,'caseload data'!$D:$D,"TPO",'caseload data'!$C:$C,'divisional &amp; regional caseload'!$B$8)</f>
        <v>0</v>
      </c>
      <c r="I12" s="98">
        <f>SUMIFS('caseload data'!K:K,'caseload data'!$D:$D,"TPO",'caseload data'!$C:$C,'divisional &amp; regional caseload'!$B$8)</f>
        <v>0</v>
      </c>
      <c r="J12" s="98">
        <f>SUMIFS('caseload data'!L:L,'caseload data'!$D:$D,"TPO",'caseload data'!$C:$C,'divisional &amp; regional caseload'!$B$8)</f>
        <v>0</v>
      </c>
      <c r="K12" s="98">
        <f>SUMIFS('caseload data'!M:M,'caseload data'!$D:$D,"TPO",'caseload data'!$C:$C,'divisional &amp; regional caseload'!$B$8)</f>
        <v>0</v>
      </c>
      <c r="L12" s="98">
        <f>SUMIFS('caseload data'!N:N,'caseload data'!$D:$D,"TPO",'caseload data'!$C:$C,'divisional &amp; regional caseload'!$B$8)</f>
        <v>0</v>
      </c>
      <c r="M12" s="98">
        <f>SUMIFS('caseload data'!O:O,'caseload data'!$D:$D,"TPO",'caseload data'!$C:$C,'divisional &amp; regional caseload'!$B$8)</f>
        <v>0</v>
      </c>
      <c r="N12" s="98">
        <f>SUMIFS('caseload data'!P:P,'caseload data'!$D:$D,"TPO",'caseload data'!$C:$C,'divisional &amp; regional caseload'!$B$8)</f>
        <v>0</v>
      </c>
      <c r="O12" s="98">
        <f>SUMIFS('caseload data'!Q:Q,'caseload data'!$D:$D,"TPO",'caseload data'!$C:$C,'divisional &amp; regional caseload'!$B$8)</f>
        <v>0</v>
      </c>
      <c r="P12" s="98">
        <f>SUMIFS('caseload data'!R:R,'caseload data'!$D:$D,"TPO",'caseload data'!$C:$C,'divisional &amp; regional caseload'!$B$8)</f>
        <v>0</v>
      </c>
      <c r="Q12" s="98">
        <f>SUMIFS('caseload data'!S:S,'caseload data'!$D:$D,"TPO",'caseload data'!$C:$C,'divisional &amp; regional caseload'!$B$8)</f>
        <v>0</v>
      </c>
      <c r="R12" s="98">
        <f>SUMIFS('caseload data'!T:T,'caseload data'!$D:$D,"TPO",'caseload data'!$C:$C,'divisional &amp; regional caseload'!$B$8)</f>
        <v>0</v>
      </c>
      <c r="S12" s="95"/>
      <c r="T12" s="101" t="s">
        <v>1173</v>
      </c>
      <c r="U12" s="98">
        <f>SUMIFS('caseload data'!E:E,'caseload data'!$D:$D,"TPO",'caseload data'!$C:$C,'divisional &amp; regional caseload'!$T$8)</f>
        <v>0</v>
      </c>
      <c r="V12" s="98">
        <f>SUMIFS('caseload data'!F:F,'caseload data'!$D:$D,"TPO",'caseload data'!$C:$C,'divisional &amp; regional caseload'!$T$8)</f>
        <v>0</v>
      </c>
      <c r="W12" s="98">
        <f>SUMIFS('caseload data'!G:G,'caseload data'!$D:$D,"TPO",'caseload data'!$C:$C,'divisional &amp; regional caseload'!$T$8)</f>
        <v>0</v>
      </c>
      <c r="X12" s="98">
        <f>SUMIFS('caseload data'!H:H,'caseload data'!$D:$D,"TPO",'caseload data'!$C:$C,'divisional &amp; regional caseload'!$T$8)</f>
        <v>0</v>
      </c>
      <c r="Y12" s="98">
        <f>SUMIFS('caseload data'!I:I,'caseload data'!$D:$D,"TPO",'caseload data'!$C:$C,'divisional &amp; regional caseload'!$T$8)</f>
        <v>0</v>
      </c>
      <c r="Z12" s="98">
        <f>SUMIFS('caseload data'!J:J,'caseload data'!$D:$D,"TPO",'caseload data'!$C:$C,'divisional &amp; regional caseload'!$T$8)</f>
        <v>0</v>
      </c>
      <c r="AA12" s="98">
        <f>SUMIFS('caseload data'!K:K,'caseload data'!$D:$D,"TPO",'caseload data'!$C:$C,'divisional &amp; regional caseload'!$T$8)</f>
        <v>0</v>
      </c>
      <c r="AB12" s="98">
        <f>SUMIFS('caseload data'!L:L,'caseload data'!$D:$D,"TPO",'caseload data'!$C:$C,'divisional &amp; regional caseload'!$T$8)</f>
        <v>0</v>
      </c>
      <c r="AC12" s="98">
        <f>SUMIFS('caseload data'!M:M,'caseload data'!$D:$D,"TPO",'caseload data'!$C:$C,'divisional &amp; regional caseload'!$T$8)</f>
        <v>0</v>
      </c>
      <c r="AD12" s="98">
        <f>SUMIFS('caseload data'!N:N,'caseload data'!$D:$D,"TPO",'caseload data'!$C:$C,'divisional &amp; regional caseload'!$T$8)</f>
        <v>0</v>
      </c>
      <c r="AE12" s="98">
        <f>SUMIFS('caseload data'!O:O,'caseload data'!$D:$D,"TPO",'caseload data'!$C:$C,'divisional &amp; regional caseload'!$T$8)</f>
        <v>0</v>
      </c>
      <c r="AF12" s="98">
        <f>SUMIFS('caseload data'!P:P,'caseload data'!$D:$D,"TPO",'caseload data'!$C:$C,'divisional &amp; regional caseload'!$T$8)</f>
        <v>0</v>
      </c>
      <c r="AG12" s="98">
        <f>SUMIFS('caseload data'!Q:Q,'caseload data'!$D:$D,"TPO",'caseload data'!$C:$C,'divisional &amp; regional caseload'!$T$8)</f>
        <v>0</v>
      </c>
      <c r="AH12" s="98">
        <f>SUMIFS('caseload data'!R:R,'caseload data'!$D:$D,"TPO",'caseload data'!$C:$C,'divisional &amp; regional caseload'!$T$8)</f>
        <v>0</v>
      </c>
      <c r="AI12" s="98">
        <f>SUMIFS('caseload data'!S:S,'caseload data'!$D:$D,"TPO",'caseload data'!$C:$C,'divisional &amp; regional caseload'!$T$8)</f>
        <v>0</v>
      </c>
      <c r="AJ12" s="98">
        <f>SUMIFS('caseload data'!T:T,'caseload data'!$D:$D,"TPO",'caseload data'!$C:$C,'divisional &amp; regional caseload'!$T$8)</f>
        <v>0</v>
      </c>
    </row>
    <row r="13" spans="1:41" x14ac:dyDescent="0.15">
      <c r="B13" s="102" t="s">
        <v>1174</v>
      </c>
      <c r="C13" s="98">
        <f>SUMIFS('caseload data'!E:E,'caseload data'!$D:$D,"SPO",'caseload data'!$C:$C,'divisional &amp; regional caseload'!$B$8)</f>
        <v>0</v>
      </c>
      <c r="D13" s="98">
        <f>SUMIFS('caseload data'!F:F,'caseload data'!$D:$D,"SPO",'caseload data'!$C:$C,'divisional &amp; regional caseload'!$B$8)</f>
        <v>0</v>
      </c>
      <c r="E13" s="98">
        <f>SUMIFS('caseload data'!G:G,'caseload data'!$D:$D,"SPO",'caseload data'!$C:$C,'divisional &amp; regional caseload'!$B$8)</f>
        <v>0</v>
      </c>
      <c r="F13" s="98">
        <f>SUMIFS('caseload data'!H:H,'caseload data'!$D:$D,"SPO",'caseload data'!$C:$C,'divisional &amp; regional caseload'!$B$8)</f>
        <v>0</v>
      </c>
      <c r="G13" s="98">
        <f>SUMIFS('caseload data'!I:I,'caseload data'!$D:$D,"SPO",'caseload data'!$C:$C,'divisional &amp; regional caseload'!$B$8)</f>
        <v>0</v>
      </c>
      <c r="H13" s="98">
        <f>SUMIFS('caseload data'!J:J,'caseload data'!$D:$D,"SPO",'caseload data'!$C:$C,'divisional &amp; regional caseload'!$B$8)</f>
        <v>0</v>
      </c>
      <c r="I13" s="98">
        <f>SUMIFS('caseload data'!K:K,'caseload data'!$D:$D,"SPO",'caseload data'!$C:$C,'divisional &amp; regional caseload'!$B$8)</f>
        <v>0</v>
      </c>
      <c r="J13" s="98">
        <f>SUMIFS('caseload data'!L:L,'caseload data'!$D:$D,"SPO",'caseload data'!$C:$C,'divisional &amp; regional caseload'!$B$8)</f>
        <v>0</v>
      </c>
      <c r="K13" s="98">
        <f>SUMIFS('caseload data'!M:M,'caseload data'!$D:$D,"SPO",'caseload data'!$C:$C,'divisional &amp; regional caseload'!$B$8)</f>
        <v>0</v>
      </c>
      <c r="L13" s="98">
        <f>SUMIFS('caseload data'!N:N,'caseload data'!$D:$D,"SPO",'caseload data'!$C:$C,'divisional &amp; regional caseload'!$B$8)</f>
        <v>0</v>
      </c>
      <c r="M13" s="98">
        <f>SUMIFS('caseload data'!O:O,'caseload data'!$D:$D,"SPO",'caseload data'!$C:$C,'divisional &amp; regional caseload'!$B$8)</f>
        <v>0</v>
      </c>
      <c r="N13" s="98">
        <f>SUMIFS('caseload data'!P:P,'caseload data'!$D:$D,"SPO",'caseload data'!$C:$C,'divisional &amp; regional caseload'!$B$8)</f>
        <v>0</v>
      </c>
      <c r="O13" s="98">
        <f>SUMIFS('caseload data'!Q:Q,'caseload data'!$D:$D,"SPO",'caseload data'!$C:$C,'divisional &amp; regional caseload'!$B$8)</f>
        <v>0</v>
      </c>
      <c r="P13" s="98">
        <f>SUMIFS('caseload data'!R:R,'caseload data'!$D:$D,"SPO",'caseload data'!$C:$C,'divisional &amp; regional caseload'!$B$8)</f>
        <v>0</v>
      </c>
      <c r="Q13" s="98">
        <f>SUMIFS('caseload data'!S:S,'caseload data'!$D:$D,"SPO",'caseload data'!$C:$C,'divisional &amp; regional caseload'!$B$8)</f>
        <v>0</v>
      </c>
      <c r="R13" s="98">
        <f>SUMIFS('caseload data'!T:T,'caseload data'!$D:$D,"SPO",'caseload data'!$C:$C,'divisional &amp; regional caseload'!$B$8)</f>
        <v>0</v>
      </c>
      <c r="S13" s="95"/>
      <c r="T13" s="102" t="s">
        <v>1174</v>
      </c>
      <c r="U13" s="98">
        <f>SUMIFS('caseload data'!E:E,'caseload data'!$D:$D,"SPO",'caseload data'!$C:$C,'divisional &amp; regional caseload'!$T$8)</f>
        <v>0</v>
      </c>
      <c r="V13" s="98">
        <f>SUMIFS('caseload data'!F:F,'caseload data'!$D:$D,"SPO",'caseload data'!$C:$C,'divisional &amp; regional caseload'!$T$8)</f>
        <v>0</v>
      </c>
      <c r="W13" s="98">
        <f>SUMIFS('caseload data'!G:G,'caseload data'!$D:$D,"SPO",'caseload data'!$C:$C,'divisional &amp; regional caseload'!$T$8)</f>
        <v>0</v>
      </c>
      <c r="X13" s="98">
        <f>SUMIFS('caseload data'!H:H,'caseload data'!$D:$D,"SPO",'caseload data'!$C:$C,'divisional &amp; regional caseload'!$T$8)</f>
        <v>0</v>
      </c>
      <c r="Y13" s="98">
        <f>SUMIFS('caseload data'!I:I,'caseload data'!$D:$D,"SPO",'caseload data'!$C:$C,'divisional &amp; regional caseload'!$T$8)</f>
        <v>0</v>
      </c>
      <c r="Z13" s="98">
        <f>SUMIFS('caseload data'!J:J,'caseload data'!$D:$D,"SPO",'caseload data'!$C:$C,'divisional &amp; regional caseload'!$T$8)</f>
        <v>0</v>
      </c>
      <c r="AA13" s="98">
        <f>SUMIFS('caseload data'!K:K,'caseload data'!$D:$D,"SPO",'caseload data'!$C:$C,'divisional &amp; regional caseload'!$T$8)</f>
        <v>0</v>
      </c>
      <c r="AB13" s="98">
        <f>SUMIFS('caseload data'!L:L,'caseload data'!$D:$D,"SPO",'caseload data'!$C:$C,'divisional &amp; regional caseload'!$T$8)</f>
        <v>0</v>
      </c>
      <c r="AC13" s="98">
        <f>SUMIFS('caseload data'!M:M,'caseload data'!$D:$D,"SPO",'caseload data'!$C:$C,'divisional &amp; regional caseload'!$T$8)</f>
        <v>0</v>
      </c>
      <c r="AD13" s="98">
        <f>SUMIFS('caseload data'!N:N,'caseload data'!$D:$D,"SPO",'caseload data'!$C:$C,'divisional &amp; regional caseload'!$T$8)</f>
        <v>0</v>
      </c>
      <c r="AE13" s="98">
        <f>SUMIFS('caseload data'!O:O,'caseload data'!$D:$D,"SPO",'caseload data'!$C:$C,'divisional &amp; regional caseload'!$T$8)</f>
        <v>0</v>
      </c>
      <c r="AF13" s="98">
        <f>SUMIFS('caseload data'!P:P,'caseload data'!$D:$D,"SPO",'caseload data'!$C:$C,'divisional &amp; regional caseload'!$T$8)</f>
        <v>0</v>
      </c>
      <c r="AG13" s="98">
        <f>SUMIFS('caseload data'!Q:Q,'caseload data'!$D:$D,"SPO",'caseload data'!$C:$C,'divisional &amp; regional caseload'!$T$8)</f>
        <v>0</v>
      </c>
      <c r="AH13" s="98">
        <f>SUMIFS('caseload data'!R:R,'caseload data'!$D:$D,"SPO",'caseload data'!$C:$C,'divisional &amp; regional caseload'!$T$8)</f>
        <v>0</v>
      </c>
      <c r="AI13" s="98">
        <f>SUMIFS('caseload data'!S:S,'caseload data'!$D:$D,"SPO",'caseload data'!$C:$C,'divisional &amp; regional caseload'!$T$8)</f>
        <v>0</v>
      </c>
      <c r="AJ13" s="98">
        <f>SUMIFS('caseload data'!T:T,'caseload data'!$D:$D,"SPO",'caseload data'!$C:$C,'divisional &amp; regional caseload'!$T$8)</f>
        <v>0</v>
      </c>
    </row>
    <row r="14" spans="1:41" x14ac:dyDescent="0.15">
      <c r="B14" s="95"/>
      <c r="C14" s="95"/>
      <c r="D14" s="95"/>
      <c r="E14" s="95"/>
      <c r="F14" s="95"/>
      <c r="G14" s="95"/>
      <c r="H14" s="95"/>
      <c r="I14" s="95"/>
      <c r="J14" s="95"/>
      <c r="K14" s="95"/>
      <c r="L14" s="95"/>
      <c r="M14" s="95"/>
      <c r="N14" s="95"/>
      <c r="O14" s="95"/>
      <c r="P14" s="95"/>
      <c r="Q14" s="95"/>
      <c r="R14" s="95"/>
      <c r="S14" s="95"/>
      <c r="T14" s="95"/>
      <c r="U14" s="95"/>
      <c r="V14" s="95"/>
      <c r="W14" s="95"/>
      <c r="X14" s="95"/>
      <c r="Y14" s="95"/>
      <c r="Z14" s="95"/>
      <c r="AA14" s="95"/>
    </row>
    <row r="15" spans="1:41" ht="30" customHeight="1" x14ac:dyDescent="0.15">
      <c r="B15" s="302" t="str">
        <f>HLOOKUP($B$5,Region_Table,4,0)</f>
        <v>Camden, Islington</v>
      </c>
      <c r="C15" s="467" t="s">
        <v>1271</v>
      </c>
      <c r="D15" s="468"/>
      <c r="E15" s="468"/>
      <c r="F15" s="468"/>
      <c r="G15" s="468"/>
      <c r="H15" s="468"/>
      <c r="I15" s="468"/>
      <c r="J15" s="468"/>
      <c r="K15" s="468"/>
      <c r="L15" s="468"/>
      <c r="M15" s="472"/>
      <c r="N15" s="472"/>
      <c r="O15" s="473"/>
      <c r="P15" s="462">
        <f>SUMIF('caseload data'!$C:$C,'divisional &amp; regional caseload'!B15,'caseload data'!V:V)</f>
        <v>0</v>
      </c>
      <c r="Q15" s="463"/>
      <c r="R15" s="464"/>
      <c r="S15" s="95"/>
      <c r="T15" s="302" t="str">
        <f>HLOOKUP($B$5,Region_Table,5,0)</f>
        <v>Community Integration</v>
      </c>
      <c r="U15" s="467" t="s">
        <v>1271</v>
      </c>
      <c r="V15" s="468"/>
      <c r="W15" s="468"/>
      <c r="X15" s="468"/>
      <c r="Y15" s="468"/>
      <c r="Z15" s="468"/>
      <c r="AA15" s="468"/>
      <c r="AB15" s="468"/>
      <c r="AC15" s="468"/>
      <c r="AD15" s="468"/>
      <c r="AE15" s="468"/>
      <c r="AF15" s="468"/>
      <c r="AG15" s="469"/>
      <c r="AH15" s="462">
        <f>SUMIF('caseload data'!$C:$C,'divisional &amp; regional caseload'!T15,'caseload data'!V:V)</f>
        <v>0</v>
      </c>
      <c r="AI15" s="463"/>
      <c r="AJ15" s="464"/>
    </row>
    <row r="16" spans="1:41" x14ac:dyDescent="0.15">
      <c r="B16" s="99" t="s">
        <v>1170</v>
      </c>
      <c r="C16" s="40" t="s">
        <v>1022</v>
      </c>
      <c r="D16" s="40" t="s">
        <v>1023</v>
      </c>
      <c r="E16" s="40" t="s">
        <v>1024</v>
      </c>
      <c r="F16" s="40" t="s">
        <v>1025</v>
      </c>
      <c r="G16" s="40" t="s">
        <v>1026</v>
      </c>
      <c r="H16" s="40" t="s">
        <v>1027</v>
      </c>
      <c r="I16" s="40" t="s">
        <v>1028</v>
      </c>
      <c r="J16" s="40" t="s">
        <v>1029</v>
      </c>
      <c r="K16" s="40" t="s">
        <v>1030</v>
      </c>
      <c r="L16" s="40" t="s">
        <v>1031</v>
      </c>
      <c r="M16" s="40" t="s">
        <v>1032</v>
      </c>
      <c r="N16" s="40" t="s">
        <v>1033</v>
      </c>
      <c r="O16" s="40" t="s">
        <v>1034</v>
      </c>
      <c r="P16" s="40" t="s">
        <v>1035</v>
      </c>
      <c r="Q16" s="40" t="s">
        <v>1036</v>
      </c>
      <c r="R16" s="40" t="s">
        <v>1037</v>
      </c>
      <c r="S16" s="95"/>
      <c r="T16" s="99" t="s">
        <v>1170</v>
      </c>
      <c r="U16" s="40" t="s">
        <v>1022</v>
      </c>
      <c r="V16" s="40" t="s">
        <v>1023</v>
      </c>
      <c r="W16" s="40" t="s">
        <v>1024</v>
      </c>
      <c r="X16" s="40" t="s">
        <v>1025</v>
      </c>
      <c r="Y16" s="40" t="s">
        <v>1026</v>
      </c>
      <c r="Z16" s="40" t="s">
        <v>1027</v>
      </c>
      <c r="AA16" s="40" t="s">
        <v>1028</v>
      </c>
      <c r="AB16" s="40" t="s">
        <v>1029</v>
      </c>
      <c r="AC16" s="40" t="s">
        <v>1030</v>
      </c>
      <c r="AD16" s="40" t="s">
        <v>1031</v>
      </c>
      <c r="AE16" s="40" t="s">
        <v>1032</v>
      </c>
      <c r="AF16" s="40" t="s">
        <v>1033</v>
      </c>
      <c r="AG16" s="40" t="s">
        <v>1034</v>
      </c>
      <c r="AH16" s="40" t="s">
        <v>1035</v>
      </c>
      <c r="AI16" s="40" t="s">
        <v>1036</v>
      </c>
      <c r="AJ16" s="40" t="s">
        <v>1037</v>
      </c>
    </row>
    <row r="17" spans="2:36" x14ac:dyDescent="0.15">
      <c r="B17" s="100" t="s">
        <v>1166</v>
      </c>
      <c r="C17" s="98">
        <f>SUMIFS('caseload data'!E:E,'caseload data'!$D:$D,"PO",'caseload data'!$C:$C,'divisional &amp; regional caseload'!$B$15)</f>
        <v>0</v>
      </c>
      <c r="D17" s="98">
        <f>SUMIFS('caseload data'!F:F,'caseload data'!$D:$D,"PO",'caseload data'!$C:$C,'divisional &amp; regional caseload'!$B$15)</f>
        <v>0</v>
      </c>
      <c r="E17" s="98">
        <f>SUMIFS('caseload data'!G:G,'caseload data'!$D:$D,"PO",'caseload data'!$C:$C,'divisional &amp; regional caseload'!$B$15)</f>
        <v>0</v>
      </c>
      <c r="F17" s="98">
        <f>SUMIFS('caseload data'!H:H,'caseload data'!$D:$D,"PO",'caseload data'!$C:$C,'divisional &amp; regional caseload'!$B$15)</f>
        <v>0</v>
      </c>
      <c r="G17" s="98">
        <f>SUMIFS('caseload data'!I:I,'caseload data'!$D:$D,"PO",'caseload data'!$C:$C,'divisional &amp; regional caseload'!$B$15)</f>
        <v>0</v>
      </c>
      <c r="H17" s="98">
        <f>SUMIFS('caseload data'!J:J,'caseload data'!$D:$D,"PO",'caseload data'!$C:$C,'divisional &amp; regional caseload'!$B$15)</f>
        <v>0</v>
      </c>
      <c r="I17" s="98">
        <f>SUMIFS('caseload data'!K:K,'caseload data'!$D:$D,"PO",'caseload data'!$C:$C,'divisional &amp; regional caseload'!$B$15)</f>
        <v>0</v>
      </c>
      <c r="J17" s="98">
        <f>SUMIFS('caseload data'!L:L,'caseload data'!$D:$D,"PO",'caseload data'!$C:$C,'divisional &amp; regional caseload'!$B$15)</f>
        <v>0</v>
      </c>
      <c r="K17" s="98">
        <f>SUMIFS('caseload data'!M:M,'caseload data'!$D:$D,"PO",'caseload data'!$C:$C,'divisional &amp; regional caseload'!$B$15)</f>
        <v>0</v>
      </c>
      <c r="L17" s="98">
        <f>SUMIFS('caseload data'!N:N,'caseload data'!$D:$D,"PO",'caseload data'!$C:$C,'divisional &amp; regional caseload'!$B$15)</f>
        <v>0</v>
      </c>
      <c r="M17" s="98">
        <f>SUMIFS('caseload data'!O:O,'caseload data'!$D:$D,"PO",'caseload data'!$C:$C,'divisional &amp; regional caseload'!$B$15)</f>
        <v>0</v>
      </c>
      <c r="N17" s="98">
        <f>SUMIFS('caseload data'!P:P,'caseload data'!$D:$D,"PO",'caseload data'!$C:$C,'divisional &amp; regional caseload'!$B$15)</f>
        <v>0</v>
      </c>
      <c r="O17" s="98">
        <f>SUMIFS('caseload data'!Q:Q,'caseload data'!$D:$D,"PO",'caseload data'!$C:$C,'divisional &amp; regional caseload'!$B$15)</f>
        <v>0</v>
      </c>
      <c r="P17" s="98">
        <f>SUMIFS('caseload data'!R:R,'caseload data'!$D:$D,"PO",'caseload data'!$C:$C,'divisional &amp; regional caseload'!$B$15)</f>
        <v>0</v>
      </c>
      <c r="Q17" s="98">
        <f>SUMIFS('caseload data'!S:S,'caseload data'!$D:$D,"PO",'caseload data'!$C:$C,'divisional &amp; regional caseload'!$B$15)</f>
        <v>0</v>
      </c>
      <c r="R17" s="98">
        <f>SUMIFS('caseload data'!T:T,'caseload data'!$D:$D,"PO",'caseload data'!$C:$C,'divisional &amp; regional caseload'!$B$15)</f>
        <v>0</v>
      </c>
      <c r="S17" s="95"/>
      <c r="T17" s="100" t="s">
        <v>1166</v>
      </c>
      <c r="U17" s="98">
        <f>SUMIFS('caseload data'!E:E,'caseload data'!$D:$D,"PO",'caseload data'!$C:$C,'divisional &amp; regional caseload'!$T$15)</f>
        <v>0</v>
      </c>
      <c r="V17" s="98">
        <f>SUMIFS('caseload data'!F:F,'caseload data'!$D:$D,"PO",'caseload data'!$C:$C,'divisional &amp; regional caseload'!$T$15)</f>
        <v>0</v>
      </c>
      <c r="W17" s="98">
        <f>SUMIFS('caseload data'!G:G,'caseload data'!$D:$D,"PO",'caseload data'!$C:$C,'divisional &amp; regional caseload'!$T$15)</f>
        <v>0</v>
      </c>
      <c r="X17" s="98">
        <f>SUMIFS('caseload data'!H:H,'caseload data'!$D:$D,"PO",'caseload data'!$C:$C,'divisional &amp; regional caseload'!$T$15)</f>
        <v>0</v>
      </c>
      <c r="Y17" s="98">
        <f>SUMIFS('caseload data'!I:I,'caseload data'!$D:$D,"PO",'caseload data'!$C:$C,'divisional &amp; regional caseload'!$T$15)</f>
        <v>0</v>
      </c>
      <c r="Z17" s="98">
        <f>SUMIFS('caseload data'!J:J,'caseload data'!$D:$D,"PO",'caseload data'!$C:$C,'divisional &amp; regional caseload'!$T$15)</f>
        <v>0</v>
      </c>
      <c r="AA17" s="98">
        <f>SUMIFS('caseload data'!K:K,'caseload data'!$D:$D,"PO",'caseload data'!$C:$C,'divisional &amp; regional caseload'!$T$15)</f>
        <v>0</v>
      </c>
      <c r="AB17" s="98">
        <f>SUMIFS('caseload data'!L:L,'caseload data'!$D:$D,"PO",'caseload data'!$C:$C,'divisional &amp; regional caseload'!$T$15)</f>
        <v>0</v>
      </c>
      <c r="AC17" s="98">
        <f>SUMIFS('caseload data'!M:M,'caseload data'!$D:$D,"PO",'caseload data'!$C:$C,'divisional &amp; regional caseload'!$T$15)</f>
        <v>0</v>
      </c>
      <c r="AD17" s="98">
        <f>SUMIFS('caseload data'!N:N,'caseload data'!$D:$D,"PO",'caseload data'!$C:$C,'divisional &amp; regional caseload'!$T$15)</f>
        <v>0</v>
      </c>
      <c r="AE17" s="98">
        <f>SUMIFS('caseload data'!O:O,'caseload data'!$D:$D,"PO",'caseload data'!$C:$C,'divisional &amp; regional caseload'!$T$15)</f>
        <v>0</v>
      </c>
      <c r="AF17" s="98">
        <f>SUMIFS('caseload data'!P:P,'caseload data'!$D:$D,"PO",'caseload data'!$C:$C,'divisional &amp; regional caseload'!$T$15)</f>
        <v>0</v>
      </c>
      <c r="AG17" s="98">
        <f>SUMIFS('caseload data'!Q:Q,'caseload data'!$D:$D,"PO",'caseload data'!$C:$C,'divisional &amp; regional caseload'!$T$15)</f>
        <v>0</v>
      </c>
      <c r="AH17" s="98">
        <f>SUMIFS('caseload data'!R:R,'caseload data'!$D:$D,"PO",'caseload data'!$C:$C,'divisional &amp; regional caseload'!$T$15)</f>
        <v>0</v>
      </c>
      <c r="AI17" s="98">
        <f>SUMIFS('caseload data'!S:S,'caseload data'!$D:$D,"PO",'caseload data'!$C:$C,'divisional &amp; regional caseload'!$T$15)</f>
        <v>0</v>
      </c>
      <c r="AJ17" s="98">
        <f>SUMIFS('caseload data'!T:T,'caseload data'!$D:$D,"PO",'caseload data'!$C:$C,'divisional &amp; regional caseload'!$T$15)</f>
        <v>0</v>
      </c>
    </row>
    <row r="18" spans="2:36" x14ac:dyDescent="0.15">
      <c r="B18" s="101" t="s">
        <v>1172</v>
      </c>
      <c r="C18" s="98">
        <f>SUMIFS('caseload data'!E:E,'caseload data'!$D:$D,"PSO",'caseload data'!$C:$C,'divisional &amp; regional caseload'!$B$15)</f>
        <v>0</v>
      </c>
      <c r="D18" s="98">
        <f>SUMIFS('caseload data'!F:F,'caseload data'!$D:$D,"PSO",'caseload data'!$C:$C,'divisional &amp; regional caseload'!$B$15)</f>
        <v>0</v>
      </c>
      <c r="E18" s="98">
        <f>SUMIFS('caseload data'!G:G,'caseload data'!$D:$D,"PSO",'caseload data'!$C:$C,'divisional &amp; regional caseload'!$B$15)</f>
        <v>0</v>
      </c>
      <c r="F18" s="98">
        <f>SUMIFS('caseload data'!H:H,'caseload data'!$D:$D,"PSO",'caseload data'!$C:$C,'divisional &amp; regional caseload'!$B$15)</f>
        <v>0</v>
      </c>
      <c r="G18" s="98">
        <f>SUMIFS('caseload data'!I:I,'caseload data'!$D:$D,"PSO",'caseload data'!$C:$C,'divisional &amp; regional caseload'!$B$15)</f>
        <v>0</v>
      </c>
      <c r="H18" s="98">
        <f>SUMIFS('caseload data'!J:J,'caseload data'!$D:$D,"PSO",'caseload data'!$C:$C,'divisional &amp; regional caseload'!$B$15)</f>
        <v>0</v>
      </c>
      <c r="I18" s="98">
        <f>SUMIFS('caseload data'!K:K,'caseload data'!$D:$D,"PSO",'caseload data'!$C:$C,'divisional &amp; regional caseload'!$B$15)</f>
        <v>0</v>
      </c>
      <c r="J18" s="98">
        <f>SUMIFS('caseload data'!L:L,'caseload data'!$D:$D,"PSO",'caseload data'!$C:$C,'divisional &amp; regional caseload'!$B$15)</f>
        <v>0</v>
      </c>
      <c r="K18" s="98">
        <f>SUMIFS('caseload data'!M:M,'caseload data'!$D:$D,"PSO",'caseload data'!$C:$C,'divisional &amp; regional caseload'!$B$15)</f>
        <v>0</v>
      </c>
      <c r="L18" s="98">
        <f>SUMIFS('caseload data'!N:N,'caseload data'!$D:$D,"PSO",'caseload data'!$C:$C,'divisional &amp; regional caseload'!$B$15)</f>
        <v>0</v>
      </c>
      <c r="M18" s="98">
        <f>SUMIFS('caseload data'!O:O,'caseload data'!$D:$D,"PSO",'caseload data'!$C:$C,'divisional &amp; regional caseload'!$B$15)</f>
        <v>0</v>
      </c>
      <c r="N18" s="98">
        <f>SUMIFS('caseload data'!P:P,'caseload data'!$D:$D,"PSO",'caseload data'!$C:$C,'divisional &amp; regional caseload'!$B$15)</f>
        <v>0</v>
      </c>
      <c r="O18" s="98">
        <f>SUMIFS('caseload data'!Q:Q,'caseload data'!$D:$D,"PSO",'caseload data'!$C:$C,'divisional &amp; regional caseload'!$B$15)</f>
        <v>0</v>
      </c>
      <c r="P18" s="98">
        <f>SUMIFS('caseload data'!R:R,'caseload data'!$D:$D,"PSO",'caseload data'!$C:$C,'divisional &amp; regional caseload'!$B$15)</f>
        <v>0</v>
      </c>
      <c r="Q18" s="98">
        <f>SUMIFS('caseload data'!S:S,'caseload data'!$D:$D,"PSO",'caseload data'!$C:$C,'divisional &amp; regional caseload'!$B$15)</f>
        <v>0</v>
      </c>
      <c r="R18" s="98">
        <f>SUMIFS('caseload data'!T:T,'caseload data'!$D:$D,"PSO",'caseload data'!$C:$C,'divisional &amp; regional caseload'!$B$15)</f>
        <v>0</v>
      </c>
      <c r="S18" s="95"/>
      <c r="T18" s="101" t="s">
        <v>1172</v>
      </c>
      <c r="U18" s="98">
        <f>SUMIFS('caseload data'!E:E,'caseload data'!$D:$D,"PSO",'caseload data'!$C:$C,'divisional &amp; regional caseload'!$T$15)</f>
        <v>0</v>
      </c>
      <c r="V18" s="98">
        <f>SUMIFS('caseload data'!F:F,'caseload data'!$D:$D,"PSO",'caseload data'!$C:$C,'divisional &amp; regional caseload'!$T$15)</f>
        <v>0</v>
      </c>
      <c r="W18" s="98">
        <f>SUMIFS('caseload data'!G:G,'caseload data'!$D:$D,"PSO",'caseload data'!$C:$C,'divisional &amp; regional caseload'!$T$15)</f>
        <v>0</v>
      </c>
      <c r="X18" s="98">
        <f>SUMIFS('caseload data'!H:H,'caseload data'!$D:$D,"PSO",'caseload data'!$C:$C,'divisional &amp; regional caseload'!$T$15)</f>
        <v>0</v>
      </c>
      <c r="Y18" s="98">
        <f>SUMIFS('caseload data'!I:I,'caseload data'!$D:$D,"PSO",'caseload data'!$C:$C,'divisional &amp; regional caseload'!$T$15)</f>
        <v>0</v>
      </c>
      <c r="Z18" s="98">
        <f>SUMIFS('caseload data'!J:J,'caseload data'!$D:$D,"PSO",'caseload data'!$C:$C,'divisional &amp; regional caseload'!$T$15)</f>
        <v>0</v>
      </c>
      <c r="AA18" s="98">
        <f>SUMIFS('caseload data'!K:K,'caseload data'!$D:$D,"PSO",'caseload data'!$C:$C,'divisional &amp; regional caseload'!$T$15)</f>
        <v>0</v>
      </c>
      <c r="AB18" s="98">
        <f>SUMIFS('caseload data'!L:L,'caseload data'!$D:$D,"PSO",'caseload data'!$C:$C,'divisional &amp; regional caseload'!$T$15)</f>
        <v>0</v>
      </c>
      <c r="AC18" s="98">
        <f>SUMIFS('caseload data'!M:M,'caseload data'!$D:$D,"PSO",'caseload data'!$C:$C,'divisional &amp; regional caseload'!$T$15)</f>
        <v>0</v>
      </c>
      <c r="AD18" s="98">
        <f>SUMIFS('caseload data'!N:N,'caseload data'!$D:$D,"PSO",'caseload data'!$C:$C,'divisional &amp; regional caseload'!$T$15)</f>
        <v>0</v>
      </c>
      <c r="AE18" s="98">
        <f>SUMIFS('caseload data'!O:O,'caseload data'!$D:$D,"PSO",'caseload data'!$C:$C,'divisional &amp; regional caseload'!$T$15)</f>
        <v>0</v>
      </c>
      <c r="AF18" s="98">
        <f>SUMIFS('caseload data'!P:P,'caseload data'!$D:$D,"PSO",'caseload data'!$C:$C,'divisional &amp; regional caseload'!$T$15)</f>
        <v>0</v>
      </c>
      <c r="AG18" s="98">
        <f>SUMIFS('caseload data'!Q:Q,'caseload data'!$D:$D,"PSO",'caseload data'!$C:$C,'divisional &amp; regional caseload'!$T$15)</f>
        <v>0</v>
      </c>
      <c r="AH18" s="98">
        <f>SUMIFS('caseload data'!R:R,'caseload data'!$D:$D,"PSO",'caseload data'!$C:$C,'divisional &amp; regional caseload'!$T$15)</f>
        <v>0</v>
      </c>
      <c r="AI18" s="98">
        <f>SUMIFS('caseload data'!S:S,'caseload data'!$D:$D,"PSO",'caseload data'!$C:$C,'divisional &amp; regional caseload'!$T$15)</f>
        <v>0</v>
      </c>
      <c r="AJ18" s="98">
        <f>SUMIFS('caseload data'!T:T,'caseload data'!$D:$D,"PSO",'caseload data'!$C:$C,'divisional &amp; regional caseload'!$T$15)</f>
        <v>0</v>
      </c>
    </row>
    <row r="19" spans="2:36" x14ac:dyDescent="0.15">
      <c r="B19" s="101" t="s">
        <v>1173</v>
      </c>
      <c r="C19" s="98">
        <f>SUMIFS('caseload data'!E:E,'caseload data'!$D:$D,"TPO",'caseload data'!$C:$C,'divisional &amp; regional caseload'!$B$15)</f>
        <v>0</v>
      </c>
      <c r="D19" s="98">
        <f>SUMIFS('caseload data'!F:F,'caseload data'!$D:$D,"TPO",'caseload data'!$C:$C,'divisional &amp; regional caseload'!$B$15)</f>
        <v>0</v>
      </c>
      <c r="E19" s="98">
        <f>SUMIFS('caseload data'!G:G,'caseload data'!$D:$D,"TPO",'caseload data'!$C:$C,'divisional &amp; regional caseload'!$B$15)</f>
        <v>0</v>
      </c>
      <c r="F19" s="98">
        <f>SUMIFS('caseload data'!H:H,'caseload data'!$D:$D,"TPO",'caseload data'!$C:$C,'divisional &amp; regional caseload'!$B$15)</f>
        <v>0</v>
      </c>
      <c r="G19" s="98">
        <f>SUMIFS('caseload data'!I:I,'caseload data'!$D:$D,"TPO",'caseload data'!$C:$C,'divisional &amp; regional caseload'!$B$15)</f>
        <v>0</v>
      </c>
      <c r="H19" s="98">
        <f>SUMIFS('caseload data'!J:J,'caseload data'!$D:$D,"TPO",'caseload data'!$C:$C,'divisional &amp; regional caseload'!$B$15)</f>
        <v>0</v>
      </c>
      <c r="I19" s="98">
        <f>SUMIFS('caseload data'!K:K,'caseload data'!$D:$D,"TPO",'caseload data'!$C:$C,'divisional &amp; regional caseload'!$B$15)</f>
        <v>0</v>
      </c>
      <c r="J19" s="98">
        <f>SUMIFS('caseload data'!L:L,'caseload data'!$D:$D,"TPO",'caseload data'!$C:$C,'divisional &amp; regional caseload'!$B$15)</f>
        <v>0</v>
      </c>
      <c r="K19" s="98">
        <f>SUMIFS('caseload data'!M:M,'caseload data'!$D:$D,"TPO",'caseload data'!$C:$C,'divisional &amp; regional caseload'!$B$15)</f>
        <v>0</v>
      </c>
      <c r="L19" s="98">
        <f>SUMIFS('caseload data'!N:N,'caseload data'!$D:$D,"TPO",'caseload data'!$C:$C,'divisional &amp; regional caseload'!$B$15)</f>
        <v>0</v>
      </c>
      <c r="M19" s="98">
        <f>SUMIFS('caseload data'!O:O,'caseload data'!$D:$D,"TPO",'caseload data'!$C:$C,'divisional &amp; regional caseload'!$B$15)</f>
        <v>0</v>
      </c>
      <c r="N19" s="98">
        <f>SUMIFS('caseload data'!P:P,'caseload data'!$D:$D,"TPO",'caseload data'!$C:$C,'divisional &amp; regional caseload'!$B$15)</f>
        <v>0</v>
      </c>
      <c r="O19" s="98">
        <f>SUMIFS('caseload data'!Q:Q,'caseload data'!$D:$D,"TPO",'caseload data'!$C:$C,'divisional &amp; regional caseload'!$B$15)</f>
        <v>0</v>
      </c>
      <c r="P19" s="98">
        <f>SUMIFS('caseload data'!R:R,'caseload data'!$D:$D,"TPO",'caseload data'!$C:$C,'divisional &amp; regional caseload'!$B$15)</f>
        <v>0</v>
      </c>
      <c r="Q19" s="98">
        <f>SUMIFS('caseload data'!S:S,'caseload data'!$D:$D,"TPO",'caseload data'!$C:$C,'divisional &amp; regional caseload'!$B$15)</f>
        <v>0</v>
      </c>
      <c r="R19" s="98">
        <f>SUMIFS('caseload data'!T:T,'caseload data'!$D:$D,"TPO",'caseload data'!$C:$C,'divisional &amp; regional caseload'!$B$15)</f>
        <v>0</v>
      </c>
      <c r="S19" s="95"/>
      <c r="T19" s="101" t="s">
        <v>1173</v>
      </c>
      <c r="U19" s="98">
        <f>SUMIFS('caseload data'!E:E,'caseload data'!$D:$D,"TPO",'caseload data'!$C:$C,'divisional &amp; regional caseload'!$T$15)</f>
        <v>0</v>
      </c>
      <c r="V19" s="98">
        <f>SUMIFS('caseload data'!F:F,'caseload data'!$D:$D,"TPO",'caseload data'!$C:$C,'divisional &amp; regional caseload'!$T$15)</f>
        <v>0</v>
      </c>
      <c r="W19" s="98">
        <f>SUMIFS('caseload data'!G:G,'caseload data'!$D:$D,"TPO",'caseload data'!$C:$C,'divisional &amp; regional caseload'!$T$15)</f>
        <v>0</v>
      </c>
      <c r="X19" s="98">
        <f>SUMIFS('caseload data'!H:H,'caseload data'!$D:$D,"TPO",'caseload data'!$C:$C,'divisional &amp; regional caseload'!$T$15)</f>
        <v>0</v>
      </c>
      <c r="Y19" s="98">
        <f>SUMIFS('caseload data'!I:I,'caseload data'!$D:$D,"TPO",'caseload data'!$C:$C,'divisional &amp; regional caseload'!$T$15)</f>
        <v>0</v>
      </c>
      <c r="Z19" s="98">
        <f>SUMIFS('caseload data'!J:J,'caseload data'!$D:$D,"TPO",'caseload data'!$C:$C,'divisional &amp; regional caseload'!$T$15)</f>
        <v>0</v>
      </c>
      <c r="AA19" s="98">
        <f>SUMIFS('caseload data'!K:K,'caseload data'!$D:$D,"TPO",'caseload data'!$C:$C,'divisional &amp; regional caseload'!$T$15)</f>
        <v>0</v>
      </c>
      <c r="AB19" s="98">
        <f>SUMIFS('caseload data'!L:L,'caseload data'!$D:$D,"TPO",'caseload data'!$C:$C,'divisional &amp; regional caseload'!$T$15)</f>
        <v>0</v>
      </c>
      <c r="AC19" s="98">
        <f>SUMIFS('caseload data'!M:M,'caseload data'!$D:$D,"TPO",'caseload data'!$C:$C,'divisional &amp; regional caseload'!$T$15)</f>
        <v>0</v>
      </c>
      <c r="AD19" s="98">
        <f>SUMIFS('caseload data'!N:N,'caseload data'!$D:$D,"TPO",'caseload data'!$C:$C,'divisional &amp; regional caseload'!$T$15)</f>
        <v>0</v>
      </c>
      <c r="AE19" s="98">
        <f>SUMIFS('caseload data'!O:O,'caseload data'!$D:$D,"TPO",'caseload data'!$C:$C,'divisional &amp; regional caseload'!$T$15)</f>
        <v>0</v>
      </c>
      <c r="AF19" s="98">
        <f>SUMIFS('caseload data'!P:P,'caseload data'!$D:$D,"TPO",'caseload data'!$C:$C,'divisional &amp; regional caseload'!$T$15)</f>
        <v>0</v>
      </c>
      <c r="AG19" s="98">
        <f>SUMIFS('caseload data'!Q:Q,'caseload data'!$D:$D,"TPO",'caseload data'!$C:$C,'divisional &amp; regional caseload'!$T$15)</f>
        <v>0</v>
      </c>
      <c r="AH19" s="98">
        <f>SUMIFS('caseload data'!R:R,'caseload data'!$D:$D,"TPO",'caseload data'!$C:$C,'divisional &amp; regional caseload'!$T$15)</f>
        <v>0</v>
      </c>
      <c r="AI19" s="98">
        <f>SUMIFS('caseload data'!S:S,'caseload data'!$D:$D,"TPO",'caseload data'!$C:$C,'divisional &amp; regional caseload'!$T$15)</f>
        <v>0</v>
      </c>
      <c r="AJ19" s="98">
        <f>SUMIFS('caseload data'!T:T,'caseload data'!$D:$D,"TPO",'caseload data'!$C:$C,'divisional &amp; regional caseload'!$T$15)</f>
        <v>0</v>
      </c>
    </row>
    <row r="20" spans="2:36" x14ac:dyDescent="0.15">
      <c r="B20" s="102" t="s">
        <v>1174</v>
      </c>
      <c r="C20" s="98">
        <f>SUMIFS('caseload data'!E:E,'caseload data'!$D:$D,"SPO",'caseload data'!$C:$C,'divisional &amp; regional caseload'!$B$15)</f>
        <v>0</v>
      </c>
      <c r="D20" s="98">
        <f>SUMIFS('caseload data'!F:F,'caseload data'!$D:$D,"SPO",'caseload data'!$C:$C,'divisional &amp; regional caseload'!$B$15)</f>
        <v>0</v>
      </c>
      <c r="E20" s="98">
        <f>SUMIFS('caseload data'!G:G,'caseload data'!$D:$D,"SPO",'caseload data'!$C:$C,'divisional &amp; regional caseload'!$B$15)</f>
        <v>0</v>
      </c>
      <c r="F20" s="98">
        <f>SUMIFS('caseload data'!H:H,'caseload data'!$D:$D,"SPO",'caseload data'!$C:$C,'divisional &amp; regional caseload'!$B$15)</f>
        <v>0</v>
      </c>
      <c r="G20" s="98">
        <f>SUMIFS('caseload data'!I:I,'caseload data'!$D:$D,"SPO",'caseload data'!$C:$C,'divisional &amp; regional caseload'!$B$15)</f>
        <v>0</v>
      </c>
      <c r="H20" s="98">
        <f>SUMIFS('caseload data'!J:J,'caseload data'!$D:$D,"SPO",'caseload data'!$C:$C,'divisional &amp; regional caseload'!$B$15)</f>
        <v>0</v>
      </c>
      <c r="I20" s="98">
        <f>SUMIFS('caseload data'!K:K,'caseload data'!$D:$D,"SPO",'caseload data'!$C:$C,'divisional &amp; regional caseload'!$B$15)</f>
        <v>0</v>
      </c>
      <c r="J20" s="98">
        <f>SUMIFS('caseload data'!L:L,'caseload data'!$D:$D,"SPO",'caseload data'!$C:$C,'divisional &amp; regional caseload'!$B$15)</f>
        <v>0</v>
      </c>
      <c r="K20" s="98">
        <f>SUMIFS('caseload data'!M:M,'caseload data'!$D:$D,"SPO",'caseload data'!$C:$C,'divisional &amp; regional caseload'!$B$15)</f>
        <v>0</v>
      </c>
      <c r="L20" s="98">
        <f>SUMIFS('caseload data'!N:N,'caseload data'!$D:$D,"SPO",'caseload data'!$C:$C,'divisional &amp; regional caseload'!$B$15)</f>
        <v>0</v>
      </c>
      <c r="M20" s="98">
        <f>SUMIFS('caseload data'!O:O,'caseload data'!$D:$D,"SPO",'caseload data'!$C:$C,'divisional &amp; regional caseload'!$B$15)</f>
        <v>0</v>
      </c>
      <c r="N20" s="98">
        <f>SUMIFS('caseload data'!P:P,'caseload data'!$D:$D,"SPO",'caseload data'!$C:$C,'divisional &amp; regional caseload'!$B$15)</f>
        <v>0</v>
      </c>
      <c r="O20" s="98">
        <f>SUMIFS('caseload data'!Q:Q,'caseload data'!$D:$D,"SPO",'caseload data'!$C:$C,'divisional &amp; regional caseload'!$B$15)</f>
        <v>0</v>
      </c>
      <c r="P20" s="98">
        <f>SUMIFS('caseload data'!R:R,'caseload data'!$D:$D,"SPO",'caseload data'!$C:$C,'divisional &amp; regional caseload'!$B$15)</f>
        <v>0</v>
      </c>
      <c r="Q20" s="98">
        <f>SUMIFS('caseload data'!S:S,'caseload data'!$D:$D,"SPO",'caseload data'!$C:$C,'divisional &amp; regional caseload'!$B$15)</f>
        <v>0</v>
      </c>
      <c r="R20" s="98">
        <f>SUMIFS('caseload data'!T:T,'caseload data'!$D:$D,"SPO",'caseload data'!$C:$C,'divisional &amp; regional caseload'!$B$15)</f>
        <v>0</v>
      </c>
      <c r="S20" s="95"/>
      <c r="T20" s="102" t="s">
        <v>1174</v>
      </c>
      <c r="U20" s="98">
        <f>SUMIFS('caseload data'!E:E,'caseload data'!$D:$D,"SPO",'caseload data'!$C:$C,'divisional &amp; regional caseload'!$T$15)</f>
        <v>0</v>
      </c>
      <c r="V20" s="98">
        <f>SUMIFS('caseload data'!F:F,'caseload data'!$D:$D,"SPO",'caseload data'!$C:$C,'divisional &amp; regional caseload'!$T$15)</f>
        <v>0</v>
      </c>
      <c r="W20" s="98">
        <f>SUMIFS('caseload data'!G:G,'caseload data'!$D:$D,"SPO",'caseload data'!$C:$C,'divisional &amp; regional caseload'!$T$15)</f>
        <v>0</v>
      </c>
      <c r="X20" s="98">
        <f>SUMIFS('caseload data'!H:H,'caseload data'!$D:$D,"SPO",'caseload data'!$C:$C,'divisional &amp; regional caseload'!$T$15)</f>
        <v>0</v>
      </c>
      <c r="Y20" s="98">
        <f>SUMIFS('caseload data'!I:I,'caseload data'!$D:$D,"SPO",'caseload data'!$C:$C,'divisional &amp; regional caseload'!$T$15)</f>
        <v>0</v>
      </c>
      <c r="Z20" s="98">
        <f>SUMIFS('caseload data'!J:J,'caseload data'!$D:$D,"SPO",'caseload data'!$C:$C,'divisional &amp; regional caseload'!$T$15)</f>
        <v>0</v>
      </c>
      <c r="AA20" s="98">
        <f>SUMIFS('caseload data'!K:K,'caseload data'!$D:$D,"SPO",'caseload data'!$C:$C,'divisional &amp; regional caseload'!$T$15)</f>
        <v>0</v>
      </c>
      <c r="AB20" s="98">
        <f>SUMIFS('caseload data'!L:L,'caseload data'!$D:$D,"SPO",'caseload data'!$C:$C,'divisional &amp; regional caseload'!$T$15)</f>
        <v>0</v>
      </c>
      <c r="AC20" s="98">
        <f>SUMIFS('caseload data'!M:M,'caseload data'!$D:$D,"SPO",'caseload data'!$C:$C,'divisional &amp; regional caseload'!$T$15)</f>
        <v>0</v>
      </c>
      <c r="AD20" s="98">
        <f>SUMIFS('caseload data'!N:N,'caseload data'!$D:$D,"SPO",'caseload data'!$C:$C,'divisional &amp; regional caseload'!$T$15)</f>
        <v>0</v>
      </c>
      <c r="AE20" s="98">
        <f>SUMIFS('caseload data'!O:O,'caseload data'!$D:$D,"SPO",'caseload data'!$C:$C,'divisional &amp; regional caseload'!$T$15)</f>
        <v>0</v>
      </c>
      <c r="AF20" s="98">
        <f>SUMIFS('caseload data'!P:P,'caseload data'!$D:$D,"SPO",'caseload data'!$C:$C,'divisional &amp; regional caseload'!$T$15)</f>
        <v>0</v>
      </c>
      <c r="AG20" s="98">
        <f>SUMIFS('caseload data'!Q:Q,'caseload data'!$D:$D,"SPO",'caseload data'!$C:$C,'divisional &amp; regional caseload'!$T$15)</f>
        <v>0</v>
      </c>
      <c r="AH20" s="98">
        <f>SUMIFS('caseload data'!R:R,'caseload data'!$D:$D,"SPO",'caseload data'!$C:$C,'divisional &amp; regional caseload'!$T$15)</f>
        <v>0</v>
      </c>
      <c r="AI20" s="98">
        <f>SUMIFS('caseload data'!S:S,'caseload data'!$D:$D,"SPO",'caseload data'!$C:$C,'divisional &amp; regional caseload'!$T$15)</f>
        <v>0</v>
      </c>
      <c r="AJ20" s="98">
        <f>SUMIFS('caseload data'!T:T,'caseload data'!$D:$D,"SPO",'caseload data'!$C:$C,'divisional &amp; regional caseload'!$T$15)</f>
        <v>0</v>
      </c>
    </row>
    <row r="21" spans="2:36" x14ac:dyDescent="0.15">
      <c r="B21" s="95"/>
      <c r="C21" s="95"/>
      <c r="D21" s="95"/>
      <c r="E21" s="95"/>
      <c r="F21" s="95"/>
      <c r="G21" s="95"/>
      <c r="H21" s="95"/>
      <c r="I21" s="95"/>
      <c r="J21" s="95"/>
      <c r="K21" s="95"/>
      <c r="L21" s="95"/>
      <c r="M21" s="95"/>
      <c r="N21" s="95"/>
      <c r="O21" s="95"/>
      <c r="P21" s="95"/>
      <c r="Q21" s="95"/>
      <c r="R21" s="95"/>
      <c r="S21" s="95"/>
      <c r="T21" s="95"/>
      <c r="U21" s="95"/>
      <c r="V21" s="95"/>
      <c r="W21" s="95"/>
      <c r="X21" s="95"/>
      <c r="Y21" s="95"/>
      <c r="Z21" s="95"/>
      <c r="AA21" s="95"/>
    </row>
    <row r="22" spans="2:36" ht="30.75" customHeight="1" x14ac:dyDescent="0.15">
      <c r="B22" s="302" t="str">
        <f>HLOOKUP($B$5,Region_Table,6,0)</f>
        <v>Corporate Services - N07</v>
      </c>
      <c r="C22" s="467" t="s">
        <v>1271</v>
      </c>
      <c r="D22" s="468"/>
      <c r="E22" s="468"/>
      <c r="F22" s="468"/>
      <c r="G22" s="468"/>
      <c r="H22" s="468"/>
      <c r="I22" s="468"/>
      <c r="J22" s="468"/>
      <c r="K22" s="468"/>
      <c r="L22" s="468"/>
      <c r="M22" s="472"/>
      <c r="N22" s="472"/>
      <c r="O22" s="473"/>
      <c r="P22" s="462">
        <f>SUMIF('caseload data'!$C:$C,'divisional &amp; regional caseload'!B22,'caseload data'!V:V)</f>
        <v>0</v>
      </c>
      <c r="Q22" s="463"/>
      <c r="R22" s="464"/>
      <c r="S22" s="95"/>
      <c r="T22" s="302" t="str">
        <f>HLOOKUP($B$5,Region_Table,7,0)</f>
        <v>Croydon - N07</v>
      </c>
      <c r="U22" s="467" t="s">
        <v>1271</v>
      </c>
      <c r="V22" s="468"/>
      <c r="W22" s="468"/>
      <c r="X22" s="468"/>
      <c r="Y22" s="468"/>
      <c r="Z22" s="468"/>
      <c r="AA22" s="468"/>
      <c r="AB22" s="468"/>
      <c r="AC22" s="468"/>
      <c r="AD22" s="468"/>
      <c r="AE22" s="468"/>
      <c r="AF22" s="468"/>
      <c r="AG22" s="469"/>
      <c r="AH22" s="462">
        <f>SUMIF('caseload data'!$C:$C,'divisional &amp; regional caseload'!T22,'caseload data'!V:V)</f>
        <v>0</v>
      </c>
      <c r="AI22" s="463"/>
      <c r="AJ22" s="464"/>
    </row>
    <row r="23" spans="2:36" x14ac:dyDescent="0.15">
      <c r="B23" s="99" t="s">
        <v>1170</v>
      </c>
      <c r="C23" s="40" t="s">
        <v>1022</v>
      </c>
      <c r="D23" s="40" t="s">
        <v>1023</v>
      </c>
      <c r="E23" s="40" t="s">
        <v>1024</v>
      </c>
      <c r="F23" s="40" t="s">
        <v>1025</v>
      </c>
      <c r="G23" s="40" t="s">
        <v>1026</v>
      </c>
      <c r="H23" s="40" t="s">
        <v>1027</v>
      </c>
      <c r="I23" s="40" t="s">
        <v>1028</v>
      </c>
      <c r="J23" s="40" t="s">
        <v>1029</v>
      </c>
      <c r="K23" s="40" t="s">
        <v>1030</v>
      </c>
      <c r="L23" s="40" t="s">
        <v>1031</v>
      </c>
      <c r="M23" s="40" t="s">
        <v>1032</v>
      </c>
      <c r="N23" s="40" t="s">
        <v>1033</v>
      </c>
      <c r="O23" s="40" t="s">
        <v>1034</v>
      </c>
      <c r="P23" s="40" t="s">
        <v>1035</v>
      </c>
      <c r="Q23" s="40" t="s">
        <v>1036</v>
      </c>
      <c r="R23" s="40" t="s">
        <v>1037</v>
      </c>
      <c r="S23" s="95"/>
      <c r="T23" s="99" t="s">
        <v>1170</v>
      </c>
      <c r="U23" s="40" t="s">
        <v>1022</v>
      </c>
      <c r="V23" s="40" t="s">
        <v>1023</v>
      </c>
      <c r="W23" s="40" t="s">
        <v>1024</v>
      </c>
      <c r="X23" s="40" t="s">
        <v>1025</v>
      </c>
      <c r="Y23" s="40" t="s">
        <v>1026</v>
      </c>
      <c r="Z23" s="40" t="s">
        <v>1027</v>
      </c>
      <c r="AA23" s="40" t="s">
        <v>1028</v>
      </c>
      <c r="AB23" s="40" t="s">
        <v>1029</v>
      </c>
      <c r="AC23" s="40" t="s">
        <v>1030</v>
      </c>
      <c r="AD23" s="40" t="s">
        <v>1031</v>
      </c>
      <c r="AE23" s="40" t="s">
        <v>1032</v>
      </c>
      <c r="AF23" s="40" t="s">
        <v>1033</v>
      </c>
      <c r="AG23" s="40" t="s">
        <v>1034</v>
      </c>
      <c r="AH23" s="40" t="s">
        <v>1035</v>
      </c>
      <c r="AI23" s="40" t="s">
        <v>1036</v>
      </c>
      <c r="AJ23" s="40" t="s">
        <v>1037</v>
      </c>
    </row>
    <row r="24" spans="2:36" x14ac:dyDescent="0.15">
      <c r="B24" s="100" t="s">
        <v>1166</v>
      </c>
      <c r="C24" s="98">
        <f>SUMIFS('caseload data'!E:E,'caseload data'!$D:$D,"PO",'caseload data'!$C:$C,'divisional &amp; regional caseload'!$B$22)</f>
        <v>0</v>
      </c>
      <c r="D24" s="98">
        <f>SUMIFS('caseload data'!F:F,'caseload data'!$D:$D,"PO",'caseload data'!$C:$C,'divisional &amp; regional caseload'!$B$22)</f>
        <v>0</v>
      </c>
      <c r="E24" s="98">
        <f>SUMIFS('caseload data'!G:G,'caseload data'!$D:$D,"PO",'caseload data'!$C:$C,'divisional &amp; regional caseload'!$B$22)</f>
        <v>0</v>
      </c>
      <c r="F24" s="98">
        <f>SUMIFS('caseload data'!H:H,'caseload data'!$D:$D,"PO",'caseload data'!$C:$C,'divisional &amp; regional caseload'!$B$22)</f>
        <v>0</v>
      </c>
      <c r="G24" s="98">
        <f>SUMIFS('caseload data'!I:I,'caseload data'!$D:$D,"PO",'caseload data'!$C:$C,'divisional &amp; regional caseload'!$B$22)</f>
        <v>0</v>
      </c>
      <c r="H24" s="98">
        <f>SUMIFS('caseload data'!J:J,'caseload data'!$D:$D,"PO",'caseload data'!$C:$C,'divisional &amp; regional caseload'!$B$22)</f>
        <v>0</v>
      </c>
      <c r="I24" s="98">
        <f>SUMIFS('caseload data'!K:K,'caseload data'!$D:$D,"PO",'caseload data'!$C:$C,'divisional &amp; regional caseload'!$B$22)</f>
        <v>0</v>
      </c>
      <c r="J24" s="98">
        <f>SUMIFS('caseload data'!L:L,'caseload data'!$D:$D,"PO",'caseload data'!$C:$C,'divisional &amp; regional caseload'!$B$22)</f>
        <v>0</v>
      </c>
      <c r="K24" s="98">
        <f>SUMIFS('caseload data'!M:M,'caseload data'!$D:$D,"PO",'caseload data'!$C:$C,'divisional &amp; regional caseload'!$B$22)</f>
        <v>0</v>
      </c>
      <c r="L24" s="98">
        <f>SUMIFS('caseload data'!N:N,'caseload data'!$D:$D,"PO",'caseload data'!$C:$C,'divisional &amp; regional caseload'!$B$22)</f>
        <v>0</v>
      </c>
      <c r="M24" s="98">
        <f>SUMIFS('caseload data'!O:O,'caseload data'!$D:$D,"PO",'caseload data'!$C:$C,'divisional &amp; regional caseload'!$B$22)</f>
        <v>0</v>
      </c>
      <c r="N24" s="98">
        <f>SUMIFS('caseload data'!P:P,'caseload data'!$D:$D,"PO",'caseload data'!$C:$C,'divisional &amp; regional caseload'!$B$22)</f>
        <v>0</v>
      </c>
      <c r="O24" s="98">
        <f>SUMIFS('caseload data'!Q:Q,'caseload data'!$D:$D,"PO",'caseload data'!$C:$C,'divisional &amp; regional caseload'!$B$22)</f>
        <v>0</v>
      </c>
      <c r="P24" s="98">
        <f>SUMIFS('caseload data'!R:R,'caseload data'!$D:$D,"PO",'caseload data'!$C:$C,'divisional &amp; regional caseload'!$B$22)</f>
        <v>0</v>
      </c>
      <c r="Q24" s="98">
        <f>SUMIFS('caseload data'!S:S,'caseload data'!$D:$D,"PO",'caseload data'!$C:$C,'divisional &amp; regional caseload'!$B$22)</f>
        <v>0</v>
      </c>
      <c r="R24" s="98">
        <f>SUMIFS('caseload data'!T:T,'caseload data'!$D:$D,"PO",'caseload data'!$C:$C,'divisional &amp; regional caseload'!$B$22)</f>
        <v>0</v>
      </c>
      <c r="S24" s="95"/>
      <c r="T24" s="100" t="s">
        <v>1166</v>
      </c>
      <c r="U24" s="98">
        <f>SUMIFS('caseload data'!E:E,'caseload data'!$D:$D,"PO",'caseload data'!$C:$C,'divisional &amp; regional caseload'!$T$22)</f>
        <v>0</v>
      </c>
      <c r="V24" s="98">
        <f>SUMIFS('caseload data'!F:F,'caseload data'!$D:$D,"PO",'caseload data'!$C:$C,'divisional &amp; regional caseload'!$T$22)</f>
        <v>0</v>
      </c>
      <c r="W24" s="98">
        <f>SUMIFS('caseload data'!G:G,'caseload data'!$D:$D,"PO",'caseload data'!$C:$C,'divisional &amp; regional caseload'!$T$22)</f>
        <v>0</v>
      </c>
      <c r="X24" s="98">
        <f>SUMIFS('caseload data'!H:H,'caseload data'!$D:$D,"PO",'caseload data'!$C:$C,'divisional &amp; regional caseload'!$T$22)</f>
        <v>0</v>
      </c>
      <c r="Y24" s="98">
        <f>SUMIFS('caseload data'!I:I,'caseload data'!$D:$D,"PO",'caseload data'!$C:$C,'divisional &amp; regional caseload'!$T$22)</f>
        <v>0</v>
      </c>
      <c r="Z24" s="98">
        <f>SUMIFS('caseload data'!J:J,'caseload data'!$D:$D,"PO",'caseload data'!$C:$C,'divisional &amp; regional caseload'!$T$22)</f>
        <v>0</v>
      </c>
      <c r="AA24" s="98">
        <f>SUMIFS('caseload data'!K:K,'caseload data'!$D:$D,"PO",'caseload data'!$C:$C,'divisional &amp; regional caseload'!$T$22)</f>
        <v>0</v>
      </c>
      <c r="AB24" s="98">
        <f>SUMIFS('caseload data'!L:L,'caseload data'!$D:$D,"PO",'caseload data'!$C:$C,'divisional &amp; regional caseload'!$T$22)</f>
        <v>0</v>
      </c>
      <c r="AC24" s="98">
        <f>SUMIFS('caseload data'!M:M,'caseload data'!$D:$D,"PO",'caseload data'!$C:$C,'divisional &amp; regional caseload'!$T$22)</f>
        <v>0</v>
      </c>
      <c r="AD24" s="98">
        <f>SUMIFS('caseload data'!N:N,'caseload data'!$D:$D,"PO",'caseload data'!$C:$C,'divisional &amp; regional caseload'!$T$22)</f>
        <v>0</v>
      </c>
      <c r="AE24" s="98">
        <f>SUMIFS('caseload data'!O:O,'caseload data'!$D:$D,"PO",'caseload data'!$C:$C,'divisional &amp; regional caseload'!$T$22)</f>
        <v>0</v>
      </c>
      <c r="AF24" s="98">
        <f>SUMIFS('caseload data'!P:P,'caseload data'!$D:$D,"PO",'caseload data'!$C:$C,'divisional &amp; regional caseload'!$T$22)</f>
        <v>0</v>
      </c>
      <c r="AG24" s="98">
        <f>SUMIFS('caseload data'!Q:Q,'caseload data'!$D:$D,"PO",'caseload data'!$C:$C,'divisional &amp; regional caseload'!$T$22)</f>
        <v>0</v>
      </c>
      <c r="AH24" s="98">
        <f>SUMIFS('caseload data'!R:R,'caseload data'!$D:$D,"PO",'caseload data'!$C:$C,'divisional &amp; regional caseload'!$T$22)</f>
        <v>0</v>
      </c>
      <c r="AI24" s="98">
        <f>SUMIFS('caseload data'!S:S,'caseload data'!$D:$D,"PO",'caseload data'!$C:$C,'divisional &amp; regional caseload'!$T$22)</f>
        <v>0</v>
      </c>
      <c r="AJ24" s="98">
        <f>SUMIFS('caseload data'!T:T,'caseload data'!$D:$D,"PO",'caseload data'!$C:$C,'divisional &amp; regional caseload'!$T$22)</f>
        <v>0</v>
      </c>
    </row>
    <row r="25" spans="2:36" x14ac:dyDescent="0.15">
      <c r="B25" s="101" t="s">
        <v>1172</v>
      </c>
      <c r="C25" s="98">
        <f>SUMIFS('caseload data'!E:E,'caseload data'!$D:$D,"PSO",'caseload data'!$C:$C,'divisional &amp; regional caseload'!$B$22)</f>
        <v>0</v>
      </c>
      <c r="D25" s="98">
        <f>SUMIFS('caseload data'!F:F,'caseload data'!$D:$D,"PSO",'caseload data'!$C:$C,'divisional &amp; regional caseload'!$B$22)</f>
        <v>0</v>
      </c>
      <c r="E25" s="98">
        <f>SUMIFS('caseload data'!G:G,'caseload data'!$D:$D,"PSO",'caseload data'!$C:$C,'divisional &amp; regional caseload'!$B$22)</f>
        <v>0</v>
      </c>
      <c r="F25" s="98">
        <f>SUMIFS('caseload data'!H:H,'caseload data'!$D:$D,"PSO",'caseload data'!$C:$C,'divisional &amp; regional caseload'!$B$22)</f>
        <v>0</v>
      </c>
      <c r="G25" s="98">
        <f>SUMIFS('caseload data'!I:I,'caseload data'!$D:$D,"PSO",'caseload data'!$C:$C,'divisional &amp; regional caseload'!$B$22)</f>
        <v>0</v>
      </c>
      <c r="H25" s="98">
        <f>SUMIFS('caseload data'!J:J,'caseload data'!$D:$D,"PSO",'caseload data'!$C:$C,'divisional &amp; regional caseload'!$B$22)</f>
        <v>0</v>
      </c>
      <c r="I25" s="98">
        <f>SUMIFS('caseload data'!K:K,'caseload data'!$D:$D,"PSO",'caseload data'!$C:$C,'divisional &amp; regional caseload'!$B$22)</f>
        <v>0</v>
      </c>
      <c r="J25" s="98">
        <f>SUMIFS('caseload data'!L:L,'caseload data'!$D:$D,"PSO",'caseload data'!$C:$C,'divisional &amp; regional caseload'!$B$22)</f>
        <v>0</v>
      </c>
      <c r="K25" s="98">
        <f>SUMIFS('caseload data'!M:M,'caseload data'!$D:$D,"PSO",'caseload data'!$C:$C,'divisional &amp; regional caseload'!$B$22)</f>
        <v>0</v>
      </c>
      <c r="L25" s="98">
        <f>SUMIFS('caseload data'!N:N,'caseload data'!$D:$D,"PSO",'caseload data'!$C:$C,'divisional &amp; regional caseload'!$B$22)</f>
        <v>0</v>
      </c>
      <c r="M25" s="98">
        <f>SUMIFS('caseload data'!O:O,'caseload data'!$D:$D,"PSO",'caseload data'!$C:$C,'divisional &amp; regional caseload'!$B$22)</f>
        <v>0</v>
      </c>
      <c r="N25" s="98">
        <f>SUMIFS('caseload data'!P:P,'caseload data'!$D:$D,"PSO",'caseload data'!$C:$C,'divisional &amp; regional caseload'!$B$22)</f>
        <v>0</v>
      </c>
      <c r="O25" s="98">
        <f>SUMIFS('caseload data'!Q:Q,'caseload data'!$D:$D,"PSO",'caseload data'!$C:$C,'divisional &amp; regional caseload'!$B$22)</f>
        <v>0</v>
      </c>
      <c r="P25" s="98">
        <f>SUMIFS('caseload data'!R:R,'caseload data'!$D:$D,"PSO",'caseload data'!$C:$C,'divisional &amp; regional caseload'!$B$22)</f>
        <v>0</v>
      </c>
      <c r="Q25" s="98">
        <f>SUMIFS('caseload data'!S:S,'caseload data'!$D:$D,"PSO",'caseload data'!$C:$C,'divisional &amp; regional caseload'!$B$22)</f>
        <v>0</v>
      </c>
      <c r="R25" s="98">
        <f>SUMIFS('caseload data'!T:T,'caseload data'!$D:$D,"PSO",'caseload data'!$C:$C,'divisional &amp; regional caseload'!$B$22)</f>
        <v>0</v>
      </c>
      <c r="S25" s="95"/>
      <c r="T25" s="101" t="s">
        <v>1172</v>
      </c>
      <c r="U25" s="98">
        <f>SUMIFS('caseload data'!E:E,'caseload data'!$D:$D,"PSO",'caseload data'!$C:$C,'divisional &amp; regional caseload'!$T$22)</f>
        <v>0</v>
      </c>
      <c r="V25" s="98">
        <f>SUMIFS('caseload data'!F:F,'caseload data'!$D:$D,"PSO",'caseload data'!$C:$C,'divisional &amp; regional caseload'!$T$22)</f>
        <v>0</v>
      </c>
      <c r="W25" s="98">
        <f>SUMIFS('caseload data'!G:G,'caseload data'!$D:$D,"PSO",'caseload data'!$C:$C,'divisional &amp; regional caseload'!$T$22)</f>
        <v>0</v>
      </c>
      <c r="X25" s="98">
        <f>SUMIFS('caseload data'!H:H,'caseload data'!$D:$D,"PSO",'caseload data'!$C:$C,'divisional &amp; regional caseload'!$T$22)</f>
        <v>0</v>
      </c>
      <c r="Y25" s="98">
        <f>SUMIFS('caseload data'!I:I,'caseload data'!$D:$D,"PSO",'caseload data'!$C:$C,'divisional &amp; regional caseload'!$T$22)</f>
        <v>0</v>
      </c>
      <c r="Z25" s="98">
        <f>SUMIFS('caseload data'!J:J,'caseload data'!$D:$D,"PSO",'caseload data'!$C:$C,'divisional &amp; regional caseload'!$T$22)</f>
        <v>0</v>
      </c>
      <c r="AA25" s="98">
        <f>SUMIFS('caseload data'!K:K,'caseload data'!$D:$D,"PSO",'caseload data'!$C:$C,'divisional &amp; regional caseload'!$T$22)</f>
        <v>0</v>
      </c>
      <c r="AB25" s="98">
        <f>SUMIFS('caseload data'!L:L,'caseload data'!$D:$D,"PSO",'caseload data'!$C:$C,'divisional &amp; regional caseload'!$T$22)</f>
        <v>0</v>
      </c>
      <c r="AC25" s="98">
        <f>SUMIFS('caseload data'!M:M,'caseload data'!$D:$D,"PSO",'caseload data'!$C:$C,'divisional &amp; regional caseload'!$T$22)</f>
        <v>0</v>
      </c>
      <c r="AD25" s="98">
        <f>SUMIFS('caseload data'!N:N,'caseload data'!$D:$D,"PSO",'caseload data'!$C:$C,'divisional &amp; regional caseload'!$T$22)</f>
        <v>0</v>
      </c>
      <c r="AE25" s="98">
        <f>SUMIFS('caseload data'!O:O,'caseload data'!$D:$D,"PSO",'caseload data'!$C:$C,'divisional &amp; regional caseload'!$T$22)</f>
        <v>0</v>
      </c>
      <c r="AF25" s="98">
        <f>SUMIFS('caseload data'!P:P,'caseload data'!$D:$D,"PSO",'caseload data'!$C:$C,'divisional &amp; regional caseload'!$T$22)</f>
        <v>0</v>
      </c>
      <c r="AG25" s="98">
        <f>SUMIFS('caseload data'!Q:Q,'caseload data'!$D:$D,"PSO",'caseload data'!$C:$C,'divisional &amp; regional caseload'!$T$22)</f>
        <v>0</v>
      </c>
      <c r="AH25" s="98">
        <f>SUMIFS('caseload data'!R:R,'caseload data'!$D:$D,"PSO",'caseload data'!$C:$C,'divisional &amp; regional caseload'!$T$22)</f>
        <v>0</v>
      </c>
      <c r="AI25" s="98">
        <f>SUMIFS('caseload data'!S:S,'caseload data'!$D:$D,"PSO",'caseload data'!$C:$C,'divisional &amp; regional caseload'!$T$22)</f>
        <v>0</v>
      </c>
      <c r="AJ25" s="98">
        <f>SUMIFS('caseload data'!T:T,'caseload data'!$D:$D,"PSO",'caseload data'!$C:$C,'divisional &amp; regional caseload'!$T$22)</f>
        <v>0</v>
      </c>
    </row>
    <row r="26" spans="2:36" x14ac:dyDescent="0.15">
      <c r="B26" s="101" t="s">
        <v>1173</v>
      </c>
      <c r="C26" s="98">
        <f>SUMIFS('caseload data'!E:E,'caseload data'!$D:$D,"TPO",'caseload data'!$C:$C,'divisional &amp; regional caseload'!$B$22)</f>
        <v>0</v>
      </c>
      <c r="D26" s="98">
        <f>SUMIFS('caseload data'!F:F,'caseload data'!$D:$D,"TPO",'caseload data'!$C:$C,'divisional &amp; regional caseload'!$B$22)</f>
        <v>0</v>
      </c>
      <c r="E26" s="98">
        <f>SUMIFS('caseload data'!G:G,'caseload data'!$D:$D,"TPO",'caseload data'!$C:$C,'divisional &amp; regional caseload'!$B$22)</f>
        <v>0</v>
      </c>
      <c r="F26" s="98">
        <f>SUMIFS('caseload data'!H:H,'caseload data'!$D:$D,"TPO",'caseload data'!$C:$C,'divisional &amp; regional caseload'!$B$22)</f>
        <v>0</v>
      </c>
      <c r="G26" s="98">
        <f>SUMIFS('caseload data'!I:I,'caseload data'!$D:$D,"TPO",'caseload data'!$C:$C,'divisional &amp; regional caseload'!$B$22)</f>
        <v>0</v>
      </c>
      <c r="H26" s="98">
        <f>SUMIFS('caseload data'!J:J,'caseload data'!$D:$D,"TPO",'caseload data'!$C:$C,'divisional &amp; regional caseload'!$B$22)</f>
        <v>0</v>
      </c>
      <c r="I26" s="98">
        <f>SUMIFS('caseload data'!K:K,'caseload data'!$D:$D,"TPO",'caseload data'!$C:$C,'divisional &amp; regional caseload'!$B$22)</f>
        <v>0</v>
      </c>
      <c r="J26" s="98">
        <f>SUMIFS('caseload data'!L:L,'caseload data'!$D:$D,"TPO",'caseload data'!$C:$C,'divisional &amp; regional caseload'!$B$22)</f>
        <v>0</v>
      </c>
      <c r="K26" s="98">
        <f>SUMIFS('caseload data'!M:M,'caseload data'!$D:$D,"TPO",'caseload data'!$C:$C,'divisional &amp; regional caseload'!$B$22)</f>
        <v>0</v>
      </c>
      <c r="L26" s="98">
        <f>SUMIFS('caseload data'!N:N,'caseload data'!$D:$D,"TPO",'caseload data'!$C:$C,'divisional &amp; regional caseload'!$B$22)</f>
        <v>0</v>
      </c>
      <c r="M26" s="98">
        <f>SUMIFS('caseload data'!O:O,'caseload data'!$D:$D,"TPO",'caseload data'!$C:$C,'divisional &amp; regional caseload'!$B$22)</f>
        <v>0</v>
      </c>
      <c r="N26" s="98">
        <f>SUMIFS('caseload data'!P:P,'caseload data'!$D:$D,"TPO",'caseload data'!$C:$C,'divisional &amp; regional caseload'!$B$22)</f>
        <v>0</v>
      </c>
      <c r="O26" s="98">
        <f>SUMIFS('caseload data'!Q:Q,'caseload data'!$D:$D,"TPO",'caseload data'!$C:$C,'divisional &amp; regional caseload'!$B$22)</f>
        <v>0</v>
      </c>
      <c r="P26" s="98">
        <f>SUMIFS('caseload data'!R:R,'caseload data'!$D:$D,"TPO",'caseload data'!$C:$C,'divisional &amp; regional caseload'!$B$22)</f>
        <v>0</v>
      </c>
      <c r="Q26" s="98">
        <f>SUMIFS('caseload data'!S:S,'caseload data'!$D:$D,"TPO",'caseload data'!$C:$C,'divisional &amp; regional caseload'!$B$22)</f>
        <v>0</v>
      </c>
      <c r="R26" s="98">
        <f>SUMIFS('caseload data'!T:T,'caseload data'!$D:$D,"TPO",'caseload data'!$C:$C,'divisional &amp; regional caseload'!$B$22)</f>
        <v>0</v>
      </c>
      <c r="S26" s="95"/>
      <c r="T26" s="101" t="s">
        <v>1173</v>
      </c>
      <c r="U26" s="98">
        <f>SUMIFS('caseload data'!E:E,'caseload data'!$D:$D,"TPO",'caseload data'!$C:$C,'divisional &amp; regional caseload'!$T$22)</f>
        <v>0</v>
      </c>
      <c r="V26" s="98">
        <f>SUMIFS('caseload data'!F:F,'caseload data'!$D:$D,"TPO",'caseload data'!$C:$C,'divisional &amp; regional caseload'!$T$22)</f>
        <v>0</v>
      </c>
      <c r="W26" s="98">
        <f>SUMIFS('caseload data'!G:G,'caseload data'!$D:$D,"TPO",'caseload data'!$C:$C,'divisional &amp; regional caseload'!$T$22)</f>
        <v>0</v>
      </c>
      <c r="X26" s="98">
        <f>SUMIFS('caseload data'!H:H,'caseload data'!$D:$D,"TPO",'caseload data'!$C:$C,'divisional &amp; regional caseload'!$T$22)</f>
        <v>0</v>
      </c>
      <c r="Y26" s="98">
        <f>SUMIFS('caseload data'!I:I,'caseload data'!$D:$D,"TPO",'caseload data'!$C:$C,'divisional &amp; regional caseload'!$T$22)</f>
        <v>0</v>
      </c>
      <c r="Z26" s="98">
        <f>SUMIFS('caseload data'!J:J,'caseload data'!$D:$D,"TPO",'caseload data'!$C:$C,'divisional &amp; regional caseload'!$T$22)</f>
        <v>0</v>
      </c>
      <c r="AA26" s="98">
        <f>SUMIFS('caseload data'!K:K,'caseload data'!$D:$D,"TPO",'caseload data'!$C:$C,'divisional &amp; regional caseload'!$T$22)</f>
        <v>0</v>
      </c>
      <c r="AB26" s="98">
        <f>SUMIFS('caseload data'!L:L,'caseload data'!$D:$D,"TPO",'caseload data'!$C:$C,'divisional &amp; regional caseload'!$T$22)</f>
        <v>0</v>
      </c>
      <c r="AC26" s="98">
        <f>SUMIFS('caseload data'!M:M,'caseload data'!$D:$D,"TPO",'caseload data'!$C:$C,'divisional &amp; regional caseload'!$T$22)</f>
        <v>0</v>
      </c>
      <c r="AD26" s="98">
        <f>SUMIFS('caseload data'!N:N,'caseload data'!$D:$D,"TPO",'caseload data'!$C:$C,'divisional &amp; regional caseload'!$T$22)</f>
        <v>0</v>
      </c>
      <c r="AE26" s="98">
        <f>SUMIFS('caseload data'!O:O,'caseload data'!$D:$D,"TPO",'caseload data'!$C:$C,'divisional &amp; regional caseload'!$T$22)</f>
        <v>0</v>
      </c>
      <c r="AF26" s="98">
        <f>SUMIFS('caseload data'!P:P,'caseload data'!$D:$D,"TPO",'caseload data'!$C:$C,'divisional &amp; regional caseload'!$T$22)</f>
        <v>0</v>
      </c>
      <c r="AG26" s="98">
        <f>SUMIFS('caseload data'!Q:Q,'caseload data'!$D:$D,"TPO",'caseload data'!$C:$C,'divisional &amp; regional caseload'!$T$22)</f>
        <v>0</v>
      </c>
      <c r="AH26" s="98">
        <f>SUMIFS('caseload data'!R:R,'caseload data'!$D:$D,"TPO",'caseload data'!$C:$C,'divisional &amp; regional caseload'!$T$22)</f>
        <v>0</v>
      </c>
      <c r="AI26" s="98">
        <f>SUMIFS('caseload data'!S:S,'caseload data'!$D:$D,"TPO",'caseload data'!$C:$C,'divisional &amp; regional caseload'!$T$22)</f>
        <v>0</v>
      </c>
      <c r="AJ26" s="98">
        <f>SUMIFS('caseload data'!T:T,'caseload data'!$D:$D,"TPO",'caseload data'!$C:$C,'divisional &amp; regional caseload'!$T$22)</f>
        <v>0</v>
      </c>
    </row>
    <row r="27" spans="2:36" x14ac:dyDescent="0.15">
      <c r="B27" s="102" t="s">
        <v>1174</v>
      </c>
      <c r="C27" s="98">
        <f>SUMIFS('caseload data'!E:E,'caseload data'!$D:$D,"SPO",'caseload data'!$C:$C,'divisional &amp; regional caseload'!$B$22)</f>
        <v>0</v>
      </c>
      <c r="D27" s="98">
        <f>SUMIFS('caseload data'!F:F,'caseload data'!$D:$D,"SPO",'caseload data'!$C:$C,'divisional &amp; regional caseload'!$B$22)</f>
        <v>0</v>
      </c>
      <c r="E27" s="98">
        <f>SUMIFS('caseload data'!G:G,'caseload data'!$D:$D,"SPO",'caseload data'!$C:$C,'divisional &amp; regional caseload'!$B$22)</f>
        <v>0</v>
      </c>
      <c r="F27" s="98">
        <f>SUMIFS('caseload data'!H:H,'caseload data'!$D:$D,"SPO",'caseload data'!$C:$C,'divisional &amp; regional caseload'!$B$22)</f>
        <v>0</v>
      </c>
      <c r="G27" s="98">
        <f>SUMIFS('caseload data'!I:I,'caseload data'!$D:$D,"SPO",'caseload data'!$C:$C,'divisional &amp; regional caseload'!$B$22)</f>
        <v>0</v>
      </c>
      <c r="H27" s="98">
        <f>SUMIFS('caseload data'!J:J,'caseload data'!$D:$D,"SPO",'caseload data'!$C:$C,'divisional &amp; regional caseload'!$B$22)</f>
        <v>0</v>
      </c>
      <c r="I27" s="98">
        <f>SUMIFS('caseload data'!K:K,'caseload data'!$D:$D,"SPO",'caseload data'!$C:$C,'divisional &amp; regional caseload'!$B$22)</f>
        <v>0</v>
      </c>
      <c r="J27" s="98">
        <f>SUMIFS('caseload data'!L:L,'caseload data'!$D:$D,"SPO",'caseload data'!$C:$C,'divisional &amp; regional caseload'!$B$22)</f>
        <v>0</v>
      </c>
      <c r="K27" s="98">
        <f>SUMIFS('caseload data'!M:M,'caseload data'!$D:$D,"SPO",'caseload data'!$C:$C,'divisional &amp; regional caseload'!$B$22)</f>
        <v>0</v>
      </c>
      <c r="L27" s="98">
        <f>SUMIFS('caseload data'!N:N,'caseload data'!$D:$D,"SPO",'caseload data'!$C:$C,'divisional &amp; regional caseload'!$B$22)</f>
        <v>0</v>
      </c>
      <c r="M27" s="98">
        <f>SUMIFS('caseload data'!O:O,'caseload data'!$D:$D,"SPO",'caseload data'!$C:$C,'divisional &amp; regional caseload'!$B$22)</f>
        <v>0</v>
      </c>
      <c r="N27" s="98">
        <f>SUMIFS('caseload data'!P:P,'caseload data'!$D:$D,"SPO",'caseload data'!$C:$C,'divisional &amp; regional caseload'!$B$22)</f>
        <v>0</v>
      </c>
      <c r="O27" s="98">
        <f>SUMIFS('caseload data'!Q:Q,'caseload data'!$D:$D,"SPO",'caseload data'!$C:$C,'divisional &amp; regional caseload'!$B$22)</f>
        <v>0</v>
      </c>
      <c r="P27" s="98">
        <f>SUMIFS('caseload data'!R:R,'caseload data'!$D:$D,"SPO",'caseload data'!$C:$C,'divisional &amp; regional caseload'!$B$22)</f>
        <v>0</v>
      </c>
      <c r="Q27" s="98">
        <f>SUMIFS('caseload data'!S:S,'caseload data'!$D:$D,"SPO",'caseload data'!$C:$C,'divisional &amp; regional caseload'!$B$22)</f>
        <v>0</v>
      </c>
      <c r="R27" s="98">
        <f>SUMIFS('caseload data'!T:T,'caseload data'!$D:$D,"SPO",'caseload data'!$C:$C,'divisional &amp; regional caseload'!$B$22)</f>
        <v>0</v>
      </c>
      <c r="S27" s="95"/>
      <c r="T27" s="102" t="s">
        <v>1174</v>
      </c>
      <c r="U27" s="98">
        <f>SUMIFS('caseload data'!E:E,'caseload data'!$D:$D,"SPO",'caseload data'!$C:$C,'divisional &amp; regional caseload'!$T$22)</f>
        <v>0</v>
      </c>
      <c r="V27" s="98">
        <f>SUMIFS('caseload data'!F:F,'caseload data'!$D:$D,"SPO",'caseload data'!$C:$C,'divisional &amp; regional caseload'!$T$22)</f>
        <v>0</v>
      </c>
      <c r="W27" s="98">
        <f>SUMIFS('caseload data'!G:G,'caseload data'!$D:$D,"SPO",'caseload data'!$C:$C,'divisional &amp; regional caseload'!$T$22)</f>
        <v>0</v>
      </c>
      <c r="X27" s="98">
        <f>SUMIFS('caseload data'!H:H,'caseload data'!$D:$D,"SPO",'caseload data'!$C:$C,'divisional &amp; regional caseload'!$T$22)</f>
        <v>0</v>
      </c>
      <c r="Y27" s="98">
        <f>SUMIFS('caseload data'!I:I,'caseload data'!$D:$D,"SPO",'caseload data'!$C:$C,'divisional &amp; regional caseload'!$T$22)</f>
        <v>0</v>
      </c>
      <c r="Z27" s="98">
        <f>SUMIFS('caseload data'!J:J,'caseload data'!$D:$D,"SPO",'caseload data'!$C:$C,'divisional &amp; regional caseload'!$T$22)</f>
        <v>0</v>
      </c>
      <c r="AA27" s="98">
        <f>SUMIFS('caseload data'!K:K,'caseload data'!$D:$D,"SPO",'caseload data'!$C:$C,'divisional &amp; regional caseload'!$T$22)</f>
        <v>0</v>
      </c>
      <c r="AB27" s="98">
        <f>SUMIFS('caseload data'!L:L,'caseload data'!$D:$D,"SPO",'caseload data'!$C:$C,'divisional &amp; regional caseload'!$T$22)</f>
        <v>0</v>
      </c>
      <c r="AC27" s="98">
        <f>SUMIFS('caseload data'!M:M,'caseload data'!$D:$D,"SPO",'caseload data'!$C:$C,'divisional &amp; regional caseload'!$T$22)</f>
        <v>0</v>
      </c>
      <c r="AD27" s="98">
        <f>SUMIFS('caseload data'!N:N,'caseload data'!$D:$D,"SPO",'caseload data'!$C:$C,'divisional &amp; regional caseload'!$T$22)</f>
        <v>0</v>
      </c>
      <c r="AE27" s="98">
        <f>SUMIFS('caseload data'!O:O,'caseload data'!$D:$D,"SPO",'caseload data'!$C:$C,'divisional &amp; regional caseload'!$T$22)</f>
        <v>0</v>
      </c>
      <c r="AF27" s="98">
        <f>SUMIFS('caseload data'!P:P,'caseload data'!$D:$D,"SPO",'caseload data'!$C:$C,'divisional &amp; regional caseload'!$T$22)</f>
        <v>0</v>
      </c>
      <c r="AG27" s="98">
        <f>SUMIFS('caseload data'!Q:Q,'caseload data'!$D:$D,"SPO",'caseload data'!$C:$C,'divisional &amp; regional caseload'!$T$22)</f>
        <v>0</v>
      </c>
      <c r="AH27" s="98">
        <f>SUMIFS('caseload data'!R:R,'caseload data'!$D:$D,"SPO",'caseload data'!$C:$C,'divisional &amp; regional caseload'!$T$22)</f>
        <v>0</v>
      </c>
      <c r="AI27" s="98">
        <f>SUMIFS('caseload data'!S:S,'caseload data'!$D:$D,"SPO",'caseload data'!$C:$C,'divisional &amp; regional caseload'!$T$22)</f>
        <v>0</v>
      </c>
      <c r="AJ27" s="98">
        <f>SUMIFS('caseload data'!T:T,'caseload data'!$D:$D,"SPO",'caseload data'!$C:$C,'divisional &amp; regional caseload'!$T$22)</f>
        <v>0</v>
      </c>
    </row>
    <row r="28" spans="2:36" x14ac:dyDescent="0.15">
      <c r="B28" s="95"/>
      <c r="C28" s="95"/>
      <c r="D28" s="95"/>
      <c r="E28" s="95"/>
      <c r="F28" s="95"/>
      <c r="G28" s="95"/>
      <c r="H28" s="95"/>
      <c r="I28" s="95"/>
      <c r="J28" s="95"/>
      <c r="K28" s="95"/>
      <c r="L28" s="95"/>
      <c r="M28" s="95"/>
      <c r="N28" s="95"/>
      <c r="O28" s="95"/>
      <c r="P28" s="95"/>
      <c r="Q28" s="95"/>
      <c r="R28" s="95"/>
      <c r="S28" s="95"/>
      <c r="T28" s="95"/>
      <c r="U28" s="95"/>
      <c r="V28" s="95"/>
      <c r="W28" s="95"/>
      <c r="X28" s="95"/>
      <c r="Y28" s="95"/>
      <c r="Z28" s="95"/>
      <c r="AA28" s="95"/>
    </row>
    <row r="29" spans="2:36" ht="29.25" customHeight="1" x14ac:dyDescent="0.15">
      <c r="B29" s="302" t="str">
        <f>HLOOKUP($B$5,Region_Table,8,0)</f>
        <v>Ealing and Hillingdon</v>
      </c>
      <c r="C29" s="467" t="s">
        <v>1271</v>
      </c>
      <c r="D29" s="468"/>
      <c r="E29" s="468"/>
      <c r="F29" s="468"/>
      <c r="G29" s="468"/>
      <c r="H29" s="468"/>
      <c r="I29" s="468"/>
      <c r="J29" s="468"/>
      <c r="K29" s="468"/>
      <c r="L29" s="468"/>
      <c r="M29" s="472"/>
      <c r="N29" s="472"/>
      <c r="O29" s="473"/>
      <c r="P29" s="462">
        <f>SUMIF('caseload data'!$C:$C,'divisional &amp; regional caseload'!B29,'caseload data'!V:V)</f>
        <v>0</v>
      </c>
      <c r="Q29" s="463"/>
      <c r="R29" s="464"/>
      <c r="S29" s="95"/>
      <c r="T29" s="302" t="str">
        <f>HLOOKUP($B$5,Region_Table,9,0)</f>
        <v>Enfield and Haringey</v>
      </c>
      <c r="U29" s="467" t="s">
        <v>1271</v>
      </c>
      <c r="V29" s="468"/>
      <c r="W29" s="468"/>
      <c r="X29" s="468"/>
      <c r="Y29" s="468"/>
      <c r="Z29" s="468"/>
      <c r="AA29" s="468"/>
      <c r="AB29" s="468"/>
      <c r="AC29" s="468"/>
      <c r="AD29" s="468"/>
      <c r="AE29" s="468"/>
      <c r="AF29" s="468"/>
      <c r="AG29" s="469"/>
      <c r="AH29" s="462">
        <f>SUMIF('caseload data'!$C:$C,'divisional &amp; regional caseload'!T29,'caseload data'!V:V)</f>
        <v>0</v>
      </c>
      <c r="AI29" s="463"/>
      <c r="AJ29" s="464"/>
    </row>
    <row r="30" spans="2:36" x14ac:dyDescent="0.15">
      <c r="B30" s="99" t="s">
        <v>1170</v>
      </c>
      <c r="C30" s="40" t="s">
        <v>1022</v>
      </c>
      <c r="D30" s="40" t="s">
        <v>1023</v>
      </c>
      <c r="E30" s="40" t="s">
        <v>1024</v>
      </c>
      <c r="F30" s="40" t="s">
        <v>1025</v>
      </c>
      <c r="G30" s="40" t="s">
        <v>1026</v>
      </c>
      <c r="H30" s="40" t="s">
        <v>1027</v>
      </c>
      <c r="I30" s="40" t="s">
        <v>1028</v>
      </c>
      <c r="J30" s="40" t="s">
        <v>1029</v>
      </c>
      <c r="K30" s="40" t="s">
        <v>1030</v>
      </c>
      <c r="L30" s="40" t="s">
        <v>1031</v>
      </c>
      <c r="M30" s="40" t="s">
        <v>1032</v>
      </c>
      <c r="N30" s="40" t="s">
        <v>1033</v>
      </c>
      <c r="O30" s="40" t="s">
        <v>1034</v>
      </c>
      <c r="P30" s="40" t="s">
        <v>1035</v>
      </c>
      <c r="Q30" s="40" t="s">
        <v>1036</v>
      </c>
      <c r="R30" s="40" t="s">
        <v>1037</v>
      </c>
      <c r="S30" s="95"/>
      <c r="T30" s="99" t="s">
        <v>1170</v>
      </c>
      <c r="U30" s="40" t="s">
        <v>1022</v>
      </c>
      <c r="V30" s="40" t="s">
        <v>1023</v>
      </c>
      <c r="W30" s="40" t="s">
        <v>1024</v>
      </c>
      <c r="X30" s="40" t="s">
        <v>1025</v>
      </c>
      <c r="Y30" s="40" t="s">
        <v>1026</v>
      </c>
      <c r="Z30" s="40" t="s">
        <v>1027</v>
      </c>
      <c r="AA30" s="40" t="s">
        <v>1028</v>
      </c>
      <c r="AB30" s="40" t="s">
        <v>1029</v>
      </c>
      <c r="AC30" s="40" t="s">
        <v>1030</v>
      </c>
      <c r="AD30" s="40" t="s">
        <v>1031</v>
      </c>
      <c r="AE30" s="40" t="s">
        <v>1032</v>
      </c>
      <c r="AF30" s="40" t="s">
        <v>1033</v>
      </c>
      <c r="AG30" s="40" t="s">
        <v>1034</v>
      </c>
      <c r="AH30" s="40" t="s">
        <v>1035</v>
      </c>
      <c r="AI30" s="40" t="s">
        <v>1036</v>
      </c>
      <c r="AJ30" s="40" t="s">
        <v>1037</v>
      </c>
    </row>
    <row r="31" spans="2:36" x14ac:dyDescent="0.15">
      <c r="B31" s="100" t="s">
        <v>1166</v>
      </c>
      <c r="C31" s="98">
        <f>SUMIFS('caseload data'!E:E,'caseload data'!$D:$D,"PO",'caseload data'!$C:$C,'divisional &amp; regional caseload'!$B$29)</f>
        <v>0</v>
      </c>
      <c r="D31" s="98">
        <f>SUMIFS('caseload data'!F:F,'caseload data'!$D:$D,"PO",'caseload data'!$C:$C,'divisional &amp; regional caseload'!$B$29)</f>
        <v>0</v>
      </c>
      <c r="E31" s="98">
        <f>SUMIFS('caseload data'!G:G,'caseload data'!$D:$D,"PO",'caseload data'!$C:$C,'divisional &amp; regional caseload'!$B$29)</f>
        <v>0</v>
      </c>
      <c r="F31" s="98">
        <f>SUMIFS('caseload data'!H:H,'caseload data'!$D:$D,"PO",'caseload data'!$C:$C,'divisional &amp; regional caseload'!$B$29)</f>
        <v>0</v>
      </c>
      <c r="G31" s="98">
        <f>SUMIFS('caseload data'!I:I,'caseload data'!$D:$D,"PO",'caseload data'!$C:$C,'divisional &amp; regional caseload'!$B$29)</f>
        <v>0</v>
      </c>
      <c r="H31" s="98">
        <f>SUMIFS('caseload data'!J:J,'caseload data'!$D:$D,"PO",'caseload data'!$C:$C,'divisional &amp; regional caseload'!$B$29)</f>
        <v>0</v>
      </c>
      <c r="I31" s="98">
        <f>SUMIFS('caseload data'!K:K,'caseload data'!$D:$D,"PO",'caseload data'!$C:$C,'divisional &amp; regional caseload'!$B$29)</f>
        <v>0</v>
      </c>
      <c r="J31" s="98">
        <f>SUMIFS('caseload data'!L:L,'caseload data'!$D:$D,"PO",'caseload data'!$C:$C,'divisional &amp; regional caseload'!$B$29)</f>
        <v>0</v>
      </c>
      <c r="K31" s="98">
        <f>SUMIFS('caseload data'!M:M,'caseload data'!$D:$D,"PO",'caseload data'!$C:$C,'divisional &amp; regional caseload'!$B$29)</f>
        <v>0</v>
      </c>
      <c r="L31" s="98">
        <f>SUMIFS('caseload data'!N:N,'caseload data'!$D:$D,"PO",'caseload data'!$C:$C,'divisional &amp; regional caseload'!$B$29)</f>
        <v>0</v>
      </c>
      <c r="M31" s="98">
        <f>SUMIFS('caseload data'!O:O,'caseload data'!$D:$D,"PO",'caseload data'!$C:$C,'divisional &amp; regional caseload'!$B$29)</f>
        <v>0</v>
      </c>
      <c r="N31" s="98">
        <f>SUMIFS('caseload data'!P:P,'caseload data'!$D:$D,"PO",'caseload data'!$C:$C,'divisional &amp; regional caseload'!$B$29)</f>
        <v>0</v>
      </c>
      <c r="O31" s="98">
        <f>SUMIFS('caseload data'!Q:Q,'caseload data'!$D:$D,"PO",'caseload data'!$C:$C,'divisional &amp; regional caseload'!$B$29)</f>
        <v>0</v>
      </c>
      <c r="P31" s="98">
        <f>SUMIFS('caseload data'!R:R,'caseload data'!$D:$D,"PO",'caseload data'!$C:$C,'divisional &amp; regional caseload'!$B$29)</f>
        <v>0</v>
      </c>
      <c r="Q31" s="98">
        <f>SUMIFS('caseload data'!S:S,'caseload data'!$D:$D,"PO",'caseload data'!$C:$C,'divisional &amp; regional caseload'!$B$29)</f>
        <v>0</v>
      </c>
      <c r="R31" s="98">
        <f>SUMIFS('caseload data'!T:T,'caseload data'!$D:$D,"PO",'caseload data'!$C:$C,'divisional &amp; regional caseload'!$B$29)</f>
        <v>0</v>
      </c>
      <c r="S31" s="95"/>
      <c r="T31" s="100" t="s">
        <v>1166</v>
      </c>
      <c r="U31" s="98">
        <f>SUMIFS('caseload data'!E:E,'caseload data'!$D:$D,"PO",'caseload data'!$C:$C,'divisional &amp; regional caseload'!$T$29)</f>
        <v>0</v>
      </c>
      <c r="V31" s="98">
        <f>SUMIFS('caseload data'!F:F,'caseload data'!$D:$D,"PO",'caseload data'!$C:$C,'divisional &amp; regional caseload'!$T$29)</f>
        <v>0</v>
      </c>
      <c r="W31" s="98">
        <f>SUMIFS('caseload data'!G:G,'caseload data'!$D:$D,"PO",'caseload data'!$C:$C,'divisional &amp; regional caseload'!$T$29)</f>
        <v>0</v>
      </c>
      <c r="X31" s="98">
        <f>SUMIFS('caseload data'!H:H,'caseload data'!$D:$D,"PO",'caseload data'!$C:$C,'divisional &amp; regional caseload'!$T$29)</f>
        <v>0</v>
      </c>
      <c r="Y31" s="98">
        <f>SUMIFS('caseload data'!I:I,'caseload data'!$D:$D,"PO",'caseload data'!$C:$C,'divisional &amp; regional caseload'!$T$29)</f>
        <v>0</v>
      </c>
      <c r="Z31" s="98">
        <f>SUMIFS('caseload data'!J:J,'caseload data'!$D:$D,"PO",'caseload data'!$C:$C,'divisional &amp; regional caseload'!$T$29)</f>
        <v>0</v>
      </c>
      <c r="AA31" s="98">
        <f>SUMIFS('caseload data'!K:K,'caseload data'!$D:$D,"PO",'caseload data'!$C:$C,'divisional &amp; regional caseload'!$T$29)</f>
        <v>0</v>
      </c>
      <c r="AB31" s="98">
        <f>SUMIFS('caseload data'!L:L,'caseload data'!$D:$D,"PO",'caseload data'!$C:$C,'divisional &amp; regional caseload'!$T$29)</f>
        <v>0</v>
      </c>
      <c r="AC31" s="98">
        <f>SUMIFS('caseload data'!M:M,'caseload data'!$D:$D,"PO",'caseload data'!$C:$C,'divisional &amp; regional caseload'!$T$29)</f>
        <v>0</v>
      </c>
      <c r="AD31" s="98">
        <f>SUMIFS('caseload data'!N:N,'caseload data'!$D:$D,"PO",'caseload data'!$C:$C,'divisional &amp; regional caseload'!$T$29)</f>
        <v>0</v>
      </c>
      <c r="AE31" s="98">
        <f>SUMIFS('caseload data'!O:O,'caseload data'!$D:$D,"PO",'caseload data'!$C:$C,'divisional &amp; regional caseload'!$T$29)</f>
        <v>0</v>
      </c>
      <c r="AF31" s="98">
        <f>SUMIFS('caseload data'!P:P,'caseload data'!$D:$D,"PO",'caseload data'!$C:$C,'divisional &amp; regional caseload'!$T$29)</f>
        <v>0</v>
      </c>
      <c r="AG31" s="98">
        <f>SUMIFS('caseload data'!Q:Q,'caseload data'!$D:$D,"PO",'caseload data'!$C:$C,'divisional &amp; regional caseload'!$T$29)</f>
        <v>0</v>
      </c>
      <c r="AH31" s="98">
        <f>SUMIFS('caseload data'!R:R,'caseload data'!$D:$D,"PO",'caseload data'!$C:$C,'divisional &amp; regional caseload'!$T$29)</f>
        <v>0</v>
      </c>
      <c r="AI31" s="98">
        <f>SUMIFS('caseload data'!S:S,'caseload data'!$D:$D,"PO",'caseload data'!$C:$C,'divisional &amp; regional caseload'!$T$29)</f>
        <v>0</v>
      </c>
      <c r="AJ31" s="98">
        <f>SUMIFS('caseload data'!T:T,'caseload data'!$D:$D,"PO",'caseload data'!$C:$C,'divisional &amp; regional caseload'!$T$29)</f>
        <v>0</v>
      </c>
    </row>
    <row r="32" spans="2:36" x14ac:dyDescent="0.15">
      <c r="B32" s="101" t="s">
        <v>1172</v>
      </c>
      <c r="C32" s="98">
        <f>SUMIFS('caseload data'!E:E,'caseload data'!$D:$D,"PSO",'caseload data'!$C:$C,'divisional &amp; regional caseload'!$B$29)</f>
        <v>0</v>
      </c>
      <c r="D32" s="98">
        <f>SUMIFS('caseload data'!F:F,'caseload data'!$D:$D,"PSO",'caseload data'!$C:$C,'divisional &amp; regional caseload'!$B$29)</f>
        <v>0</v>
      </c>
      <c r="E32" s="98">
        <f>SUMIFS('caseload data'!G:G,'caseload data'!$D:$D,"PSO",'caseload data'!$C:$C,'divisional &amp; regional caseload'!$B$29)</f>
        <v>0</v>
      </c>
      <c r="F32" s="98">
        <f>SUMIFS('caseload data'!H:H,'caseload data'!$D:$D,"PSO",'caseload data'!$C:$C,'divisional &amp; regional caseload'!$B$29)</f>
        <v>0</v>
      </c>
      <c r="G32" s="98">
        <f>SUMIFS('caseload data'!I:I,'caseload data'!$D:$D,"PSO",'caseload data'!$C:$C,'divisional &amp; regional caseload'!$B$29)</f>
        <v>0</v>
      </c>
      <c r="H32" s="98">
        <f>SUMIFS('caseload data'!J:J,'caseload data'!$D:$D,"PSO",'caseload data'!$C:$C,'divisional &amp; regional caseload'!$B$29)</f>
        <v>0</v>
      </c>
      <c r="I32" s="98">
        <f>SUMIFS('caseload data'!K:K,'caseload data'!$D:$D,"PSO",'caseload data'!$C:$C,'divisional &amp; regional caseload'!$B$29)</f>
        <v>0</v>
      </c>
      <c r="J32" s="98">
        <f>SUMIFS('caseload data'!L:L,'caseload data'!$D:$D,"PSO",'caseload data'!$C:$C,'divisional &amp; regional caseload'!$B$29)</f>
        <v>0</v>
      </c>
      <c r="K32" s="98">
        <f>SUMIFS('caseload data'!M:M,'caseload data'!$D:$D,"PSO",'caseload data'!$C:$C,'divisional &amp; regional caseload'!$B$29)</f>
        <v>0</v>
      </c>
      <c r="L32" s="98">
        <f>SUMIFS('caseload data'!N:N,'caseload data'!$D:$D,"PSO",'caseload data'!$C:$C,'divisional &amp; regional caseload'!$B$29)</f>
        <v>0</v>
      </c>
      <c r="M32" s="98">
        <f>SUMIFS('caseload data'!O:O,'caseload data'!$D:$D,"PSO",'caseload data'!$C:$C,'divisional &amp; regional caseload'!$B$29)</f>
        <v>0</v>
      </c>
      <c r="N32" s="98">
        <f>SUMIFS('caseload data'!P:P,'caseload data'!$D:$D,"PSO",'caseload data'!$C:$C,'divisional &amp; regional caseload'!$B$29)</f>
        <v>0</v>
      </c>
      <c r="O32" s="98">
        <f>SUMIFS('caseload data'!Q:Q,'caseload data'!$D:$D,"PSO",'caseload data'!$C:$C,'divisional &amp; regional caseload'!$B$29)</f>
        <v>0</v>
      </c>
      <c r="P32" s="98">
        <f>SUMIFS('caseload data'!R:R,'caseload data'!$D:$D,"PSO",'caseload data'!$C:$C,'divisional &amp; regional caseload'!$B$29)</f>
        <v>0</v>
      </c>
      <c r="Q32" s="98">
        <f>SUMIFS('caseload data'!S:S,'caseload data'!$D:$D,"PSO",'caseload data'!$C:$C,'divisional &amp; regional caseload'!$B$29)</f>
        <v>0</v>
      </c>
      <c r="R32" s="98">
        <f>SUMIFS('caseload data'!T:T,'caseload data'!$D:$D,"PSO",'caseload data'!$C:$C,'divisional &amp; regional caseload'!$B$29)</f>
        <v>0</v>
      </c>
      <c r="S32" s="95"/>
      <c r="T32" s="101" t="s">
        <v>1172</v>
      </c>
      <c r="U32" s="98">
        <f>SUMIFS('caseload data'!E:E,'caseload data'!$D:$D,"PSO",'caseload data'!$C:$C,'divisional &amp; regional caseload'!$T$29)</f>
        <v>0</v>
      </c>
      <c r="V32" s="98">
        <f>SUMIFS('caseload data'!F:F,'caseload data'!$D:$D,"PSO",'caseload data'!$C:$C,'divisional &amp; regional caseload'!$T$29)</f>
        <v>0</v>
      </c>
      <c r="W32" s="98">
        <f>SUMIFS('caseload data'!G:G,'caseload data'!$D:$D,"PSO",'caseload data'!$C:$C,'divisional &amp; regional caseload'!$T$29)</f>
        <v>0</v>
      </c>
      <c r="X32" s="98">
        <f>SUMIFS('caseload data'!H:H,'caseload data'!$D:$D,"PSO",'caseload data'!$C:$C,'divisional &amp; regional caseload'!$T$29)</f>
        <v>0</v>
      </c>
      <c r="Y32" s="98">
        <f>SUMIFS('caseload data'!I:I,'caseload data'!$D:$D,"PSO",'caseload data'!$C:$C,'divisional &amp; regional caseload'!$T$29)</f>
        <v>0</v>
      </c>
      <c r="Z32" s="98">
        <f>SUMIFS('caseload data'!J:J,'caseload data'!$D:$D,"PSO",'caseload data'!$C:$C,'divisional &amp; regional caseload'!$T$29)</f>
        <v>0</v>
      </c>
      <c r="AA32" s="98">
        <f>SUMIFS('caseload data'!K:K,'caseload data'!$D:$D,"PSO",'caseload data'!$C:$C,'divisional &amp; regional caseload'!$T$29)</f>
        <v>0</v>
      </c>
      <c r="AB32" s="98">
        <f>SUMIFS('caseload data'!L:L,'caseload data'!$D:$D,"PSO",'caseload data'!$C:$C,'divisional &amp; regional caseload'!$T$29)</f>
        <v>0</v>
      </c>
      <c r="AC32" s="98">
        <f>SUMIFS('caseload data'!M:M,'caseload data'!$D:$D,"PSO",'caseload data'!$C:$C,'divisional &amp; regional caseload'!$T$29)</f>
        <v>0</v>
      </c>
      <c r="AD32" s="98">
        <f>SUMIFS('caseload data'!N:N,'caseload data'!$D:$D,"PSO",'caseload data'!$C:$C,'divisional &amp; regional caseload'!$T$29)</f>
        <v>0</v>
      </c>
      <c r="AE32" s="98">
        <f>SUMIFS('caseload data'!O:O,'caseload data'!$D:$D,"PSO",'caseload data'!$C:$C,'divisional &amp; regional caseload'!$T$29)</f>
        <v>0</v>
      </c>
      <c r="AF32" s="98">
        <f>SUMIFS('caseload data'!P:P,'caseload data'!$D:$D,"PSO",'caseload data'!$C:$C,'divisional &amp; regional caseload'!$T$29)</f>
        <v>0</v>
      </c>
      <c r="AG32" s="98">
        <f>SUMIFS('caseload data'!Q:Q,'caseload data'!$D:$D,"PSO",'caseload data'!$C:$C,'divisional &amp; regional caseload'!$T$29)</f>
        <v>0</v>
      </c>
      <c r="AH32" s="98">
        <f>SUMIFS('caseload data'!R:R,'caseload data'!$D:$D,"PSO",'caseload data'!$C:$C,'divisional &amp; regional caseload'!$T$29)</f>
        <v>0</v>
      </c>
      <c r="AI32" s="98">
        <f>SUMIFS('caseload data'!S:S,'caseload data'!$D:$D,"PSO",'caseload data'!$C:$C,'divisional &amp; regional caseload'!$T$29)</f>
        <v>0</v>
      </c>
      <c r="AJ32" s="98">
        <f>SUMIFS('caseload data'!T:T,'caseload data'!$D:$D,"PSO",'caseload data'!$C:$C,'divisional &amp; regional caseload'!$T$29)</f>
        <v>0</v>
      </c>
    </row>
    <row r="33" spans="2:36" x14ac:dyDescent="0.15">
      <c r="B33" s="101" t="s">
        <v>1173</v>
      </c>
      <c r="C33" s="98">
        <f>SUMIFS('caseload data'!E:E,'caseload data'!$D:$D,"TPO",'caseload data'!$C:$C,'divisional &amp; regional caseload'!$B$29)</f>
        <v>0</v>
      </c>
      <c r="D33" s="98">
        <f>SUMIFS('caseload data'!F:F,'caseload data'!$D:$D,"TPO",'caseload data'!$C:$C,'divisional &amp; regional caseload'!$B$29)</f>
        <v>0</v>
      </c>
      <c r="E33" s="98">
        <f>SUMIFS('caseload data'!G:G,'caseload data'!$D:$D,"TPO",'caseload data'!$C:$C,'divisional &amp; regional caseload'!$B$29)</f>
        <v>0</v>
      </c>
      <c r="F33" s="98">
        <f>SUMIFS('caseload data'!H:H,'caseload data'!$D:$D,"TPO",'caseload data'!$C:$C,'divisional &amp; regional caseload'!$B$29)</f>
        <v>0</v>
      </c>
      <c r="G33" s="98">
        <f>SUMIFS('caseload data'!I:I,'caseload data'!$D:$D,"TPO",'caseload data'!$C:$C,'divisional &amp; regional caseload'!$B$29)</f>
        <v>0</v>
      </c>
      <c r="H33" s="98">
        <f>SUMIFS('caseload data'!J:J,'caseload data'!$D:$D,"TPO",'caseload data'!$C:$C,'divisional &amp; regional caseload'!$B$29)</f>
        <v>0</v>
      </c>
      <c r="I33" s="98">
        <f>SUMIFS('caseload data'!K:K,'caseload data'!$D:$D,"TPO",'caseload data'!$C:$C,'divisional &amp; regional caseload'!$B$29)</f>
        <v>0</v>
      </c>
      <c r="J33" s="98">
        <f>SUMIFS('caseload data'!L:L,'caseload data'!$D:$D,"TPO",'caseload data'!$C:$C,'divisional &amp; regional caseload'!$B$29)</f>
        <v>0</v>
      </c>
      <c r="K33" s="98">
        <f>SUMIFS('caseload data'!M:M,'caseload data'!$D:$D,"TPO",'caseload data'!$C:$C,'divisional &amp; regional caseload'!$B$29)</f>
        <v>0</v>
      </c>
      <c r="L33" s="98">
        <f>SUMIFS('caseload data'!N:N,'caseload data'!$D:$D,"TPO",'caseload data'!$C:$C,'divisional &amp; regional caseload'!$B$29)</f>
        <v>0</v>
      </c>
      <c r="M33" s="98">
        <f>SUMIFS('caseload data'!O:O,'caseload data'!$D:$D,"TPO",'caseload data'!$C:$C,'divisional &amp; regional caseload'!$B$29)</f>
        <v>0</v>
      </c>
      <c r="N33" s="98">
        <f>SUMIFS('caseload data'!P:P,'caseload data'!$D:$D,"TPO",'caseload data'!$C:$C,'divisional &amp; regional caseload'!$B$29)</f>
        <v>0</v>
      </c>
      <c r="O33" s="98">
        <f>SUMIFS('caseload data'!Q:Q,'caseload data'!$D:$D,"TPO",'caseload data'!$C:$C,'divisional &amp; regional caseload'!$B$29)</f>
        <v>0</v>
      </c>
      <c r="P33" s="98">
        <f>SUMIFS('caseload data'!R:R,'caseload data'!$D:$D,"TPO",'caseload data'!$C:$C,'divisional &amp; regional caseload'!$B$29)</f>
        <v>0</v>
      </c>
      <c r="Q33" s="98">
        <f>SUMIFS('caseload data'!S:S,'caseload data'!$D:$D,"TPO",'caseload data'!$C:$C,'divisional &amp; regional caseload'!$B$29)</f>
        <v>0</v>
      </c>
      <c r="R33" s="98">
        <f>SUMIFS('caseload data'!T:T,'caseload data'!$D:$D,"TPO",'caseload data'!$C:$C,'divisional &amp; regional caseload'!$B$29)</f>
        <v>0</v>
      </c>
      <c r="S33" s="95"/>
      <c r="T33" s="101" t="s">
        <v>1173</v>
      </c>
      <c r="U33" s="98">
        <f>SUMIFS('caseload data'!E:E,'caseload data'!$D:$D,"TPO",'caseload data'!$C:$C,'divisional &amp; regional caseload'!$T$29)</f>
        <v>0</v>
      </c>
      <c r="V33" s="98">
        <f>SUMIFS('caseload data'!F:F,'caseload data'!$D:$D,"TPO",'caseload data'!$C:$C,'divisional &amp; regional caseload'!$T$29)</f>
        <v>0</v>
      </c>
      <c r="W33" s="98">
        <f>SUMIFS('caseload data'!G:G,'caseload data'!$D:$D,"TPO",'caseload data'!$C:$C,'divisional &amp; regional caseload'!$T$29)</f>
        <v>0</v>
      </c>
      <c r="X33" s="98">
        <f>SUMIFS('caseload data'!H:H,'caseload data'!$D:$D,"TPO",'caseload data'!$C:$C,'divisional &amp; regional caseload'!$T$29)</f>
        <v>0</v>
      </c>
      <c r="Y33" s="98">
        <f>SUMIFS('caseload data'!I:I,'caseload data'!$D:$D,"TPO",'caseload data'!$C:$C,'divisional &amp; regional caseload'!$T$29)</f>
        <v>0</v>
      </c>
      <c r="Z33" s="98">
        <f>SUMIFS('caseload data'!J:J,'caseload data'!$D:$D,"TPO",'caseload data'!$C:$C,'divisional &amp; regional caseload'!$T$29)</f>
        <v>0</v>
      </c>
      <c r="AA33" s="98">
        <f>SUMIFS('caseload data'!K:K,'caseload data'!$D:$D,"TPO",'caseload data'!$C:$C,'divisional &amp; regional caseload'!$T$29)</f>
        <v>0</v>
      </c>
      <c r="AB33" s="98">
        <f>SUMIFS('caseload data'!L:L,'caseload data'!$D:$D,"TPO",'caseload data'!$C:$C,'divisional &amp; regional caseload'!$T$29)</f>
        <v>0</v>
      </c>
      <c r="AC33" s="98">
        <f>SUMIFS('caseload data'!M:M,'caseload data'!$D:$D,"TPO",'caseload data'!$C:$C,'divisional &amp; regional caseload'!$T$29)</f>
        <v>0</v>
      </c>
      <c r="AD33" s="98">
        <f>SUMIFS('caseload data'!N:N,'caseload data'!$D:$D,"TPO",'caseload data'!$C:$C,'divisional &amp; regional caseload'!$T$29)</f>
        <v>0</v>
      </c>
      <c r="AE33" s="98">
        <f>SUMIFS('caseload data'!O:O,'caseload data'!$D:$D,"TPO",'caseload data'!$C:$C,'divisional &amp; regional caseload'!$T$29)</f>
        <v>0</v>
      </c>
      <c r="AF33" s="98">
        <f>SUMIFS('caseload data'!P:P,'caseload data'!$D:$D,"TPO",'caseload data'!$C:$C,'divisional &amp; regional caseload'!$T$29)</f>
        <v>0</v>
      </c>
      <c r="AG33" s="98">
        <f>SUMIFS('caseload data'!Q:Q,'caseload data'!$D:$D,"TPO",'caseload data'!$C:$C,'divisional &amp; regional caseload'!$T$29)</f>
        <v>0</v>
      </c>
      <c r="AH33" s="98">
        <f>SUMIFS('caseload data'!R:R,'caseload data'!$D:$D,"TPO",'caseload data'!$C:$C,'divisional &amp; regional caseload'!$T$29)</f>
        <v>0</v>
      </c>
      <c r="AI33" s="98">
        <f>SUMIFS('caseload data'!S:S,'caseload data'!$D:$D,"TPO",'caseload data'!$C:$C,'divisional &amp; regional caseload'!$T$29)</f>
        <v>0</v>
      </c>
      <c r="AJ33" s="98">
        <f>SUMIFS('caseload data'!T:T,'caseload data'!$D:$D,"TPO",'caseload data'!$C:$C,'divisional &amp; regional caseload'!$T$29)</f>
        <v>0</v>
      </c>
    </row>
    <row r="34" spans="2:36" x14ac:dyDescent="0.15">
      <c r="B34" s="102" t="s">
        <v>1174</v>
      </c>
      <c r="C34" s="98">
        <f>SUMIFS('caseload data'!E:E,'caseload data'!$D:$D,"SPO",'caseload data'!$C:$C,'divisional &amp; regional caseload'!$B$29)</f>
        <v>0</v>
      </c>
      <c r="D34" s="98">
        <f>SUMIFS('caseload data'!F:F,'caseload data'!$D:$D,"SPO",'caseload data'!$C:$C,'divisional &amp; regional caseload'!$B$29)</f>
        <v>0</v>
      </c>
      <c r="E34" s="98">
        <f>SUMIFS('caseload data'!G:G,'caseload data'!$D:$D,"SPO",'caseload data'!$C:$C,'divisional &amp; regional caseload'!$B$29)</f>
        <v>0</v>
      </c>
      <c r="F34" s="98">
        <f>SUMIFS('caseload data'!H:H,'caseload data'!$D:$D,"SPO",'caseload data'!$C:$C,'divisional &amp; regional caseload'!$B$29)</f>
        <v>0</v>
      </c>
      <c r="G34" s="98">
        <f>SUMIFS('caseload data'!I:I,'caseload data'!$D:$D,"SPO",'caseload data'!$C:$C,'divisional &amp; regional caseload'!$B$29)</f>
        <v>0</v>
      </c>
      <c r="H34" s="98">
        <f>SUMIFS('caseload data'!J:J,'caseload data'!$D:$D,"SPO",'caseload data'!$C:$C,'divisional &amp; regional caseload'!$B$29)</f>
        <v>0</v>
      </c>
      <c r="I34" s="98">
        <f>SUMIFS('caseload data'!K:K,'caseload data'!$D:$D,"SPO",'caseload data'!$C:$C,'divisional &amp; regional caseload'!$B$29)</f>
        <v>0</v>
      </c>
      <c r="J34" s="98">
        <f>SUMIFS('caseload data'!L:L,'caseload data'!$D:$D,"SPO",'caseload data'!$C:$C,'divisional &amp; regional caseload'!$B$29)</f>
        <v>0</v>
      </c>
      <c r="K34" s="98">
        <f>SUMIFS('caseload data'!M:M,'caseload data'!$D:$D,"SPO",'caseload data'!$C:$C,'divisional &amp; regional caseload'!$B$29)</f>
        <v>0</v>
      </c>
      <c r="L34" s="98">
        <f>SUMIFS('caseload data'!N:N,'caseload data'!$D:$D,"SPO",'caseload data'!$C:$C,'divisional &amp; regional caseload'!$B$29)</f>
        <v>0</v>
      </c>
      <c r="M34" s="98">
        <f>SUMIFS('caseload data'!O:O,'caseload data'!$D:$D,"SPO",'caseload data'!$C:$C,'divisional &amp; regional caseload'!$B$29)</f>
        <v>0</v>
      </c>
      <c r="N34" s="98">
        <f>SUMIFS('caseload data'!P:P,'caseload data'!$D:$D,"SPO",'caseload data'!$C:$C,'divisional &amp; regional caseload'!$B$29)</f>
        <v>0</v>
      </c>
      <c r="O34" s="98">
        <f>SUMIFS('caseload data'!Q:Q,'caseload data'!$D:$D,"SPO",'caseload data'!$C:$C,'divisional &amp; regional caseload'!$B$29)</f>
        <v>0</v>
      </c>
      <c r="P34" s="98">
        <f>SUMIFS('caseload data'!R:R,'caseload data'!$D:$D,"SPO",'caseload data'!$C:$C,'divisional &amp; regional caseload'!$B$29)</f>
        <v>0</v>
      </c>
      <c r="Q34" s="98">
        <f>SUMIFS('caseload data'!S:S,'caseload data'!$D:$D,"SPO",'caseload data'!$C:$C,'divisional &amp; regional caseload'!$B$29)</f>
        <v>0</v>
      </c>
      <c r="R34" s="98">
        <f>SUMIFS('caseload data'!T:T,'caseload data'!$D:$D,"SPO",'caseload data'!$C:$C,'divisional &amp; regional caseload'!$B$29)</f>
        <v>0</v>
      </c>
      <c r="S34" s="95"/>
      <c r="T34" s="102" t="s">
        <v>1174</v>
      </c>
      <c r="U34" s="98">
        <f>SUMIFS('caseload data'!E:E,'caseload data'!$D:$D,"SPO",'caseload data'!$C:$C,'divisional &amp; regional caseload'!$T$29)</f>
        <v>0</v>
      </c>
      <c r="V34" s="98">
        <f>SUMIFS('caseload data'!F:F,'caseload data'!$D:$D,"SPO",'caseload data'!$C:$C,'divisional &amp; regional caseload'!$T$29)</f>
        <v>0</v>
      </c>
      <c r="W34" s="98">
        <f>SUMIFS('caseload data'!G:G,'caseload data'!$D:$D,"SPO",'caseload data'!$C:$C,'divisional &amp; regional caseload'!$T$29)</f>
        <v>0</v>
      </c>
      <c r="X34" s="98">
        <f>SUMIFS('caseload data'!H:H,'caseload data'!$D:$D,"SPO",'caseload data'!$C:$C,'divisional &amp; regional caseload'!$T$29)</f>
        <v>0</v>
      </c>
      <c r="Y34" s="98">
        <f>SUMIFS('caseload data'!I:I,'caseload data'!$D:$D,"SPO",'caseload data'!$C:$C,'divisional &amp; regional caseload'!$T$29)</f>
        <v>0</v>
      </c>
      <c r="Z34" s="98">
        <f>SUMIFS('caseload data'!J:J,'caseload data'!$D:$D,"SPO",'caseload data'!$C:$C,'divisional &amp; regional caseload'!$T$29)</f>
        <v>0</v>
      </c>
      <c r="AA34" s="98">
        <f>SUMIFS('caseload data'!K:K,'caseload data'!$D:$D,"SPO",'caseload data'!$C:$C,'divisional &amp; regional caseload'!$T$29)</f>
        <v>0</v>
      </c>
      <c r="AB34" s="98">
        <f>SUMIFS('caseload data'!L:L,'caseload data'!$D:$D,"SPO",'caseload data'!$C:$C,'divisional &amp; regional caseload'!$T$29)</f>
        <v>0</v>
      </c>
      <c r="AC34" s="98">
        <f>SUMIFS('caseload data'!M:M,'caseload data'!$D:$D,"SPO",'caseload data'!$C:$C,'divisional &amp; regional caseload'!$T$29)</f>
        <v>0</v>
      </c>
      <c r="AD34" s="98">
        <f>SUMIFS('caseload data'!N:N,'caseload data'!$D:$D,"SPO",'caseload data'!$C:$C,'divisional &amp; regional caseload'!$T$29)</f>
        <v>0</v>
      </c>
      <c r="AE34" s="98">
        <f>SUMIFS('caseload data'!O:O,'caseload data'!$D:$D,"SPO",'caseload data'!$C:$C,'divisional &amp; regional caseload'!$T$29)</f>
        <v>0</v>
      </c>
      <c r="AF34" s="98">
        <f>SUMIFS('caseload data'!P:P,'caseload data'!$D:$D,"SPO",'caseload data'!$C:$C,'divisional &amp; regional caseload'!$T$29)</f>
        <v>0</v>
      </c>
      <c r="AG34" s="98">
        <f>SUMIFS('caseload data'!Q:Q,'caseload data'!$D:$D,"SPO",'caseload data'!$C:$C,'divisional &amp; regional caseload'!$T$29)</f>
        <v>0</v>
      </c>
      <c r="AH34" s="98">
        <f>SUMIFS('caseload data'!R:R,'caseload data'!$D:$D,"SPO",'caseload data'!$C:$C,'divisional &amp; regional caseload'!$T$29)</f>
        <v>0</v>
      </c>
      <c r="AI34" s="98">
        <f>SUMIFS('caseload data'!S:S,'caseload data'!$D:$D,"SPO",'caseload data'!$C:$C,'divisional &amp; regional caseload'!$T$29)</f>
        <v>0</v>
      </c>
      <c r="AJ34" s="98">
        <f>SUMIFS('caseload data'!T:T,'caseload data'!$D:$D,"SPO",'caseload data'!$C:$C,'divisional &amp; regional caseload'!$T$29)</f>
        <v>0</v>
      </c>
    </row>
    <row r="35" spans="2:36" x14ac:dyDescent="0.15">
      <c r="B35" s="95"/>
      <c r="C35" s="95"/>
      <c r="D35" s="95"/>
      <c r="E35" s="95"/>
      <c r="F35" s="95"/>
      <c r="G35" s="95"/>
      <c r="H35" s="95"/>
      <c r="I35" s="95"/>
      <c r="J35" s="95"/>
      <c r="K35" s="95"/>
      <c r="L35" s="95"/>
      <c r="M35" s="95"/>
      <c r="N35" s="95"/>
      <c r="O35" s="95"/>
      <c r="P35" s="95"/>
      <c r="Q35" s="95"/>
      <c r="R35" s="95"/>
      <c r="S35" s="95"/>
      <c r="T35" s="95"/>
      <c r="U35" s="95"/>
      <c r="V35" s="95"/>
      <c r="W35" s="95"/>
      <c r="X35" s="95"/>
      <c r="Y35" s="95"/>
      <c r="Z35" s="95"/>
      <c r="AA35" s="95"/>
    </row>
    <row r="36" spans="2:36" ht="27.75" customHeight="1" x14ac:dyDescent="0.15">
      <c r="B36" s="302" t="str">
        <f>HLOOKUP($B$5,Region_Table,10,0)</f>
        <v>Greenwich and Bexley</v>
      </c>
      <c r="C36" s="467" t="s">
        <v>1272</v>
      </c>
      <c r="D36" s="468"/>
      <c r="E36" s="468"/>
      <c r="F36" s="468"/>
      <c r="G36" s="468"/>
      <c r="H36" s="468"/>
      <c r="I36" s="468"/>
      <c r="J36" s="468"/>
      <c r="K36" s="468"/>
      <c r="L36" s="468"/>
      <c r="M36" s="472"/>
      <c r="N36" s="472"/>
      <c r="O36" s="473"/>
      <c r="P36" s="462">
        <f>SUMIF('caseload data'!$C:$C,'divisional &amp; regional caseload'!B36,'caseload data'!V:V)</f>
        <v>0</v>
      </c>
      <c r="Q36" s="463"/>
      <c r="R36" s="464"/>
      <c r="S36" s="95"/>
      <c r="T36" s="302" t="str">
        <f>HLOOKUP($B$5,Region_Table,11,0)</f>
        <v>Hackney and City</v>
      </c>
      <c r="U36" s="467" t="s">
        <v>1271</v>
      </c>
      <c r="V36" s="468"/>
      <c r="W36" s="468"/>
      <c r="X36" s="468"/>
      <c r="Y36" s="468"/>
      <c r="Z36" s="468"/>
      <c r="AA36" s="468"/>
      <c r="AB36" s="468"/>
      <c r="AC36" s="468"/>
      <c r="AD36" s="468"/>
      <c r="AE36" s="468"/>
      <c r="AF36" s="468"/>
      <c r="AG36" s="469"/>
      <c r="AH36" s="462">
        <f>SUMIF('caseload data'!$C:$C,'divisional &amp; regional caseload'!T36,'caseload data'!V:V)</f>
        <v>0</v>
      </c>
      <c r="AI36" s="463"/>
      <c r="AJ36" s="464"/>
    </row>
    <row r="37" spans="2:36" x14ac:dyDescent="0.15">
      <c r="B37" s="99" t="s">
        <v>1170</v>
      </c>
      <c r="C37" s="40" t="s">
        <v>1022</v>
      </c>
      <c r="D37" s="40" t="s">
        <v>1023</v>
      </c>
      <c r="E37" s="40" t="s">
        <v>1024</v>
      </c>
      <c r="F37" s="40" t="s">
        <v>1025</v>
      </c>
      <c r="G37" s="40" t="s">
        <v>1026</v>
      </c>
      <c r="H37" s="40" t="s">
        <v>1027</v>
      </c>
      <c r="I37" s="40" t="s">
        <v>1028</v>
      </c>
      <c r="J37" s="40" t="s">
        <v>1029</v>
      </c>
      <c r="K37" s="40" t="s">
        <v>1030</v>
      </c>
      <c r="L37" s="40" t="s">
        <v>1031</v>
      </c>
      <c r="M37" s="40" t="s">
        <v>1032</v>
      </c>
      <c r="N37" s="40" t="s">
        <v>1033</v>
      </c>
      <c r="O37" s="40" t="s">
        <v>1034</v>
      </c>
      <c r="P37" s="40" t="s">
        <v>1035</v>
      </c>
      <c r="Q37" s="40" t="s">
        <v>1036</v>
      </c>
      <c r="R37" s="40" t="s">
        <v>1037</v>
      </c>
      <c r="S37" s="95"/>
      <c r="T37" s="99" t="s">
        <v>1170</v>
      </c>
      <c r="U37" s="40" t="s">
        <v>1022</v>
      </c>
      <c r="V37" s="40" t="s">
        <v>1023</v>
      </c>
      <c r="W37" s="40" t="s">
        <v>1024</v>
      </c>
      <c r="X37" s="40" t="s">
        <v>1025</v>
      </c>
      <c r="Y37" s="40" t="s">
        <v>1026</v>
      </c>
      <c r="Z37" s="40" t="s">
        <v>1027</v>
      </c>
      <c r="AA37" s="40" t="s">
        <v>1028</v>
      </c>
      <c r="AB37" s="40" t="s">
        <v>1029</v>
      </c>
      <c r="AC37" s="40" t="s">
        <v>1030</v>
      </c>
      <c r="AD37" s="40" t="s">
        <v>1031</v>
      </c>
      <c r="AE37" s="40" t="s">
        <v>1032</v>
      </c>
      <c r="AF37" s="40" t="s">
        <v>1033</v>
      </c>
      <c r="AG37" s="40" t="s">
        <v>1034</v>
      </c>
      <c r="AH37" s="40" t="s">
        <v>1035</v>
      </c>
      <c r="AI37" s="40" t="s">
        <v>1036</v>
      </c>
      <c r="AJ37" s="40" t="s">
        <v>1037</v>
      </c>
    </row>
    <row r="38" spans="2:36" x14ac:dyDescent="0.15">
      <c r="B38" s="100" t="s">
        <v>1166</v>
      </c>
      <c r="C38" s="98">
        <f>SUMIFS('caseload data'!E:E,'caseload data'!$D:$D,"PO",'caseload data'!$C:$C,'divisional &amp; regional caseload'!$B$36)</f>
        <v>0</v>
      </c>
      <c r="D38" s="98">
        <f>SUMIFS('caseload data'!F:F,'caseload data'!$D:$D,"PO",'caseload data'!$C:$C,'divisional &amp; regional caseload'!$B$36)</f>
        <v>0</v>
      </c>
      <c r="E38" s="98">
        <f>SUMIFS('caseload data'!G:G,'caseload data'!$D:$D,"PO",'caseload data'!$C:$C,'divisional &amp; regional caseload'!$B$36)</f>
        <v>0</v>
      </c>
      <c r="F38" s="98">
        <f>SUMIFS('caseload data'!H:H,'caseload data'!$D:$D,"PO",'caseload data'!$C:$C,'divisional &amp; regional caseload'!$B$36)</f>
        <v>0</v>
      </c>
      <c r="G38" s="98">
        <f>SUMIFS('caseload data'!I:I,'caseload data'!$D:$D,"PO",'caseload data'!$C:$C,'divisional &amp; regional caseload'!$B$36)</f>
        <v>0</v>
      </c>
      <c r="H38" s="98">
        <f>SUMIFS('caseload data'!J:J,'caseload data'!$D:$D,"PO",'caseload data'!$C:$C,'divisional &amp; regional caseload'!$B$36)</f>
        <v>0</v>
      </c>
      <c r="I38" s="98">
        <f>SUMIFS('caseload data'!K:K,'caseload data'!$D:$D,"PO",'caseload data'!$C:$C,'divisional &amp; regional caseload'!$B$36)</f>
        <v>0</v>
      </c>
      <c r="J38" s="98">
        <f>SUMIFS('caseload data'!L:L,'caseload data'!$D:$D,"PO",'caseload data'!$C:$C,'divisional &amp; regional caseload'!$B$36)</f>
        <v>0</v>
      </c>
      <c r="K38" s="98">
        <f>SUMIFS('caseload data'!M:M,'caseload data'!$D:$D,"PO",'caseload data'!$C:$C,'divisional &amp; regional caseload'!$B$36)</f>
        <v>0</v>
      </c>
      <c r="L38" s="98">
        <f>SUMIFS('caseload data'!N:N,'caseload data'!$D:$D,"PO",'caseload data'!$C:$C,'divisional &amp; regional caseload'!$B$36)</f>
        <v>0</v>
      </c>
      <c r="M38" s="98">
        <f>SUMIFS('caseload data'!O:O,'caseload data'!$D:$D,"PO",'caseload data'!$C:$C,'divisional &amp; regional caseload'!$B$36)</f>
        <v>0</v>
      </c>
      <c r="N38" s="98">
        <f>SUMIFS('caseload data'!P:P,'caseload data'!$D:$D,"PO",'caseload data'!$C:$C,'divisional &amp; regional caseload'!$B$36)</f>
        <v>0</v>
      </c>
      <c r="O38" s="98">
        <f>SUMIFS('caseload data'!Q:Q,'caseload data'!$D:$D,"PO",'caseload data'!$C:$C,'divisional &amp; regional caseload'!$B$36)</f>
        <v>0</v>
      </c>
      <c r="P38" s="98">
        <f>SUMIFS('caseload data'!R:R,'caseload data'!$D:$D,"PO",'caseload data'!$C:$C,'divisional &amp; regional caseload'!$B$36)</f>
        <v>0</v>
      </c>
      <c r="Q38" s="98">
        <f>SUMIFS('caseload data'!S:S,'caseload data'!$D:$D,"PO",'caseload data'!$C:$C,'divisional &amp; regional caseload'!$B$36)</f>
        <v>0</v>
      </c>
      <c r="R38" s="98">
        <f>SUMIFS('caseload data'!T:T,'caseload data'!$D:$D,"PO",'caseload data'!$C:$C,'divisional &amp; regional caseload'!$B$36)</f>
        <v>0</v>
      </c>
      <c r="S38" s="95"/>
      <c r="T38" s="100" t="s">
        <v>1166</v>
      </c>
      <c r="U38" s="98">
        <f>SUMIFS('caseload data'!E:E,'caseload data'!$D:$D,"PO",'caseload data'!$C:$C,'divisional &amp; regional caseload'!$T$36)</f>
        <v>0</v>
      </c>
      <c r="V38" s="98">
        <f>SUMIFS('caseload data'!F:F,'caseload data'!$D:$D,"PO",'caseload data'!$C:$C,'divisional &amp; regional caseload'!$T$36)</f>
        <v>0</v>
      </c>
      <c r="W38" s="98">
        <f>SUMIFS('caseload data'!G:G,'caseload data'!$D:$D,"PO",'caseload data'!$C:$C,'divisional &amp; regional caseload'!$T$36)</f>
        <v>0</v>
      </c>
      <c r="X38" s="98">
        <f>SUMIFS('caseload data'!H:H,'caseload data'!$D:$D,"PO",'caseload data'!$C:$C,'divisional &amp; regional caseload'!$T$36)</f>
        <v>0</v>
      </c>
      <c r="Y38" s="98">
        <f>SUMIFS('caseload data'!I:I,'caseload data'!$D:$D,"PO",'caseload data'!$C:$C,'divisional &amp; regional caseload'!$T$36)</f>
        <v>0</v>
      </c>
      <c r="Z38" s="98">
        <f>SUMIFS('caseload data'!J:J,'caseload data'!$D:$D,"PO",'caseload data'!$C:$C,'divisional &amp; regional caseload'!$T$36)</f>
        <v>0</v>
      </c>
      <c r="AA38" s="98">
        <f>SUMIFS('caseload data'!K:K,'caseload data'!$D:$D,"PO",'caseload data'!$C:$C,'divisional &amp; regional caseload'!$T$36)</f>
        <v>0</v>
      </c>
      <c r="AB38" s="98">
        <f>SUMIFS('caseload data'!L:L,'caseload data'!$D:$D,"PO",'caseload data'!$C:$C,'divisional &amp; regional caseload'!$T$36)</f>
        <v>0</v>
      </c>
      <c r="AC38" s="98">
        <f>SUMIFS('caseload data'!M:M,'caseload data'!$D:$D,"PO",'caseload data'!$C:$C,'divisional &amp; regional caseload'!$T$36)</f>
        <v>0</v>
      </c>
      <c r="AD38" s="98">
        <f>SUMIFS('caseload data'!N:N,'caseload data'!$D:$D,"PO",'caseload data'!$C:$C,'divisional &amp; regional caseload'!$T$36)</f>
        <v>0</v>
      </c>
      <c r="AE38" s="98">
        <f>SUMIFS('caseload data'!O:O,'caseload data'!$D:$D,"PO",'caseload data'!$C:$C,'divisional &amp; regional caseload'!$T$36)</f>
        <v>0</v>
      </c>
      <c r="AF38" s="98">
        <f>SUMIFS('caseload data'!P:P,'caseload data'!$D:$D,"PO",'caseload data'!$C:$C,'divisional &amp; regional caseload'!$T$36)</f>
        <v>0</v>
      </c>
      <c r="AG38" s="98">
        <f>SUMIFS('caseload data'!Q:Q,'caseload data'!$D:$D,"PO",'caseload data'!$C:$C,'divisional &amp; regional caseload'!$T$36)</f>
        <v>0</v>
      </c>
      <c r="AH38" s="98">
        <f>SUMIFS('caseload data'!R:R,'caseload data'!$D:$D,"PO",'caseload data'!$C:$C,'divisional &amp; regional caseload'!$T$36)</f>
        <v>0</v>
      </c>
      <c r="AI38" s="98">
        <f>SUMIFS('caseload data'!S:S,'caseload data'!$D:$D,"PO",'caseload data'!$C:$C,'divisional &amp; regional caseload'!$T$36)</f>
        <v>0</v>
      </c>
      <c r="AJ38" s="98">
        <f>SUMIFS('caseload data'!T:T,'caseload data'!$D:$D,"PO",'caseload data'!$C:$C,'divisional &amp; regional caseload'!$T$36)</f>
        <v>0</v>
      </c>
    </row>
    <row r="39" spans="2:36" x14ac:dyDescent="0.15">
      <c r="B39" s="101" t="s">
        <v>1172</v>
      </c>
      <c r="C39" s="98">
        <f>SUMIFS('caseload data'!E:E,'caseload data'!$D:$D,"PSO",'caseload data'!$C:$C,'divisional &amp; regional caseload'!$B$36)</f>
        <v>0</v>
      </c>
      <c r="D39" s="98">
        <f>SUMIFS('caseload data'!F:F,'caseload data'!$D:$D,"PSO",'caseload data'!$C:$C,'divisional &amp; regional caseload'!$B$36)</f>
        <v>0</v>
      </c>
      <c r="E39" s="98">
        <f>SUMIFS('caseload data'!G:G,'caseload data'!$D:$D,"PSO",'caseload data'!$C:$C,'divisional &amp; regional caseload'!$B$36)</f>
        <v>0</v>
      </c>
      <c r="F39" s="98">
        <f>SUMIFS('caseload data'!H:H,'caseload data'!$D:$D,"PSO",'caseload data'!$C:$C,'divisional &amp; regional caseload'!$B$36)</f>
        <v>0</v>
      </c>
      <c r="G39" s="98">
        <f>SUMIFS('caseload data'!I:I,'caseload data'!$D:$D,"PSO",'caseload data'!$C:$C,'divisional &amp; regional caseload'!$B$36)</f>
        <v>0</v>
      </c>
      <c r="H39" s="98">
        <f>SUMIFS('caseload data'!J:J,'caseload data'!$D:$D,"PSO",'caseload data'!$C:$C,'divisional &amp; regional caseload'!$B$36)</f>
        <v>0</v>
      </c>
      <c r="I39" s="98">
        <f>SUMIFS('caseload data'!K:K,'caseload data'!$D:$D,"PSO",'caseload data'!$C:$C,'divisional &amp; regional caseload'!$B$36)</f>
        <v>0</v>
      </c>
      <c r="J39" s="98">
        <f>SUMIFS('caseload data'!L:L,'caseload data'!$D:$D,"PSO",'caseload data'!$C:$C,'divisional &amp; regional caseload'!$B$36)</f>
        <v>0</v>
      </c>
      <c r="K39" s="98">
        <f>SUMIFS('caseload data'!M:M,'caseload data'!$D:$D,"PSO",'caseload data'!$C:$C,'divisional &amp; regional caseload'!$B$36)</f>
        <v>0</v>
      </c>
      <c r="L39" s="98">
        <f>SUMIFS('caseload data'!N:N,'caseload data'!$D:$D,"PSO",'caseload data'!$C:$C,'divisional &amp; regional caseload'!$B$36)</f>
        <v>0</v>
      </c>
      <c r="M39" s="98">
        <f>SUMIFS('caseload data'!O:O,'caseload data'!$D:$D,"PSO",'caseload data'!$C:$C,'divisional &amp; regional caseload'!$B$36)</f>
        <v>0</v>
      </c>
      <c r="N39" s="98">
        <f>SUMIFS('caseload data'!P:P,'caseload data'!$D:$D,"PSO",'caseload data'!$C:$C,'divisional &amp; regional caseload'!$B$36)</f>
        <v>0</v>
      </c>
      <c r="O39" s="98">
        <f>SUMIFS('caseload data'!Q:Q,'caseload data'!$D:$D,"PSO",'caseload data'!$C:$C,'divisional &amp; regional caseload'!$B$36)</f>
        <v>0</v>
      </c>
      <c r="P39" s="98">
        <f>SUMIFS('caseload data'!R:R,'caseload data'!$D:$D,"PSO",'caseload data'!$C:$C,'divisional &amp; regional caseload'!$B$36)</f>
        <v>0</v>
      </c>
      <c r="Q39" s="98">
        <f>SUMIFS('caseload data'!S:S,'caseload data'!$D:$D,"PSO",'caseload data'!$C:$C,'divisional &amp; regional caseload'!$B$36)</f>
        <v>0</v>
      </c>
      <c r="R39" s="98">
        <f>SUMIFS('caseload data'!T:T,'caseload data'!$D:$D,"PSO",'caseload data'!$C:$C,'divisional &amp; regional caseload'!$B$36)</f>
        <v>0</v>
      </c>
      <c r="S39" s="95"/>
      <c r="T39" s="101" t="s">
        <v>1172</v>
      </c>
      <c r="U39" s="98">
        <f>SUMIFS('caseload data'!E:E,'caseload data'!$D:$D,"PSO",'caseload data'!$C:$C,'divisional &amp; regional caseload'!$T$36)</f>
        <v>0</v>
      </c>
      <c r="V39" s="98">
        <f>SUMIFS('caseload data'!F:F,'caseload data'!$D:$D,"PSO",'caseload data'!$C:$C,'divisional &amp; regional caseload'!$T$36)</f>
        <v>0</v>
      </c>
      <c r="W39" s="98">
        <f>SUMIFS('caseload data'!G:G,'caseload data'!$D:$D,"PSO",'caseload data'!$C:$C,'divisional &amp; regional caseload'!$T$36)</f>
        <v>0</v>
      </c>
      <c r="X39" s="98">
        <f>SUMIFS('caseload data'!H:H,'caseload data'!$D:$D,"PSO",'caseload data'!$C:$C,'divisional &amp; regional caseload'!$T$36)</f>
        <v>0</v>
      </c>
      <c r="Y39" s="98">
        <f>SUMIFS('caseload data'!I:I,'caseload data'!$D:$D,"PSO",'caseload data'!$C:$C,'divisional &amp; regional caseload'!$T$36)</f>
        <v>0</v>
      </c>
      <c r="Z39" s="98">
        <f>SUMIFS('caseload data'!J:J,'caseload data'!$D:$D,"PSO",'caseload data'!$C:$C,'divisional &amp; regional caseload'!$T$36)</f>
        <v>0</v>
      </c>
      <c r="AA39" s="98">
        <f>SUMIFS('caseload data'!K:K,'caseload data'!$D:$D,"PSO",'caseload data'!$C:$C,'divisional &amp; regional caseload'!$T$36)</f>
        <v>0</v>
      </c>
      <c r="AB39" s="98">
        <f>SUMIFS('caseload data'!L:L,'caseload data'!$D:$D,"PSO",'caseload data'!$C:$C,'divisional &amp; regional caseload'!$T$36)</f>
        <v>0</v>
      </c>
      <c r="AC39" s="98">
        <f>SUMIFS('caseload data'!M:M,'caseload data'!$D:$D,"PSO",'caseload data'!$C:$C,'divisional &amp; regional caseload'!$T$36)</f>
        <v>0</v>
      </c>
      <c r="AD39" s="98">
        <f>SUMIFS('caseload data'!N:N,'caseload data'!$D:$D,"PSO",'caseload data'!$C:$C,'divisional &amp; regional caseload'!$T$36)</f>
        <v>0</v>
      </c>
      <c r="AE39" s="98">
        <f>SUMIFS('caseload data'!O:O,'caseload data'!$D:$D,"PSO",'caseload data'!$C:$C,'divisional &amp; regional caseload'!$T$36)</f>
        <v>0</v>
      </c>
      <c r="AF39" s="98">
        <f>SUMIFS('caseload data'!P:P,'caseload data'!$D:$D,"PSO",'caseload data'!$C:$C,'divisional &amp; regional caseload'!$T$36)</f>
        <v>0</v>
      </c>
      <c r="AG39" s="98">
        <f>SUMIFS('caseload data'!Q:Q,'caseload data'!$D:$D,"PSO",'caseload data'!$C:$C,'divisional &amp; regional caseload'!$T$36)</f>
        <v>0</v>
      </c>
      <c r="AH39" s="98">
        <f>SUMIFS('caseload data'!R:R,'caseload data'!$D:$D,"PSO",'caseload data'!$C:$C,'divisional &amp; regional caseload'!$T$36)</f>
        <v>0</v>
      </c>
      <c r="AI39" s="98">
        <f>SUMIFS('caseload data'!S:S,'caseload data'!$D:$D,"PSO",'caseload data'!$C:$C,'divisional &amp; regional caseload'!$T$36)</f>
        <v>0</v>
      </c>
      <c r="AJ39" s="98">
        <f>SUMIFS('caseload data'!T:T,'caseload data'!$D:$D,"PSO",'caseload data'!$C:$C,'divisional &amp; regional caseload'!$T$36)</f>
        <v>0</v>
      </c>
    </row>
    <row r="40" spans="2:36" x14ac:dyDescent="0.15">
      <c r="B40" s="101" t="s">
        <v>1173</v>
      </c>
      <c r="C40" s="98">
        <f>SUMIFS('caseload data'!E:E,'caseload data'!$D:$D,"TPO",'caseload data'!$C:$C,'divisional &amp; regional caseload'!$B$36)</f>
        <v>0</v>
      </c>
      <c r="D40" s="98">
        <f>SUMIFS('caseload data'!F:F,'caseload data'!$D:$D,"TPO",'caseload data'!$C:$C,'divisional &amp; regional caseload'!$B$36)</f>
        <v>0</v>
      </c>
      <c r="E40" s="98">
        <f>SUMIFS('caseload data'!G:G,'caseload data'!$D:$D,"TPO",'caseload data'!$C:$C,'divisional &amp; regional caseload'!$B$36)</f>
        <v>0</v>
      </c>
      <c r="F40" s="98">
        <f>SUMIFS('caseload data'!H:H,'caseload data'!$D:$D,"TPO",'caseload data'!$C:$C,'divisional &amp; regional caseload'!$B$36)</f>
        <v>0</v>
      </c>
      <c r="G40" s="98">
        <f>SUMIFS('caseload data'!I:I,'caseload data'!$D:$D,"TPO",'caseload data'!$C:$C,'divisional &amp; regional caseload'!$B$36)</f>
        <v>0</v>
      </c>
      <c r="H40" s="98">
        <f>SUMIFS('caseload data'!J:J,'caseload data'!$D:$D,"TPO",'caseload data'!$C:$C,'divisional &amp; regional caseload'!$B$36)</f>
        <v>0</v>
      </c>
      <c r="I40" s="98">
        <f>SUMIFS('caseload data'!K:K,'caseload data'!$D:$D,"TPO",'caseload data'!$C:$C,'divisional &amp; regional caseload'!$B$36)</f>
        <v>0</v>
      </c>
      <c r="J40" s="98">
        <f>SUMIFS('caseload data'!L:L,'caseload data'!$D:$D,"TPO",'caseload data'!$C:$C,'divisional &amp; regional caseload'!$B$36)</f>
        <v>0</v>
      </c>
      <c r="K40" s="98">
        <f>SUMIFS('caseload data'!M:M,'caseload data'!$D:$D,"TPO",'caseload data'!$C:$C,'divisional &amp; regional caseload'!$B$36)</f>
        <v>0</v>
      </c>
      <c r="L40" s="98">
        <f>SUMIFS('caseload data'!N:N,'caseload data'!$D:$D,"TPO",'caseload data'!$C:$C,'divisional &amp; regional caseload'!$B$36)</f>
        <v>0</v>
      </c>
      <c r="M40" s="98">
        <f>SUMIFS('caseload data'!O:O,'caseload data'!$D:$D,"TPO",'caseload data'!$C:$C,'divisional &amp; regional caseload'!$B$36)</f>
        <v>0</v>
      </c>
      <c r="N40" s="98">
        <f>SUMIFS('caseload data'!P:P,'caseload data'!$D:$D,"TPO",'caseload data'!$C:$C,'divisional &amp; regional caseload'!$B$36)</f>
        <v>0</v>
      </c>
      <c r="O40" s="98">
        <f>SUMIFS('caseload data'!Q:Q,'caseload data'!$D:$D,"TPO",'caseload data'!$C:$C,'divisional &amp; regional caseload'!$B$36)</f>
        <v>0</v>
      </c>
      <c r="P40" s="98">
        <f>SUMIFS('caseload data'!R:R,'caseload data'!$D:$D,"TPO",'caseload data'!$C:$C,'divisional &amp; regional caseload'!$B$36)</f>
        <v>0</v>
      </c>
      <c r="Q40" s="98">
        <f>SUMIFS('caseload data'!S:S,'caseload data'!$D:$D,"TPO",'caseload data'!$C:$C,'divisional &amp; regional caseload'!$B$36)</f>
        <v>0</v>
      </c>
      <c r="R40" s="98">
        <f>SUMIFS('caseload data'!T:T,'caseload data'!$D:$D,"TPO",'caseload data'!$C:$C,'divisional &amp; regional caseload'!$B$36)</f>
        <v>0</v>
      </c>
      <c r="S40" s="95"/>
      <c r="T40" s="101" t="s">
        <v>1173</v>
      </c>
      <c r="U40" s="98">
        <f>SUMIFS('caseload data'!E:E,'caseload data'!$D:$D,"TPO",'caseload data'!$C:$C,'divisional &amp; regional caseload'!$T$36)</f>
        <v>0</v>
      </c>
      <c r="V40" s="98">
        <f>SUMIFS('caseload data'!F:F,'caseload data'!$D:$D,"TPO",'caseload data'!$C:$C,'divisional &amp; regional caseload'!$T$36)</f>
        <v>0</v>
      </c>
      <c r="W40" s="98">
        <f>SUMIFS('caseload data'!G:G,'caseload data'!$D:$D,"TPO",'caseload data'!$C:$C,'divisional &amp; regional caseload'!$T$36)</f>
        <v>0</v>
      </c>
      <c r="X40" s="98">
        <f>SUMIFS('caseload data'!H:H,'caseload data'!$D:$D,"TPO",'caseload data'!$C:$C,'divisional &amp; regional caseload'!$T$36)</f>
        <v>0</v>
      </c>
      <c r="Y40" s="98">
        <f>SUMIFS('caseload data'!I:I,'caseload data'!$D:$D,"TPO",'caseload data'!$C:$C,'divisional &amp; regional caseload'!$T$36)</f>
        <v>0</v>
      </c>
      <c r="Z40" s="98">
        <f>SUMIFS('caseload data'!J:J,'caseload data'!$D:$D,"TPO",'caseload data'!$C:$C,'divisional &amp; regional caseload'!$T$36)</f>
        <v>0</v>
      </c>
      <c r="AA40" s="98">
        <f>SUMIFS('caseload data'!K:K,'caseload data'!$D:$D,"TPO",'caseload data'!$C:$C,'divisional &amp; regional caseload'!$T$36)</f>
        <v>0</v>
      </c>
      <c r="AB40" s="98">
        <f>SUMIFS('caseload data'!L:L,'caseload data'!$D:$D,"TPO",'caseload data'!$C:$C,'divisional &amp; regional caseload'!$T$36)</f>
        <v>0</v>
      </c>
      <c r="AC40" s="98">
        <f>SUMIFS('caseload data'!M:M,'caseload data'!$D:$D,"TPO",'caseload data'!$C:$C,'divisional &amp; regional caseload'!$T$36)</f>
        <v>0</v>
      </c>
      <c r="AD40" s="98">
        <f>SUMIFS('caseload data'!N:N,'caseload data'!$D:$D,"TPO",'caseload data'!$C:$C,'divisional &amp; regional caseload'!$T$36)</f>
        <v>0</v>
      </c>
      <c r="AE40" s="98">
        <f>SUMIFS('caseload data'!O:O,'caseload data'!$D:$D,"TPO",'caseload data'!$C:$C,'divisional &amp; regional caseload'!$T$36)</f>
        <v>0</v>
      </c>
      <c r="AF40" s="98">
        <f>SUMIFS('caseload data'!P:P,'caseload data'!$D:$D,"TPO",'caseload data'!$C:$C,'divisional &amp; regional caseload'!$T$36)</f>
        <v>0</v>
      </c>
      <c r="AG40" s="98">
        <f>SUMIFS('caseload data'!Q:Q,'caseload data'!$D:$D,"TPO",'caseload data'!$C:$C,'divisional &amp; regional caseload'!$T$36)</f>
        <v>0</v>
      </c>
      <c r="AH40" s="98">
        <f>SUMIFS('caseload data'!R:R,'caseload data'!$D:$D,"TPO",'caseload data'!$C:$C,'divisional &amp; regional caseload'!$T$36)</f>
        <v>0</v>
      </c>
      <c r="AI40" s="98">
        <f>SUMIFS('caseload data'!S:S,'caseload data'!$D:$D,"TPO",'caseload data'!$C:$C,'divisional &amp; regional caseload'!$T$36)</f>
        <v>0</v>
      </c>
      <c r="AJ40" s="98">
        <f>SUMIFS('caseload data'!T:T,'caseload data'!$D:$D,"TPO",'caseload data'!$C:$C,'divisional &amp; regional caseload'!$T$36)</f>
        <v>0</v>
      </c>
    </row>
    <row r="41" spans="2:36" x14ac:dyDescent="0.15">
      <c r="B41" s="102" t="s">
        <v>1174</v>
      </c>
      <c r="C41" s="98">
        <f>SUMIFS('caseload data'!E:E,'caseload data'!$D:$D,"SPO",'caseload data'!$C:$C,'divisional &amp; regional caseload'!$B$36)</f>
        <v>0</v>
      </c>
      <c r="D41" s="98">
        <f>SUMIFS('caseload data'!F:F,'caseload data'!$D:$D,"SPO",'caseload data'!$C:$C,'divisional &amp; regional caseload'!$B$36)</f>
        <v>0</v>
      </c>
      <c r="E41" s="98">
        <f>SUMIFS('caseload data'!G:G,'caseload data'!$D:$D,"SPO",'caseload data'!$C:$C,'divisional &amp; regional caseload'!$B$36)</f>
        <v>0</v>
      </c>
      <c r="F41" s="98">
        <f>SUMIFS('caseload data'!H:H,'caseload data'!$D:$D,"SPO",'caseload data'!$C:$C,'divisional &amp; regional caseload'!$B$36)</f>
        <v>0</v>
      </c>
      <c r="G41" s="98">
        <f>SUMIFS('caseload data'!I:I,'caseload data'!$D:$D,"SPO",'caseload data'!$C:$C,'divisional &amp; regional caseload'!$B$36)</f>
        <v>0</v>
      </c>
      <c r="H41" s="98">
        <f>SUMIFS('caseload data'!J:J,'caseload data'!$D:$D,"SPO",'caseload data'!$C:$C,'divisional &amp; regional caseload'!$B$36)</f>
        <v>0</v>
      </c>
      <c r="I41" s="98">
        <f>SUMIFS('caseload data'!K:K,'caseload data'!$D:$D,"SPO",'caseload data'!$C:$C,'divisional &amp; regional caseload'!$B$36)</f>
        <v>0</v>
      </c>
      <c r="J41" s="98">
        <f>SUMIFS('caseload data'!L:L,'caseload data'!$D:$D,"SPO",'caseload data'!$C:$C,'divisional &amp; regional caseload'!$B$36)</f>
        <v>0</v>
      </c>
      <c r="K41" s="98">
        <f>SUMIFS('caseload data'!M:M,'caseload data'!$D:$D,"SPO",'caseload data'!$C:$C,'divisional &amp; regional caseload'!$B$36)</f>
        <v>0</v>
      </c>
      <c r="L41" s="98">
        <f>SUMIFS('caseload data'!N:N,'caseload data'!$D:$D,"SPO",'caseload data'!$C:$C,'divisional &amp; regional caseload'!$B$36)</f>
        <v>0</v>
      </c>
      <c r="M41" s="98">
        <f>SUMIFS('caseload data'!O:O,'caseload data'!$D:$D,"SPO",'caseload data'!$C:$C,'divisional &amp; regional caseload'!$B$36)</f>
        <v>0</v>
      </c>
      <c r="N41" s="98">
        <f>SUMIFS('caseload data'!P:P,'caseload data'!$D:$D,"SPO",'caseload data'!$C:$C,'divisional &amp; regional caseload'!$B$36)</f>
        <v>0</v>
      </c>
      <c r="O41" s="98">
        <f>SUMIFS('caseload data'!Q:Q,'caseload data'!$D:$D,"SPO",'caseload data'!$C:$C,'divisional &amp; regional caseload'!$B$36)</f>
        <v>0</v>
      </c>
      <c r="P41" s="98">
        <f>SUMIFS('caseload data'!R:R,'caseload data'!$D:$D,"SPO",'caseload data'!$C:$C,'divisional &amp; regional caseload'!$B$36)</f>
        <v>0</v>
      </c>
      <c r="Q41" s="98">
        <f>SUMIFS('caseload data'!S:S,'caseload data'!$D:$D,"SPO",'caseload data'!$C:$C,'divisional &amp; regional caseload'!$B$36)</f>
        <v>0</v>
      </c>
      <c r="R41" s="98">
        <f>SUMIFS('caseload data'!T:T,'caseload data'!$D:$D,"SPO",'caseload data'!$C:$C,'divisional &amp; regional caseload'!$B$36)</f>
        <v>0</v>
      </c>
      <c r="S41" s="95"/>
      <c r="T41" s="102" t="s">
        <v>1174</v>
      </c>
      <c r="U41" s="98">
        <f>SUMIFS('caseload data'!E:E,'caseload data'!$D:$D,"SPO",'caseload data'!$C:$C,'divisional &amp; regional caseload'!$T$36)</f>
        <v>0</v>
      </c>
      <c r="V41" s="98">
        <f>SUMIFS('caseload data'!F:F,'caseload data'!$D:$D,"SPO",'caseload data'!$C:$C,'divisional &amp; regional caseload'!$T$36)</f>
        <v>0</v>
      </c>
      <c r="W41" s="98">
        <f>SUMIFS('caseload data'!G:G,'caseload data'!$D:$D,"SPO",'caseload data'!$C:$C,'divisional &amp; regional caseload'!$T$36)</f>
        <v>0</v>
      </c>
      <c r="X41" s="98">
        <f>SUMIFS('caseload data'!H:H,'caseload data'!$D:$D,"SPO",'caseload data'!$C:$C,'divisional &amp; regional caseload'!$T$36)</f>
        <v>0</v>
      </c>
      <c r="Y41" s="98">
        <f>SUMIFS('caseload data'!I:I,'caseload data'!$D:$D,"SPO",'caseload data'!$C:$C,'divisional &amp; regional caseload'!$T$36)</f>
        <v>0</v>
      </c>
      <c r="Z41" s="98">
        <f>SUMIFS('caseload data'!J:J,'caseload data'!$D:$D,"SPO",'caseload data'!$C:$C,'divisional &amp; regional caseload'!$T$36)</f>
        <v>0</v>
      </c>
      <c r="AA41" s="98">
        <f>SUMIFS('caseload data'!K:K,'caseload data'!$D:$D,"SPO",'caseload data'!$C:$C,'divisional &amp; regional caseload'!$T$36)</f>
        <v>0</v>
      </c>
      <c r="AB41" s="98">
        <f>SUMIFS('caseload data'!L:L,'caseload data'!$D:$D,"SPO",'caseload data'!$C:$C,'divisional &amp; regional caseload'!$T$36)</f>
        <v>0</v>
      </c>
      <c r="AC41" s="98">
        <f>SUMIFS('caseload data'!M:M,'caseload data'!$D:$D,"SPO",'caseload data'!$C:$C,'divisional &amp; regional caseload'!$T$36)</f>
        <v>0</v>
      </c>
      <c r="AD41" s="98">
        <f>SUMIFS('caseload data'!N:N,'caseload data'!$D:$D,"SPO",'caseload data'!$C:$C,'divisional &amp; regional caseload'!$T$36)</f>
        <v>0</v>
      </c>
      <c r="AE41" s="98">
        <f>SUMIFS('caseload data'!O:O,'caseload data'!$D:$D,"SPO",'caseload data'!$C:$C,'divisional &amp; regional caseload'!$T$36)</f>
        <v>0</v>
      </c>
      <c r="AF41" s="98">
        <f>SUMIFS('caseload data'!P:P,'caseload data'!$D:$D,"SPO",'caseload data'!$C:$C,'divisional &amp; regional caseload'!$T$36)</f>
        <v>0</v>
      </c>
      <c r="AG41" s="98">
        <f>SUMIFS('caseload data'!Q:Q,'caseload data'!$D:$D,"SPO",'caseload data'!$C:$C,'divisional &amp; regional caseload'!$T$36)</f>
        <v>0</v>
      </c>
      <c r="AH41" s="98">
        <f>SUMIFS('caseload data'!R:R,'caseload data'!$D:$D,"SPO",'caseload data'!$C:$C,'divisional &amp; regional caseload'!$T$36)</f>
        <v>0</v>
      </c>
      <c r="AI41" s="98">
        <f>SUMIFS('caseload data'!S:S,'caseload data'!$D:$D,"SPO",'caseload data'!$C:$C,'divisional &amp; regional caseload'!$T$36)</f>
        <v>0</v>
      </c>
      <c r="AJ41" s="98">
        <f>SUMIFS('caseload data'!T:T,'caseload data'!$D:$D,"SPO",'caseload data'!$C:$C,'divisional &amp; regional caseload'!$T$36)</f>
        <v>0</v>
      </c>
    </row>
    <row r="42" spans="2:36" x14ac:dyDescent="0.15">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row>
    <row r="43" spans="2:36" ht="34.5" customHeight="1" x14ac:dyDescent="0.15">
      <c r="B43" s="302" t="str">
        <f>HLOOKUP($B$5,Region_Table,12,0)</f>
        <v>Hammersmith, Fulham, Kensington, Chelsea and Westminster</v>
      </c>
      <c r="C43" s="467" t="s">
        <v>1273</v>
      </c>
      <c r="D43" s="468"/>
      <c r="E43" s="468"/>
      <c r="F43" s="468"/>
      <c r="G43" s="468"/>
      <c r="H43" s="468"/>
      <c r="I43" s="468"/>
      <c r="J43" s="468"/>
      <c r="K43" s="468"/>
      <c r="L43" s="468"/>
      <c r="M43" s="472"/>
      <c r="N43" s="472"/>
      <c r="O43" s="473"/>
      <c r="P43" s="462">
        <f>SUMIF('caseload data'!$C:$C,'divisional &amp; regional caseload'!B43,'caseload data'!V:V)</f>
        <v>0</v>
      </c>
      <c r="Q43" s="463"/>
      <c r="R43" s="464"/>
      <c r="S43" s="95"/>
      <c r="T43" s="302" t="str">
        <f>HLOOKUP($B$5,Region_Table,13,0)</f>
        <v>Harrow and Barnet</v>
      </c>
      <c r="U43" s="467" t="s">
        <v>1271</v>
      </c>
      <c r="V43" s="468"/>
      <c r="W43" s="468"/>
      <c r="X43" s="468"/>
      <c r="Y43" s="468"/>
      <c r="Z43" s="468"/>
      <c r="AA43" s="468"/>
      <c r="AB43" s="468"/>
      <c r="AC43" s="468"/>
      <c r="AD43" s="468"/>
      <c r="AE43" s="468"/>
      <c r="AF43" s="468"/>
      <c r="AG43" s="469"/>
      <c r="AH43" s="462">
        <f>SUMIF('caseload data'!$C:$C,'divisional &amp; regional caseload'!T43,'caseload data'!V:V)</f>
        <v>0</v>
      </c>
      <c r="AI43" s="463"/>
      <c r="AJ43" s="464"/>
    </row>
    <row r="44" spans="2:36" x14ac:dyDescent="0.15">
      <c r="B44" s="99" t="s">
        <v>1170</v>
      </c>
      <c r="C44" s="40" t="s">
        <v>1022</v>
      </c>
      <c r="D44" s="40" t="s">
        <v>1023</v>
      </c>
      <c r="E44" s="40" t="s">
        <v>1024</v>
      </c>
      <c r="F44" s="40" t="s">
        <v>1025</v>
      </c>
      <c r="G44" s="40" t="s">
        <v>1026</v>
      </c>
      <c r="H44" s="40" t="s">
        <v>1027</v>
      </c>
      <c r="I44" s="40" t="s">
        <v>1028</v>
      </c>
      <c r="J44" s="40" t="s">
        <v>1029</v>
      </c>
      <c r="K44" s="40" t="s">
        <v>1030</v>
      </c>
      <c r="L44" s="40" t="s">
        <v>1031</v>
      </c>
      <c r="M44" s="40" t="s">
        <v>1032</v>
      </c>
      <c r="N44" s="40" t="s">
        <v>1033</v>
      </c>
      <c r="O44" s="40" t="s">
        <v>1034</v>
      </c>
      <c r="P44" s="40" t="s">
        <v>1035</v>
      </c>
      <c r="Q44" s="40" t="s">
        <v>1036</v>
      </c>
      <c r="R44" s="40" t="s">
        <v>1037</v>
      </c>
      <c r="S44" s="95"/>
      <c r="T44" s="99" t="s">
        <v>1170</v>
      </c>
      <c r="U44" s="40" t="s">
        <v>1022</v>
      </c>
      <c r="V44" s="40" t="s">
        <v>1023</v>
      </c>
      <c r="W44" s="40" t="s">
        <v>1024</v>
      </c>
      <c r="X44" s="40" t="s">
        <v>1025</v>
      </c>
      <c r="Y44" s="40" t="s">
        <v>1026</v>
      </c>
      <c r="Z44" s="40" t="s">
        <v>1027</v>
      </c>
      <c r="AA44" s="40" t="s">
        <v>1028</v>
      </c>
      <c r="AB44" s="40" t="s">
        <v>1029</v>
      </c>
      <c r="AC44" s="40" t="s">
        <v>1030</v>
      </c>
      <c r="AD44" s="40" t="s">
        <v>1031</v>
      </c>
      <c r="AE44" s="40" t="s">
        <v>1032</v>
      </c>
      <c r="AF44" s="40" t="s">
        <v>1033</v>
      </c>
      <c r="AG44" s="40" t="s">
        <v>1034</v>
      </c>
      <c r="AH44" s="40" t="s">
        <v>1035</v>
      </c>
      <c r="AI44" s="40" t="s">
        <v>1036</v>
      </c>
      <c r="AJ44" s="40" t="s">
        <v>1037</v>
      </c>
    </row>
    <row r="45" spans="2:36" x14ac:dyDescent="0.15">
      <c r="B45" s="100" t="s">
        <v>1166</v>
      </c>
      <c r="C45" s="98">
        <f>SUMIFS('caseload data'!E:E,'caseload data'!$D:$D,"PO",'caseload data'!$C:$C,'divisional &amp; regional caseload'!$B$43)</f>
        <v>0</v>
      </c>
      <c r="D45" s="98">
        <f>SUMIFS('caseload data'!F:F,'caseload data'!$D:$D,"PO",'caseload data'!$C:$C,'divisional &amp; regional caseload'!$B$43)</f>
        <v>0</v>
      </c>
      <c r="E45" s="98">
        <f>SUMIFS('caseload data'!G:G,'caseload data'!$D:$D,"PO",'caseload data'!$C:$C,'divisional &amp; regional caseload'!$B$43)</f>
        <v>0</v>
      </c>
      <c r="F45" s="98">
        <f>SUMIFS('caseload data'!H:H,'caseload data'!$D:$D,"PO",'caseload data'!$C:$C,'divisional &amp; regional caseload'!$B$43)</f>
        <v>0</v>
      </c>
      <c r="G45" s="98">
        <f>SUMIFS('caseload data'!I:I,'caseload data'!$D:$D,"PO",'caseload data'!$C:$C,'divisional &amp; regional caseload'!$B$43)</f>
        <v>0</v>
      </c>
      <c r="H45" s="98">
        <f>SUMIFS('caseload data'!J:J,'caseload data'!$D:$D,"PO",'caseload data'!$C:$C,'divisional &amp; regional caseload'!$B$43)</f>
        <v>0</v>
      </c>
      <c r="I45" s="98">
        <f>SUMIFS('caseload data'!K:K,'caseload data'!$D:$D,"PO",'caseload data'!$C:$C,'divisional &amp; regional caseload'!$B$43)</f>
        <v>0</v>
      </c>
      <c r="J45" s="98">
        <f>SUMIFS('caseload data'!L:L,'caseload data'!$D:$D,"PO",'caseload data'!$C:$C,'divisional &amp; regional caseload'!$B$43)</f>
        <v>0</v>
      </c>
      <c r="K45" s="98">
        <f>SUMIFS('caseload data'!M:M,'caseload data'!$D:$D,"PO",'caseload data'!$C:$C,'divisional &amp; regional caseload'!$B$43)</f>
        <v>0</v>
      </c>
      <c r="L45" s="98">
        <f>SUMIFS('caseload data'!N:N,'caseload data'!$D:$D,"PO",'caseload data'!$C:$C,'divisional &amp; regional caseload'!$B$43)</f>
        <v>0</v>
      </c>
      <c r="M45" s="98">
        <f>SUMIFS('caseload data'!O:O,'caseload data'!$D:$D,"PO",'caseload data'!$C:$C,'divisional &amp; regional caseload'!$B$43)</f>
        <v>0</v>
      </c>
      <c r="N45" s="98">
        <f>SUMIFS('caseload data'!P:P,'caseload data'!$D:$D,"PO",'caseload data'!$C:$C,'divisional &amp; regional caseload'!$B$43)</f>
        <v>0</v>
      </c>
      <c r="O45" s="98">
        <f>SUMIFS('caseload data'!Q:Q,'caseload data'!$D:$D,"PO",'caseload data'!$C:$C,'divisional &amp; regional caseload'!$B$43)</f>
        <v>0</v>
      </c>
      <c r="P45" s="98">
        <f>SUMIFS('caseload data'!R:R,'caseload data'!$D:$D,"PO",'caseload data'!$C:$C,'divisional &amp; regional caseload'!$B$43)</f>
        <v>0</v>
      </c>
      <c r="Q45" s="98">
        <f>SUMIFS('caseload data'!S:S,'caseload data'!$D:$D,"PO",'caseload data'!$C:$C,'divisional &amp; regional caseload'!$B$43)</f>
        <v>0</v>
      </c>
      <c r="R45" s="98">
        <f>SUMIFS('caseload data'!T:T,'caseload data'!$D:$D,"PO",'caseload data'!$C:$C,'divisional &amp; regional caseload'!$B$43)</f>
        <v>0</v>
      </c>
      <c r="S45" s="95"/>
      <c r="T45" s="100" t="s">
        <v>1166</v>
      </c>
      <c r="U45" s="98">
        <f>SUMIFS('caseload data'!E:E,'caseload data'!$D:$D,"PO",'caseload data'!$C:$C,'divisional &amp; regional caseload'!$T$43)</f>
        <v>0</v>
      </c>
      <c r="V45" s="98">
        <f>SUMIFS('caseload data'!F:F,'caseload data'!$D:$D,"PO",'caseload data'!$C:$C,'divisional &amp; regional caseload'!$T$43)</f>
        <v>0</v>
      </c>
      <c r="W45" s="98">
        <f>SUMIFS('caseload data'!G:G,'caseload data'!$D:$D,"PO",'caseload data'!$C:$C,'divisional &amp; regional caseload'!$T$43)</f>
        <v>0</v>
      </c>
      <c r="X45" s="98">
        <f>SUMIFS('caseload data'!H:H,'caseload data'!$D:$D,"PO",'caseload data'!$C:$C,'divisional &amp; regional caseload'!$T$43)</f>
        <v>0</v>
      </c>
      <c r="Y45" s="98">
        <f>SUMIFS('caseload data'!I:I,'caseload data'!$D:$D,"PO",'caseload data'!$C:$C,'divisional &amp; regional caseload'!$T$43)</f>
        <v>0</v>
      </c>
      <c r="Z45" s="98">
        <f>SUMIFS('caseload data'!J:J,'caseload data'!$D:$D,"PO",'caseload data'!$C:$C,'divisional &amp; regional caseload'!$T$43)</f>
        <v>0</v>
      </c>
      <c r="AA45" s="98">
        <f>SUMIFS('caseload data'!K:K,'caseload data'!$D:$D,"PO",'caseload data'!$C:$C,'divisional &amp; regional caseload'!$T$43)</f>
        <v>0</v>
      </c>
      <c r="AB45" s="98">
        <f>SUMIFS('caseload data'!L:L,'caseload data'!$D:$D,"PO",'caseload data'!$C:$C,'divisional &amp; regional caseload'!$T$43)</f>
        <v>0</v>
      </c>
      <c r="AC45" s="98">
        <f>SUMIFS('caseload data'!M:M,'caseload data'!$D:$D,"PO",'caseload data'!$C:$C,'divisional &amp; regional caseload'!$T$43)</f>
        <v>0</v>
      </c>
      <c r="AD45" s="98">
        <f>SUMIFS('caseload data'!N:N,'caseload data'!$D:$D,"PO",'caseload data'!$C:$C,'divisional &amp; regional caseload'!$T$43)</f>
        <v>0</v>
      </c>
      <c r="AE45" s="98">
        <f>SUMIFS('caseload data'!O:O,'caseload data'!$D:$D,"PO",'caseload data'!$C:$C,'divisional &amp; regional caseload'!$T$43)</f>
        <v>0</v>
      </c>
      <c r="AF45" s="98">
        <f>SUMIFS('caseload data'!P:P,'caseload data'!$D:$D,"PO",'caseload data'!$C:$C,'divisional &amp; regional caseload'!$T$43)</f>
        <v>0</v>
      </c>
      <c r="AG45" s="98">
        <f>SUMIFS('caseload data'!Q:Q,'caseload data'!$D:$D,"PO",'caseload data'!$C:$C,'divisional &amp; regional caseload'!$T$43)</f>
        <v>0</v>
      </c>
      <c r="AH45" s="98">
        <f>SUMIFS('caseload data'!R:R,'caseload data'!$D:$D,"PO",'caseload data'!$C:$C,'divisional &amp; regional caseload'!$T$43)</f>
        <v>0</v>
      </c>
      <c r="AI45" s="98">
        <f>SUMIFS('caseload data'!S:S,'caseload data'!$D:$D,"PO",'caseload data'!$C:$C,'divisional &amp; regional caseload'!$T$43)</f>
        <v>0</v>
      </c>
      <c r="AJ45" s="98">
        <f>SUMIFS('caseload data'!T:T,'caseload data'!$D:$D,"PO",'caseload data'!$C:$C,'divisional &amp; regional caseload'!$T$43)</f>
        <v>0</v>
      </c>
    </row>
    <row r="46" spans="2:36" x14ac:dyDescent="0.15">
      <c r="B46" s="101" t="s">
        <v>1172</v>
      </c>
      <c r="C46" s="98">
        <f>SUMIFS('caseload data'!E:E,'caseload data'!$D:$D,"PSO",'caseload data'!$C:$C,'divisional &amp; regional caseload'!$B$43)</f>
        <v>0</v>
      </c>
      <c r="D46" s="98">
        <f>SUMIFS('caseload data'!F:F,'caseload data'!$D:$D,"PSO",'caseload data'!$C:$C,'divisional &amp; regional caseload'!$B$43)</f>
        <v>0</v>
      </c>
      <c r="E46" s="98">
        <f>SUMIFS('caseload data'!G:G,'caseload data'!$D:$D,"PSO",'caseload data'!$C:$C,'divisional &amp; regional caseload'!$B$43)</f>
        <v>0</v>
      </c>
      <c r="F46" s="98">
        <f>SUMIFS('caseload data'!H:H,'caseload data'!$D:$D,"PSO",'caseload data'!$C:$C,'divisional &amp; regional caseload'!$B$43)</f>
        <v>0</v>
      </c>
      <c r="G46" s="98">
        <f>SUMIFS('caseload data'!I:I,'caseload data'!$D:$D,"PSO",'caseload data'!$C:$C,'divisional &amp; regional caseload'!$B$43)</f>
        <v>0</v>
      </c>
      <c r="H46" s="98">
        <f>SUMIFS('caseload data'!J:J,'caseload data'!$D:$D,"PSO",'caseload data'!$C:$C,'divisional &amp; regional caseload'!$B$43)</f>
        <v>0</v>
      </c>
      <c r="I46" s="98">
        <f>SUMIFS('caseload data'!K:K,'caseload data'!$D:$D,"PSO",'caseload data'!$C:$C,'divisional &amp; regional caseload'!$B$43)</f>
        <v>0</v>
      </c>
      <c r="J46" s="98">
        <f>SUMIFS('caseload data'!L:L,'caseload data'!$D:$D,"PSO",'caseload data'!$C:$C,'divisional &amp; regional caseload'!$B$43)</f>
        <v>0</v>
      </c>
      <c r="K46" s="98">
        <f>SUMIFS('caseload data'!M:M,'caseload data'!$D:$D,"PSO",'caseload data'!$C:$C,'divisional &amp; regional caseload'!$B$43)</f>
        <v>0</v>
      </c>
      <c r="L46" s="98">
        <f>SUMIFS('caseload data'!N:N,'caseload data'!$D:$D,"PSO",'caseload data'!$C:$C,'divisional &amp; regional caseload'!$B$43)</f>
        <v>0</v>
      </c>
      <c r="M46" s="98">
        <f>SUMIFS('caseload data'!O:O,'caseload data'!$D:$D,"PSO",'caseload data'!$C:$C,'divisional &amp; regional caseload'!$B$43)</f>
        <v>0</v>
      </c>
      <c r="N46" s="98">
        <f>SUMIFS('caseload data'!P:P,'caseload data'!$D:$D,"PSO",'caseload data'!$C:$C,'divisional &amp; regional caseload'!$B$43)</f>
        <v>0</v>
      </c>
      <c r="O46" s="98">
        <f>SUMIFS('caseload data'!Q:Q,'caseload data'!$D:$D,"PSO",'caseload data'!$C:$C,'divisional &amp; regional caseload'!$B$43)</f>
        <v>0</v>
      </c>
      <c r="P46" s="98">
        <f>SUMIFS('caseload data'!R:R,'caseload data'!$D:$D,"PSO",'caseload data'!$C:$C,'divisional &amp; regional caseload'!$B$43)</f>
        <v>0</v>
      </c>
      <c r="Q46" s="98">
        <f>SUMIFS('caseload data'!S:S,'caseload data'!$D:$D,"PSO",'caseload data'!$C:$C,'divisional &amp; regional caseload'!$B$43)</f>
        <v>0</v>
      </c>
      <c r="R46" s="98">
        <f>SUMIFS('caseload data'!T:T,'caseload data'!$D:$D,"PSO",'caseload data'!$C:$C,'divisional &amp; regional caseload'!$B$43)</f>
        <v>0</v>
      </c>
      <c r="S46" s="95"/>
      <c r="T46" s="101" t="s">
        <v>1172</v>
      </c>
      <c r="U46" s="98">
        <f>SUMIFS('caseload data'!E:E,'caseload data'!$D:$D,"PSO",'caseload data'!$C:$C,'divisional &amp; regional caseload'!$T$43)</f>
        <v>0</v>
      </c>
      <c r="V46" s="98">
        <f>SUMIFS('caseload data'!F:F,'caseload data'!$D:$D,"PSO",'caseload data'!$C:$C,'divisional &amp; regional caseload'!$T$43)</f>
        <v>0</v>
      </c>
      <c r="W46" s="98">
        <f>SUMIFS('caseload data'!G:G,'caseload data'!$D:$D,"PSO",'caseload data'!$C:$C,'divisional &amp; regional caseload'!$T$43)</f>
        <v>0</v>
      </c>
      <c r="X46" s="98">
        <f>SUMIFS('caseload data'!H:H,'caseload data'!$D:$D,"PSO",'caseload data'!$C:$C,'divisional &amp; regional caseload'!$T$43)</f>
        <v>0</v>
      </c>
      <c r="Y46" s="98">
        <f>SUMIFS('caseload data'!I:I,'caseload data'!$D:$D,"PSO",'caseload data'!$C:$C,'divisional &amp; regional caseload'!$T$43)</f>
        <v>0</v>
      </c>
      <c r="Z46" s="98">
        <f>SUMIFS('caseload data'!J:J,'caseload data'!$D:$D,"PSO",'caseload data'!$C:$C,'divisional &amp; regional caseload'!$T$43)</f>
        <v>0</v>
      </c>
      <c r="AA46" s="98">
        <f>SUMIFS('caseload data'!K:K,'caseload data'!$D:$D,"PSO",'caseload data'!$C:$C,'divisional &amp; regional caseload'!$T$43)</f>
        <v>0</v>
      </c>
      <c r="AB46" s="98">
        <f>SUMIFS('caseload data'!L:L,'caseload data'!$D:$D,"PSO",'caseload data'!$C:$C,'divisional &amp; regional caseload'!$T$43)</f>
        <v>0</v>
      </c>
      <c r="AC46" s="98">
        <f>SUMIFS('caseload data'!M:M,'caseload data'!$D:$D,"PSO",'caseload data'!$C:$C,'divisional &amp; regional caseload'!$T$43)</f>
        <v>0</v>
      </c>
      <c r="AD46" s="98">
        <f>SUMIFS('caseload data'!N:N,'caseload data'!$D:$D,"PSO",'caseload data'!$C:$C,'divisional &amp; regional caseload'!$T$43)</f>
        <v>0</v>
      </c>
      <c r="AE46" s="98">
        <f>SUMIFS('caseload data'!O:O,'caseload data'!$D:$D,"PSO",'caseload data'!$C:$C,'divisional &amp; regional caseload'!$T$43)</f>
        <v>0</v>
      </c>
      <c r="AF46" s="98">
        <f>SUMIFS('caseload data'!P:P,'caseload data'!$D:$D,"PSO",'caseload data'!$C:$C,'divisional &amp; regional caseload'!$T$43)</f>
        <v>0</v>
      </c>
      <c r="AG46" s="98">
        <f>SUMIFS('caseload data'!Q:Q,'caseload data'!$D:$D,"PSO",'caseload data'!$C:$C,'divisional &amp; regional caseload'!$T$43)</f>
        <v>0</v>
      </c>
      <c r="AH46" s="98">
        <f>SUMIFS('caseload data'!R:R,'caseload data'!$D:$D,"PSO",'caseload data'!$C:$C,'divisional &amp; regional caseload'!$T$43)</f>
        <v>0</v>
      </c>
      <c r="AI46" s="98">
        <f>SUMIFS('caseload data'!S:S,'caseload data'!$D:$D,"PSO",'caseload data'!$C:$C,'divisional &amp; regional caseload'!$T$43)</f>
        <v>0</v>
      </c>
      <c r="AJ46" s="98">
        <f>SUMIFS('caseload data'!T:T,'caseload data'!$D:$D,"PSO",'caseload data'!$C:$C,'divisional &amp; regional caseload'!$T$43)</f>
        <v>0</v>
      </c>
    </row>
    <row r="47" spans="2:36" x14ac:dyDescent="0.15">
      <c r="B47" s="101" t="s">
        <v>1173</v>
      </c>
      <c r="C47" s="98">
        <f>SUMIFS('caseload data'!E:E,'caseload data'!$D:$D,"TPO",'caseload data'!$C:$C,'divisional &amp; regional caseload'!$B$43)</f>
        <v>0</v>
      </c>
      <c r="D47" s="98">
        <f>SUMIFS('caseload data'!F:F,'caseload data'!$D:$D,"TPO",'caseload data'!$C:$C,'divisional &amp; regional caseload'!$B$43)</f>
        <v>0</v>
      </c>
      <c r="E47" s="98">
        <f>SUMIFS('caseload data'!G:G,'caseload data'!$D:$D,"TPO",'caseload data'!$C:$C,'divisional &amp; regional caseload'!$B$43)</f>
        <v>0</v>
      </c>
      <c r="F47" s="98">
        <f>SUMIFS('caseload data'!H:H,'caseload data'!$D:$D,"TPO",'caseload data'!$C:$C,'divisional &amp; regional caseload'!$B$43)</f>
        <v>0</v>
      </c>
      <c r="G47" s="98">
        <f>SUMIFS('caseload data'!I:I,'caseload data'!$D:$D,"TPO",'caseload data'!$C:$C,'divisional &amp; regional caseload'!$B$43)</f>
        <v>0</v>
      </c>
      <c r="H47" s="98">
        <f>SUMIFS('caseload data'!J:J,'caseload data'!$D:$D,"TPO",'caseload data'!$C:$C,'divisional &amp; regional caseload'!$B$43)</f>
        <v>0</v>
      </c>
      <c r="I47" s="98">
        <f>SUMIFS('caseload data'!K:K,'caseload data'!$D:$D,"TPO",'caseload data'!$C:$C,'divisional &amp; regional caseload'!$B$43)</f>
        <v>0</v>
      </c>
      <c r="J47" s="98">
        <f>SUMIFS('caseload data'!L:L,'caseload data'!$D:$D,"TPO",'caseload data'!$C:$C,'divisional &amp; regional caseload'!$B$43)</f>
        <v>0</v>
      </c>
      <c r="K47" s="98">
        <f>SUMIFS('caseload data'!M:M,'caseload data'!$D:$D,"TPO",'caseload data'!$C:$C,'divisional &amp; regional caseload'!$B$43)</f>
        <v>0</v>
      </c>
      <c r="L47" s="98">
        <f>SUMIFS('caseload data'!N:N,'caseload data'!$D:$D,"TPO",'caseload data'!$C:$C,'divisional &amp; regional caseload'!$B$43)</f>
        <v>0</v>
      </c>
      <c r="M47" s="98">
        <f>SUMIFS('caseload data'!O:O,'caseload data'!$D:$D,"TPO",'caseload data'!$C:$C,'divisional &amp; regional caseload'!$B$43)</f>
        <v>0</v>
      </c>
      <c r="N47" s="98">
        <f>SUMIFS('caseload data'!P:P,'caseload data'!$D:$D,"TPO",'caseload data'!$C:$C,'divisional &amp; regional caseload'!$B$43)</f>
        <v>0</v>
      </c>
      <c r="O47" s="98">
        <f>SUMIFS('caseload data'!Q:Q,'caseload data'!$D:$D,"TPO",'caseload data'!$C:$C,'divisional &amp; regional caseload'!$B$43)</f>
        <v>0</v>
      </c>
      <c r="P47" s="98">
        <f>SUMIFS('caseload data'!R:R,'caseload data'!$D:$D,"TPO",'caseload data'!$C:$C,'divisional &amp; regional caseload'!$B$43)</f>
        <v>0</v>
      </c>
      <c r="Q47" s="98">
        <f>SUMIFS('caseload data'!S:S,'caseload data'!$D:$D,"TPO",'caseload data'!$C:$C,'divisional &amp; regional caseload'!$B$43)</f>
        <v>0</v>
      </c>
      <c r="R47" s="98">
        <f>SUMIFS('caseload data'!T:T,'caseload data'!$D:$D,"TPO",'caseload data'!$C:$C,'divisional &amp; regional caseload'!$B$43)</f>
        <v>0</v>
      </c>
      <c r="S47" s="95"/>
      <c r="T47" s="101" t="s">
        <v>1173</v>
      </c>
      <c r="U47" s="98">
        <f>SUMIFS('caseload data'!E:E,'caseload data'!$D:$D,"TPO",'caseload data'!$C:$C,'divisional &amp; regional caseload'!$T$43)</f>
        <v>0</v>
      </c>
      <c r="V47" s="98">
        <f>SUMIFS('caseload data'!F:F,'caseload data'!$D:$D,"TPO",'caseload data'!$C:$C,'divisional &amp; regional caseload'!$T$43)</f>
        <v>0</v>
      </c>
      <c r="W47" s="98">
        <f>SUMIFS('caseload data'!G:G,'caseload data'!$D:$D,"TPO",'caseload data'!$C:$C,'divisional &amp; regional caseload'!$T$43)</f>
        <v>0</v>
      </c>
      <c r="X47" s="98">
        <f>SUMIFS('caseload data'!H:H,'caseload data'!$D:$D,"TPO",'caseload data'!$C:$C,'divisional &amp; regional caseload'!$T$43)</f>
        <v>0</v>
      </c>
      <c r="Y47" s="98">
        <f>SUMIFS('caseload data'!I:I,'caseload data'!$D:$D,"TPO",'caseload data'!$C:$C,'divisional &amp; regional caseload'!$T$43)</f>
        <v>0</v>
      </c>
      <c r="Z47" s="98">
        <f>SUMIFS('caseload data'!J:J,'caseload data'!$D:$D,"TPO",'caseload data'!$C:$C,'divisional &amp; regional caseload'!$T$43)</f>
        <v>0</v>
      </c>
      <c r="AA47" s="98">
        <f>SUMIFS('caseload data'!K:K,'caseload data'!$D:$D,"TPO",'caseload data'!$C:$C,'divisional &amp; regional caseload'!$T$43)</f>
        <v>0</v>
      </c>
      <c r="AB47" s="98">
        <f>SUMIFS('caseload data'!L:L,'caseload data'!$D:$D,"TPO",'caseload data'!$C:$C,'divisional &amp; regional caseload'!$T$43)</f>
        <v>0</v>
      </c>
      <c r="AC47" s="98">
        <f>SUMIFS('caseload data'!M:M,'caseload data'!$D:$D,"TPO",'caseload data'!$C:$C,'divisional &amp; regional caseload'!$T$43)</f>
        <v>0</v>
      </c>
      <c r="AD47" s="98">
        <f>SUMIFS('caseload data'!N:N,'caseload data'!$D:$D,"TPO",'caseload data'!$C:$C,'divisional &amp; regional caseload'!$T$43)</f>
        <v>0</v>
      </c>
      <c r="AE47" s="98">
        <f>SUMIFS('caseload data'!O:O,'caseload data'!$D:$D,"TPO",'caseload data'!$C:$C,'divisional &amp; regional caseload'!$T$43)</f>
        <v>0</v>
      </c>
      <c r="AF47" s="98">
        <f>SUMIFS('caseload data'!P:P,'caseload data'!$D:$D,"TPO",'caseload data'!$C:$C,'divisional &amp; regional caseload'!$T$43)</f>
        <v>0</v>
      </c>
      <c r="AG47" s="98">
        <f>SUMIFS('caseload data'!Q:Q,'caseload data'!$D:$D,"TPO",'caseload data'!$C:$C,'divisional &amp; regional caseload'!$T$43)</f>
        <v>0</v>
      </c>
      <c r="AH47" s="98">
        <f>SUMIFS('caseload data'!R:R,'caseload data'!$D:$D,"TPO",'caseload data'!$C:$C,'divisional &amp; regional caseload'!$T$43)</f>
        <v>0</v>
      </c>
      <c r="AI47" s="98">
        <f>SUMIFS('caseload data'!S:S,'caseload data'!$D:$D,"TPO",'caseload data'!$C:$C,'divisional &amp; regional caseload'!$T$43)</f>
        <v>0</v>
      </c>
      <c r="AJ47" s="98">
        <f>SUMIFS('caseload data'!T:T,'caseload data'!$D:$D,"TPO",'caseload data'!$C:$C,'divisional &amp; regional caseload'!$T$43)</f>
        <v>0</v>
      </c>
    </row>
    <row r="48" spans="2:36" x14ac:dyDescent="0.15">
      <c r="B48" s="102" t="s">
        <v>1174</v>
      </c>
      <c r="C48" s="98">
        <f>SUMIFS('caseload data'!E:E,'caseload data'!$D:$D,"SPO",'caseload data'!$C:$C,'divisional &amp; regional caseload'!$B$43)</f>
        <v>0</v>
      </c>
      <c r="D48" s="98">
        <f>SUMIFS('caseload data'!F:F,'caseload data'!$D:$D,"SPO",'caseload data'!$C:$C,'divisional &amp; regional caseload'!$B$43)</f>
        <v>0</v>
      </c>
      <c r="E48" s="98">
        <f>SUMIFS('caseload data'!G:G,'caseload data'!$D:$D,"SPO",'caseload data'!$C:$C,'divisional &amp; regional caseload'!$B$43)</f>
        <v>0</v>
      </c>
      <c r="F48" s="98">
        <f>SUMIFS('caseload data'!H:H,'caseload data'!$D:$D,"SPO",'caseload data'!$C:$C,'divisional &amp; regional caseload'!$B$43)</f>
        <v>0</v>
      </c>
      <c r="G48" s="98">
        <f>SUMIFS('caseload data'!I:I,'caseload data'!$D:$D,"SPO",'caseload data'!$C:$C,'divisional &amp; regional caseload'!$B$43)</f>
        <v>0</v>
      </c>
      <c r="H48" s="98">
        <f>SUMIFS('caseload data'!J:J,'caseload data'!$D:$D,"SPO",'caseload data'!$C:$C,'divisional &amp; regional caseload'!$B$43)</f>
        <v>0</v>
      </c>
      <c r="I48" s="98">
        <f>SUMIFS('caseload data'!K:K,'caseload data'!$D:$D,"SPO",'caseload data'!$C:$C,'divisional &amp; regional caseload'!$B$43)</f>
        <v>0</v>
      </c>
      <c r="J48" s="98">
        <f>SUMIFS('caseload data'!L:L,'caseload data'!$D:$D,"SPO",'caseload data'!$C:$C,'divisional &amp; regional caseload'!$B$43)</f>
        <v>0</v>
      </c>
      <c r="K48" s="98">
        <f>SUMIFS('caseload data'!M:M,'caseload data'!$D:$D,"SPO",'caseload data'!$C:$C,'divisional &amp; regional caseload'!$B$43)</f>
        <v>0</v>
      </c>
      <c r="L48" s="98">
        <f>SUMIFS('caseload data'!N:N,'caseload data'!$D:$D,"SPO",'caseload data'!$C:$C,'divisional &amp; regional caseload'!$B$43)</f>
        <v>0</v>
      </c>
      <c r="M48" s="98">
        <f>SUMIFS('caseload data'!O:O,'caseload data'!$D:$D,"SPO",'caseload data'!$C:$C,'divisional &amp; regional caseload'!$B$43)</f>
        <v>0</v>
      </c>
      <c r="N48" s="98">
        <f>SUMIFS('caseload data'!P:P,'caseload data'!$D:$D,"SPO",'caseload data'!$C:$C,'divisional &amp; regional caseload'!$B$43)</f>
        <v>0</v>
      </c>
      <c r="O48" s="98">
        <f>SUMIFS('caseload data'!Q:Q,'caseload data'!$D:$D,"SPO",'caseload data'!$C:$C,'divisional &amp; regional caseload'!$B$43)</f>
        <v>0</v>
      </c>
      <c r="P48" s="98">
        <f>SUMIFS('caseload data'!R:R,'caseload data'!$D:$D,"SPO",'caseload data'!$C:$C,'divisional &amp; regional caseload'!$B$43)</f>
        <v>0</v>
      </c>
      <c r="Q48" s="98">
        <f>SUMIFS('caseload data'!S:S,'caseload data'!$D:$D,"SPO",'caseload data'!$C:$C,'divisional &amp; regional caseload'!$B$43)</f>
        <v>0</v>
      </c>
      <c r="R48" s="98">
        <f>SUMIFS('caseload data'!T:T,'caseload data'!$D:$D,"SPO",'caseload data'!$C:$C,'divisional &amp; regional caseload'!$B$43)</f>
        <v>0</v>
      </c>
      <c r="S48" s="95"/>
      <c r="T48" s="102" t="s">
        <v>1174</v>
      </c>
      <c r="U48" s="98">
        <f>SUMIFS('caseload data'!E:E,'caseload data'!$D:$D,"SPO",'caseload data'!$C:$C,'divisional &amp; regional caseload'!$T$43)</f>
        <v>0</v>
      </c>
      <c r="V48" s="98">
        <f>SUMIFS('caseload data'!F:F,'caseload data'!$D:$D,"SPO",'caseload data'!$C:$C,'divisional &amp; regional caseload'!$T$43)</f>
        <v>0</v>
      </c>
      <c r="W48" s="98">
        <f>SUMIFS('caseload data'!G:G,'caseload data'!$D:$D,"SPO",'caseload data'!$C:$C,'divisional &amp; regional caseload'!$T$43)</f>
        <v>0</v>
      </c>
      <c r="X48" s="98">
        <f>SUMIFS('caseload data'!H:H,'caseload data'!$D:$D,"SPO",'caseload data'!$C:$C,'divisional &amp; regional caseload'!$T$43)</f>
        <v>0</v>
      </c>
      <c r="Y48" s="98">
        <f>SUMIFS('caseload data'!I:I,'caseload data'!$D:$D,"SPO",'caseload data'!$C:$C,'divisional &amp; regional caseload'!$T$43)</f>
        <v>0</v>
      </c>
      <c r="Z48" s="98">
        <f>SUMIFS('caseload data'!J:J,'caseload data'!$D:$D,"SPO",'caseload data'!$C:$C,'divisional &amp; regional caseload'!$T$43)</f>
        <v>0</v>
      </c>
      <c r="AA48" s="98">
        <f>SUMIFS('caseload data'!K:K,'caseload data'!$D:$D,"SPO",'caseload data'!$C:$C,'divisional &amp; regional caseload'!$T$43)</f>
        <v>0</v>
      </c>
      <c r="AB48" s="98">
        <f>SUMIFS('caseload data'!L:L,'caseload data'!$D:$D,"SPO",'caseload data'!$C:$C,'divisional &amp; regional caseload'!$T$43)</f>
        <v>0</v>
      </c>
      <c r="AC48" s="98">
        <f>SUMIFS('caseload data'!M:M,'caseload data'!$D:$D,"SPO",'caseload data'!$C:$C,'divisional &amp; regional caseload'!$T$43)</f>
        <v>0</v>
      </c>
      <c r="AD48" s="98">
        <f>SUMIFS('caseload data'!N:N,'caseload data'!$D:$D,"SPO",'caseload data'!$C:$C,'divisional &amp; regional caseload'!$T$43)</f>
        <v>0</v>
      </c>
      <c r="AE48" s="98">
        <f>SUMIFS('caseload data'!O:O,'caseload data'!$D:$D,"SPO",'caseload data'!$C:$C,'divisional &amp; regional caseload'!$T$43)</f>
        <v>0</v>
      </c>
      <c r="AF48" s="98">
        <f>SUMIFS('caseload data'!P:P,'caseload data'!$D:$D,"SPO",'caseload data'!$C:$C,'divisional &amp; regional caseload'!$T$43)</f>
        <v>0</v>
      </c>
      <c r="AG48" s="98">
        <f>SUMIFS('caseload data'!Q:Q,'caseload data'!$D:$D,"SPO",'caseload data'!$C:$C,'divisional &amp; regional caseload'!$T$43)</f>
        <v>0</v>
      </c>
      <c r="AH48" s="98">
        <f>SUMIFS('caseload data'!R:R,'caseload data'!$D:$D,"SPO",'caseload data'!$C:$C,'divisional &amp; regional caseload'!$T$43)</f>
        <v>0</v>
      </c>
      <c r="AI48" s="98">
        <f>SUMIFS('caseload data'!S:S,'caseload data'!$D:$D,"SPO",'caseload data'!$C:$C,'divisional &amp; regional caseload'!$T$43)</f>
        <v>0</v>
      </c>
      <c r="AJ48" s="98">
        <f>SUMIFS('caseload data'!T:T,'caseload data'!$D:$D,"SPO",'caseload data'!$C:$C,'divisional &amp; regional caseload'!$T$43)</f>
        <v>0</v>
      </c>
    </row>
    <row r="49" spans="2:36" x14ac:dyDescent="0.15">
      <c r="B49" s="95"/>
      <c r="C49" s="95"/>
      <c r="D49" s="95"/>
      <c r="E49" s="95"/>
      <c r="F49" s="95"/>
      <c r="G49" s="95"/>
      <c r="H49" s="95"/>
      <c r="I49" s="95"/>
      <c r="J49" s="95"/>
      <c r="K49" s="95"/>
      <c r="L49" s="95"/>
      <c r="M49" s="95"/>
      <c r="N49" s="95"/>
      <c r="O49" s="95"/>
      <c r="P49" s="95"/>
      <c r="Q49" s="95"/>
      <c r="R49" s="95"/>
      <c r="S49" s="95"/>
      <c r="T49" s="95"/>
      <c r="U49" s="95"/>
      <c r="V49" s="95"/>
      <c r="W49" s="95"/>
      <c r="X49" s="95"/>
      <c r="Y49" s="95"/>
      <c r="Z49" s="95"/>
      <c r="AA49" s="95"/>
    </row>
    <row r="50" spans="2:36" ht="30" customHeight="1" x14ac:dyDescent="0.15">
      <c r="B50" s="302" t="str">
        <f>HLOOKUP($B$5,Region_Table,14,0)</f>
        <v>Inactive Level 2(N07)</v>
      </c>
      <c r="C50" s="467" t="s">
        <v>1271</v>
      </c>
      <c r="D50" s="468"/>
      <c r="E50" s="468"/>
      <c r="F50" s="468"/>
      <c r="G50" s="468"/>
      <c r="H50" s="468"/>
      <c r="I50" s="468"/>
      <c r="J50" s="468"/>
      <c r="K50" s="468"/>
      <c r="L50" s="468"/>
      <c r="M50" s="472"/>
      <c r="N50" s="472"/>
      <c r="O50" s="473"/>
      <c r="P50" s="462">
        <f>SUMIF('caseload data'!$C:$C,'divisional &amp; regional caseload'!B50,'caseload data'!V:V)</f>
        <v>0</v>
      </c>
      <c r="Q50" s="463"/>
      <c r="R50" s="464"/>
      <c r="S50" s="95"/>
      <c r="T50" s="302" t="str">
        <f>HLOOKUP($B$5,Region_Table,15,0)</f>
        <v>Kingston, Richmond and Hounslow</v>
      </c>
      <c r="U50" s="467" t="s">
        <v>1271</v>
      </c>
      <c r="V50" s="468"/>
      <c r="W50" s="468"/>
      <c r="X50" s="468"/>
      <c r="Y50" s="468"/>
      <c r="Z50" s="468"/>
      <c r="AA50" s="468"/>
      <c r="AB50" s="468"/>
      <c r="AC50" s="468"/>
      <c r="AD50" s="468"/>
      <c r="AE50" s="468"/>
      <c r="AF50" s="468"/>
      <c r="AG50" s="469"/>
      <c r="AH50" s="462">
        <f>SUMIF('caseload data'!$C:$C,'divisional &amp; regional caseload'!T50,'caseload data'!V:V)</f>
        <v>0</v>
      </c>
      <c r="AI50" s="463"/>
      <c r="AJ50" s="464"/>
    </row>
    <row r="51" spans="2:36" x14ac:dyDescent="0.15">
      <c r="B51" s="99" t="s">
        <v>1170</v>
      </c>
      <c r="C51" s="40" t="s">
        <v>1022</v>
      </c>
      <c r="D51" s="40" t="s">
        <v>1023</v>
      </c>
      <c r="E51" s="40" t="s">
        <v>1024</v>
      </c>
      <c r="F51" s="40" t="s">
        <v>1025</v>
      </c>
      <c r="G51" s="40" t="s">
        <v>1026</v>
      </c>
      <c r="H51" s="40" t="s">
        <v>1027</v>
      </c>
      <c r="I51" s="40" t="s">
        <v>1028</v>
      </c>
      <c r="J51" s="40" t="s">
        <v>1029</v>
      </c>
      <c r="K51" s="40" t="s">
        <v>1030</v>
      </c>
      <c r="L51" s="40" t="s">
        <v>1031</v>
      </c>
      <c r="M51" s="40" t="s">
        <v>1032</v>
      </c>
      <c r="N51" s="40" t="s">
        <v>1033</v>
      </c>
      <c r="O51" s="40" t="s">
        <v>1034</v>
      </c>
      <c r="P51" s="40" t="s">
        <v>1035</v>
      </c>
      <c r="Q51" s="40" t="s">
        <v>1036</v>
      </c>
      <c r="R51" s="40" t="s">
        <v>1037</v>
      </c>
      <c r="S51" s="95"/>
      <c r="T51" s="99" t="s">
        <v>1170</v>
      </c>
      <c r="U51" s="40" t="s">
        <v>1022</v>
      </c>
      <c r="V51" s="40" t="s">
        <v>1023</v>
      </c>
      <c r="W51" s="40" t="s">
        <v>1024</v>
      </c>
      <c r="X51" s="40" t="s">
        <v>1025</v>
      </c>
      <c r="Y51" s="40" t="s">
        <v>1026</v>
      </c>
      <c r="Z51" s="40" t="s">
        <v>1027</v>
      </c>
      <c r="AA51" s="40" t="s">
        <v>1028</v>
      </c>
      <c r="AB51" s="40" t="s">
        <v>1029</v>
      </c>
      <c r="AC51" s="40" t="s">
        <v>1030</v>
      </c>
      <c r="AD51" s="40" t="s">
        <v>1031</v>
      </c>
      <c r="AE51" s="40" t="s">
        <v>1032</v>
      </c>
      <c r="AF51" s="40" t="s">
        <v>1033</v>
      </c>
      <c r="AG51" s="40" t="s">
        <v>1034</v>
      </c>
      <c r="AH51" s="40" t="s">
        <v>1035</v>
      </c>
      <c r="AI51" s="40" t="s">
        <v>1036</v>
      </c>
      <c r="AJ51" s="40" t="s">
        <v>1037</v>
      </c>
    </row>
    <row r="52" spans="2:36" x14ac:dyDescent="0.15">
      <c r="B52" s="100" t="s">
        <v>1166</v>
      </c>
      <c r="C52" s="98">
        <f>SUMIFS('caseload data'!E:E,'caseload data'!$D:$D,"PO",'caseload data'!$C:$C,'divisional &amp; regional caseload'!$B$50)</f>
        <v>0</v>
      </c>
      <c r="D52" s="98">
        <f>SUMIFS('caseload data'!F:F,'caseload data'!$D:$D,"PO",'caseload data'!$C:$C,'divisional &amp; regional caseload'!$B$50)</f>
        <v>0</v>
      </c>
      <c r="E52" s="98">
        <f>SUMIFS('caseload data'!G:G,'caseload data'!$D:$D,"PO",'caseload data'!$C:$C,'divisional &amp; regional caseload'!$B$50)</f>
        <v>0</v>
      </c>
      <c r="F52" s="98">
        <f>SUMIFS('caseload data'!H:H,'caseload data'!$D:$D,"PO",'caseload data'!$C:$C,'divisional &amp; regional caseload'!$B$50)</f>
        <v>0</v>
      </c>
      <c r="G52" s="98">
        <f>SUMIFS('caseload data'!I:I,'caseload data'!$D:$D,"PO",'caseload data'!$C:$C,'divisional &amp; regional caseload'!$B$50)</f>
        <v>0</v>
      </c>
      <c r="H52" s="98">
        <f>SUMIFS('caseload data'!J:J,'caseload data'!$D:$D,"PO",'caseload data'!$C:$C,'divisional &amp; regional caseload'!$B$50)</f>
        <v>0</v>
      </c>
      <c r="I52" s="98">
        <f>SUMIFS('caseload data'!K:K,'caseload data'!$D:$D,"PO",'caseload data'!$C:$C,'divisional &amp; regional caseload'!$B$50)</f>
        <v>0</v>
      </c>
      <c r="J52" s="98">
        <f>SUMIFS('caseload data'!L:L,'caseload data'!$D:$D,"PO",'caseload data'!$C:$C,'divisional &amp; regional caseload'!$B$50)</f>
        <v>0</v>
      </c>
      <c r="K52" s="98">
        <f>SUMIFS('caseload data'!M:M,'caseload data'!$D:$D,"PO",'caseload data'!$C:$C,'divisional &amp; regional caseload'!$B$50)</f>
        <v>0</v>
      </c>
      <c r="L52" s="98">
        <f>SUMIFS('caseload data'!N:N,'caseload data'!$D:$D,"PO",'caseload data'!$C:$C,'divisional &amp; regional caseload'!$B$50)</f>
        <v>0</v>
      </c>
      <c r="M52" s="98">
        <f>SUMIFS('caseload data'!O:O,'caseload data'!$D:$D,"PO",'caseload data'!$C:$C,'divisional &amp; regional caseload'!$B$50)</f>
        <v>0</v>
      </c>
      <c r="N52" s="98">
        <f>SUMIFS('caseload data'!P:P,'caseload data'!$D:$D,"PO",'caseload data'!$C:$C,'divisional &amp; regional caseload'!$B$50)</f>
        <v>0</v>
      </c>
      <c r="O52" s="98">
        <f>SUMIFS('caseload data'!Q:Q,'caseload data'!$D:$D,"PO",'caseload data'!$C:$C,'divisional &amp; regional caseload'!$B$50)</f>
        <v>0</v>
      </c>
      <c r="P52" s="98">
        <f>SUMIFS('caseload data'!R:R,'caseload data'!$D:$D,"PO",'caseload data'!$C:$C,'divisional &amp; regional caseload'!$B$50)</f>
        <v>0</v>
      </c>
      <c r="Q52" s="98">
        <f>SUMIFS('caseload data'!S:S,'caseload data'!$D:$D,"PO",'caseload data'!$C:$C,'divisional &amp; regional caseload'!$B$50)</f>
        <v>0</v>
      </c>
      <c r="R52" s="98">
        <f>SUMIFS('caseload data'!T:T,'caseload data'!$D:$D,"PO",'caseload data'!$C:$C,'divisional &amp; regional caseload'!$B$50)</f>
        <v>0</v>
      </c>
      <c r="S52" s="95"/>
      <c r="T52" s="100" t="s">
        <v>1166</v>
      </c>
      <c r="U52" s="98">
        <f>SUMIFS('caseload data'!E:E,'caseload data'!$D:$D,"PO",'caseload data'!$C:$C,'divisional &amp; regional caseload'!$T$50)</f>
        <v>0</v>
      </c>
      <c r="V52" s="98">
        <f>SUMIFS('caseload data'!F:F,'caseload data'!$D:$D,"PO",'caseload data'!$C:$C,'divisional &amp; regional caseload'!$T$50)</f>
        <v>0</v>
      </c>
      <c r="W52" s="98">
        <f>SUMIFS('caseload data'!G:G,'caseload data'!$D:$D,"PO",'caseload data'!$C:$C,'divisional &amp; regional caseload'!$T$50)</f>
        <v>0</v>
      </c>
      <c r="X52" s="98">
        <f>SUMIFS('caseload data'!H:H,'caseload data'!$D:$D,"PO",'caseload data'!$C:$C,'divisional &amp; regional caseload'!$T$50)</f>
        <v>0</v>
      </c>
      <c r="Y52" s="98">
        <f>SUMIFS('caseload data'!I:I,'caseload data'!$D:$D,"PO",'caseload data'!$C:$C,'divisional &amp; regional caseload'!$T$50)</f>
        <v>0</v>
      </c>
      <c r="Z52" s="98">
        <f>SUMIFS('caseload data'!J:J,'caseload data'!$D:$D,"PO",'caseload data'!$C:$C,'divisional &amp; regional caseload'!$T$50)</f>
        <v>0</v>
      </c>
      <c r="AA52" s="98">
        <f>SUMIFS('caseload data'!K:K,'caseload data'!$D:$D,"PO",'caseload data'!$C:$C,'divisional &amp; regional caseload'!$T$50)</f>
        <v>0</v>
      </c>
      <c r="AB52" s="98">
        <f>SUMIFS('caseload data'!L:L,'caseload data'!$D:$D,"PO",'caseload data'!$C:$C,'divisional &amp; regional caseload'!$T$50)</f>
        <v>0</v>
      </c>
      <c r="AC52" s="98">
        <f>SUMIFS('caseload data'!M:M,'caseload data'!$D:$D,"PO",'caseload data'!$C:$C,'divisional &amp; regional caseload'!$T$50)</f>
        <v>0</v>
      </c>
      <c r="AD52" s="98">
        <f>SUMIFS('caseload data'!N:N,'caseload data'!$D:$D,"PO",'caseload data'!$C:$C,'divisional &amp; regional caseload'!$T$50)</f>
        <v>0</v>
      </c>
      <c r="AE52" s="98">
        <f>SUMIFS('caseload data'!O:O,'caseload data'!$D:$D,"PO",'caseload data'!$C:$C,'divisional &amp; regional caseload'!$T$50)</f>
        <v>0</v>
      </c>
      <c r="AF52" s="98">
        <f>SUMIFS('caseload data'!P:P,'caseload data'!$D:$D,"PO",'caseload data'!$C:$C,'divisional &amp; regional caseload'!$T$50)</f>
        <v>0</v>
      </c>
      <c r="AG52" s="98">
        <f>SUMIFS('caseload data'!Q:Q,'caseload data'!$D:$D,"PO",'caseload data'!$C:$C,'divisional &amp; regional caseload'!$T$50)</f>
        <v>0</v>
      </c>
      <c r="AH52" s="98">
        <f>SUMIFS('caseload data'!R:R,'caseload data'!$D:$D,"PO",'caseload data'!$C:$C,'divisional &amp; regional caseload'!$T$50)</f>
        <v>0</v>
      </c>
      <c r="AI52" s="98">
        <f>SUMIFS('caseload data'!S:S,'caseload data'!$D:$D,"PO",'caseload data'!$C:$C,'divisional &amp; regional caseload'!$T$50)</f>
        <v>0</v>
      </c>
      <c r="AJ52" s="98">
        <f>SUMIFS('caseload data'!T:T,'caseload data'!$D:$D,"PO",'caseload data'!$C:$C,'divisional &amp; regional caseload'!$T$50)</f>
        <v>0</v>
      </c>
    </row>
    <row r="53" spans="2:36" x14ac:dyDescent="0.15">
      <c r="B53" s="101" t="s">
        <v>1172</v>
      </c>
      <c r="C53" s="98">
        <f>SUMIFS('caseload data'!E:E,'caseload data'!$D:$D,"PSO",'caseload data'!$C:$C,'divisional &amp; regional caseload'!$B$50)</f>
        <v>0</v>
      </c>
      <c r="D53" s="98">
        <f>SUMIFS('caseload data'!F:F,'caseload data'!$D:$D,"PSO",'caseload data'!$C:$C,'divisional &amp; regional caseload'!$B$50)</f>
        <v>0</v>
      </c>
      <c r="E53" s="98">
        <f>SUMIFS('caseload data'!G:G,'caseload data'!$D:$D,"PSO",'caseload data'!$C:$C,'divisional &amp; regional caseload'!$B$50)</f>
        <v>0</v>
      </c>
      <c r="F53" s="98">
        <f>SUMIFS('caseload data'!H:H,'caseload data'!$D:$D,"PSO",'caseload data'!$C:$C,'divisional &amp; regional caseload'!$B$50)</f>
        <v>0</v>
      </c>
      <c r="G53" s="98">
        <f>SUMIFS('caseload data'!I:I,'caseload data'!$D:$D,"PSO",'caseload data'!$C:$C,'divisional &amp; regional caseload'!$B$50)</f>
        <v>0</v>
      </c>
      <c r="H53" s="98">
        <f>SUMIFS('caseload data'!J:J,'caseload data'!$D:$D,"PSO",'caseload data'!$C:$C,'divisional &amp; regional caseload'!$B$50)</f>
        <v>0</v>
      </c>
      <c r="I53" s="98">
        <f>SUMIFS('caseload data'!K:K,'caseload data'!$D:$D,"PSO",'caseload data'!$C:$C,'divisional &amp; regional caseload'!$B$50)</f>
        <v>0</v>
      </c>
      <c r="J53" s="98">
        <f>SUMIFS('caseload data'!L:L,'caseload data'!$D:$D,"PSO",'caseload data'!$C:$C,'divisional &amp; regional caseload'!$B$50)</f>
        <v>0</v>
      </c>
      <c r="K53" s="98">
        <f>SUMIFS('caseload data'!M:M,'caseload data'!$D:$D,"PSO",'caseload data'!$C:$C,'divisional &amp; regional caseload'!$B$50)</f>
        <v>0</v>
      </c>
      <c r="L53" s="98">
        <f>SUMIFS('caseload data'!N:N,'caseload data'!$D:$D,"PSO",'caseload data'!$C:$C,'divisional &amp; regional caseload'!$B$50)</f>
        <v>0</v>
      </c>
      <c r="M53" s="98">
        <f>SUMIFS('caseload data'!O:O,'caseload data'!$D:$D,"PSO",'caseload data'!$C:$C,'divisional &amp; regional caseload'!$B$50)</f>
        <v>0</v>
      </c>
      <c r="N53" s="98">
        <f>SUMIFS('caseload data'!P:P,'caseload data'!$D:$D,"PSO",'caseload data'!$C:$C,'divisional &amp; regional caseload'!$B$50)</f>
        <v>0</v>
      </c>
      <c r="O53" s="98">
        <f>SUMIFS('caseload data'!Q:Q,'caseload data'!$D:$D,"PSO",'caseload data'!$C:$C,'divisional &amp; regional caseload'!$B$50)</f>
        <v>0</v>
      </c>
      <c r="P53" s="98">
        <f>SUMIFS('caseload data'!R:R,'caseload data'!$D:$D,"PSO",'caseload data'!$C:$C,'divisional &amp; regional caseload'!$B$50)</f>
        <v>0</v>
      </c>
      <c r="Q53" s="98">
        <f>SUMIFS('caseload data'!S:S,'caseload data'!$D:$D,"PSO",'caseload data'!$C:$C,'divisional &amp; regional caseload'!$B$50)</f>
        <v>0</v>
      </c>
      <c r="R53" s="98">
        <f>SUMIFS('caseload data'!T:T,'caseload data'!$D:$D,"PSO",'caseload data'!$C:$C,'divisional &amp; regional caseload'!$B$50)</f>
        <v>0</v>
      </c>
      <c r="S53" s="95"/>
      <c r="T53" s="101" t="s">
        <v>1172</v>
      </c>
      <c r="U53" s="98">
        <f>SUMIFS('caseload data'!E:E,'caseload data'!$D:$D,"PSO",'caseload data'!$C:$C,'divisional &amp; regional caseload'!$T$50)</f>
        <v>0</v>
      </c>
      <c r="V53" s="98">
        <f>SUMIFS('caseload data'!F:F,'caseload data'!$D:$D,"PSO",'caseload data'!$C:$C,'divisional &amp; regional caseload'!$T$50)</f>
        <v>0</v>
      </c>
      <c r="W53" s="98">
        <f>SUMIFS('caseload data'!G:G,'caseload data'!$D:$D,"PSO",'caseload data'!$C:$C,'divisional &amp; regional caseload'!$T$50)</f>
        <v>0</v>
      </c>
      <c r="X53" s="98">
        <f>SUMIFS('caseload data'!H:H,'caseload data'!$D:$D,"PSO",'caseload data'!$C:$C,'divisional &amp; regional caseload'!$T$50)</f>
        <v>0</v>
      </c>
      <c r="Y53" s="98">
        <f>SUMIFS('caseload data'!I:I,'caseload data'!$D:$D,"PSO",'caseload data'!$C:$C,'divisional &amp; regional caseload'!$T$50)</f>
        <v>0</v>
      </c>
      <c r="Z53" s="98">
        <f>SUMIFS('caseload data'!J:J,'caseload data'!$D:$D,"PSO",'caseload data'!$C:$C,'divisional &amp; regional caseload'!$T$50)</f>
        <v>0</v>
      </c>
      <c r="AA53" s="98">
        <f>SUMIFS('caseload data'!K:K,'caseload data'!$D:$D,"PSO",'caseload data'!$C:$C,'divisional &amp; regional caseload'!$T$50)</f>
        <v>0</v>
      </c>
      <c r="AB53" s="98">
        <f>SUMIFS('caseload data'!L:L,'caseload data'!$D:$D,"PSO",'caseload data'!$C:$C,'divisional &amp; regional caseload'!$T$50)</f>
        <v>0</v>
      </c>
      <c r="AC53" s="98">
        <f>SUMIFS('caseload data'!M:M,'caseload data'!$D:$D,"PSO",'caseload data'!$C:$C,'divisional &amp; regional caseload'!$T$50)</f>
        <v>0</v>
      </c>
      <c r="AD53" s="98">
        <f>SUMIFS('caseload data'!N:N,'caseload data'!$D:$D,"PSO",'caseload data'!$C:$C,'divisional &amp; regional caseload'!$T$50)</f>
        <v>0</v>
      </c>
      <c r="AE53" s="98">
        <f>SUMIFS('caseload data'!O:O,'caseload data'!$D:$D,"PSO",'caseload data'!$C:$C,'divisional &amp; regional caseload'!$T$50)</f>
        <v>0</v>
      </c>
      <c r="AF53" s="98">
        <f>SUMIFS('caseload data'!P:P,'caseload data'!$D:$D,"PSO",'caseload data'!$C:$C,'divisional &amp; regional caseload'!$T$50)</f>
        <v>0</v>
      </c>
      <c r="AG53" s="98">
        <f>SUMIFS('caseload data'!Q:Q,'caseload data'!$D:$D,"PSO",'caseload data'!$C:$C,'divisional &amp; regional caseload'!$T$50)</f>
        <v>0</v>
      </c>
      <c r="AH53" s="98">
        <f>SUMIFS('caseload data'!R:R,'caseload data'!$D:$D,"PSO",'caseload data'!$C:$C,'divisional &amp; regional caseload'!$T$50)</f>
        <v>0</v>
      </c>
      <c r="AI53" s="98">
        <f>SUMIFS('caseload data'!S:S,'caseload data'!$D:$D,"PSO",'caseload data'!$C:$C,'divisional &amp; regional caseload'!$T$50)</f>
        <v>0</v>
      </c>
      <c r="AJ53" s="98">
        <f>SUMIFS('caseload data'!T:T,'caseload data'!$D:$D,"PSO",'caseload data'!$C:$C,'divisional &amp; regional caseload'!$T$50)</f>
        <v>0</v>
      </c>
    </row>
    <row r="54" spans="2:36" x14ac:dyDescent="0.15">
      <c r="B54" s="101" t="s">
        <v>1173</v>
      </c>
      <c r="C54" s="98">
        <f>SUMIFS('caseload data'!E:E,'caseload data'!$D:$D,"TPO",'caseload data'!$C:$C,'divisional &amp; regional caseload'!$B$50)</f>
        <v>0</v>
      </c>
      <c r="D54" s="98">
        <f>SUMIFS('caseload data'!F:F,'caseload data'!$D:$D,"TPO",'caseload data'!$C:$C,'divisional &amp; regional caseload'!$B$50)</f>
        <v>0</v>
      </c>
      <c r="E54" s="98">
        <f>SUMIFS('caseload data'!G:G,'caseload data'!$D:$D,"TPO",'caseload data'!$C:$C,'divisional &amp; regional caseload'!$B$50)</f>
        <v>0</v>
      </c>
      <c r="F54" s="98">
        <f>SUMIFS('caseload data'!H:H,'caseload data'!$D:$D,"TPO",'caseload data'!$C:$C,'divisional &amp; regional caseload'!$B$50)</f>
        <v>0</v>
      </c>
      <c r="G54" s="98">
        <f>SUMIFS('caseload data'!I:I,'caseload data'!$D:$D,"TPO",'caseload data'!$C:$C,'divisional &amp; regional caseload'!$B$50)</f>
        <v>0</v>
      </c>
      <c r="H54" s="98">
        <f>SUMIFS('caseload data'!J:J,'caseload data'!$D:$D,"TPO",'caseload data'!$C:$C,'divisional &amp; regional caseload'!$B$50)</f>
        <v>0</v>
      </c>
      <c r="I54" s="98">
        <f>SUMIFS('caseload data'!K:K,'caseload data'!$D:$D,"TPO",'caseload data'!$C:$C,'divisional &amp; regional caseload'!$B$50)</f>
        <v>0</v>
      </c>
      <c r="J54" s="98">
        <f>SUMIFS('caseload data'!L:L,'caseload data'!$D:$D,"TPO",'caseload data'!$C:$C,'divisional &amp; regional caseload'!$B$50)</f>
        <v>0</v>
      </c>
      <c r="K54" s="98">
        <f>SUMIFS('caseload data'!M:M,'caseload data'!$D:$D,"TPO",'caseload data'!$C:$C,'divisional &amp; regional caseload'!$B$50)</f>
        <v>0</v>
      </c>
      <c r="L54" s="98">
        <f>SUMIFS('caseload data'!N:N,'caseload data'!$D:$D,"TPO",'caseload data'!$C:$C,'divisional &amp; regional caseload'!$B$50)</f>
        <v>0</v>
      </c>
      <c r="M54" s="98">
        <f>SUMIFS('caseload data'!O:O,'caseload data'!$D:$D,"TPO",'caseload data'!$C:$C,'divisional &amp; regional caseload'!$B$50)</f>
        <v>0</v>
      </c>
      <c r="N54" s="98">
        <f>SUMIFS('caseload data'!P:P,'caseload data'!$D:$D,"TPO",'caseload data'!$C:$C,'divisional &amp; regional caseload'!$B$50)</f>
        <v>0</v>
      </c>
      <c r="O54" s="98">
        <f>SUMIFS('caseload data'!Q:Q,'caseload data'!$D:$D,"TPO",'caseload data'!$C:$C,'divisional &amp; regional caseload'!$B$50)</f>
        <v>0</v>
      </c>
      <c r="P54" s="98">
        <f>SUMIFS('caseload data'!R:R,'caseload data'!$D:$D,"TPO",'caseload data'!$C:$C,'divisional &amp; regional caseload'!$B$50)</f>
        <v>0</v>
      </c>
      <c r="Q54" s="98">
        <f>SUMIFS('caseload data'!S:S,'caseload data'!$D:$D,"TPO",'caseload data'!$C:$C,'divisional &amp; regional caseload'!$B$50)</f>
        <v>0</v>
      </c>
      <c r="R54" s="98">
        <f>SUMIFS('caseload data'!T:T,'caseload data'!$D:$D,"TPO",'caseload data'!$C:$C,'divisional &amp; regional caseload'!$B$50)</f>
        <v>0</v>
      </c>
      <c r="S54" s="95"/>
      <c r="T54" s="101" t="s">
        <v>1173</v>
      </c>
      <c r="U54" s="98">
        <f>SUMIFS('caseload data'!E:E,'caseload data'!$D:$D,"TPO",'caseload data'!$C:$C,'divisional &amp; regional caseload'!$T$50)</f>
        <v>0</v>
      </c>
      <c r="V54" s="98">
        <f>SUMIFS('caseload data'!F:F,'caseload data'!$D:$D,"TPO",'caseload data'!$C:$C,'divisional &amp; regional caseload'!$T$50)</f>
        <v>0</v>
      </c>
      <c r="W54" s="98">
        <f>SUMIFS('caseload data'!G:G,'caseload data'!$D:$D,"TPO",'caseload data'!$C:$C,'divisional &amp; regional caseload'!$T$50)</f>
        <v>0</v>
      </c>
      <c r="X54" s="98">
        <f>SUMIFS('caseload data'!H:H,'caseload data'!$D:$D,"TPO",'caseload data'!$C:$C,'divisional &amp; regional caseload'!$T$50)</f>
        <v>0</v>
      </c>
      <c r="Y54" s="98">
        <f>SUMIFS('caseload data'!I:I,'caseload data'!$D:$D,"TPO",'caseload data'!$C:$C,'divisional &amp; regional caseload'!$T$50)</f>
        <v>0</v>
      </c>
      <c r="Z54" s="98">
        <f>SUMIFS('caseload data'!J:J,'caseload data'!$D:$D,"TPO",'caseload data'!$C:$C,'divisional &amp; regional caseload'!$T$50)</f>
        <v>0</v>
      </c>
      <c r="AA54" s="98">
        <f>SUMIFS('caseload data'!K:K,'caseload data'!$D:$D,"TPO",'caseload data'!$C:$C,'divisional &amp; regional caseload'!$T$50)</f>
        <v>0</v>
      </c>
      <c r="AB54" s="98">
        <f>SUMIFS('caseload data'!L:L,'caseload data'!$D:$D,"TPO",'caseload data'!$C:$C,'divisional &amp; regional caseload'!$T$50)</f>
        <v>0</v>
      </c>
      <c r="AC54" s="98">
        <f>SUMIFS('caseload data'!M:M,'caseload data'!$D:$D,"TPO",'caseload data'!$C:$C,'divisional &amp; regional caseload'!$T$50)</f>
        <v>0</v>
      </c>
      <c r="AD54" s="98">
        <f>SUMIFS('caseload data'!N:N,'caseload data'!$D:$D,"TPO",'caseload data'!$C:$C,'divisional &amp; regional caseload'!$T$50)</f>
        <v>0</v>
      </c>
      <c r="AE54" s="98">
        <f>SUMIFS('caseload data'!O:O,'caseload data'!$D:$D,"TPO",'caseload data'!$C:$C,'divisional &amp; regional caseload'!$T$50)</f>
        <v>0</v>
      </c>
      <c r="AF54" s="98">
        <f>SUMIFS('caseload data'!P:P,'caseload data'!$D:$D,"TPO",'caseload data'!$C:$C,'divisional &amp; regional caseload'!$T$50)</f>
        <v>0</v>
      </c>
      <c r="AG54" s="98">
        <f>SUMIFS('caseload data'!Q:Q,'caseload data'!$D:$D,"TPO",'caseload data'!$C:$C,'divisional &amp; regional caseload'!$T$50)</f>
        <v>0</v>
      </c>
      <c r="AH54" s="98">
        <f>SUMIFS('caseload data'!R:R,'caseload data'!$D:$D,"TPO",'caseload data'!$C:$C,'divisional &amp; regional caseload'!$T$50)</f>
        <v>0</v>
      </c>
      <c r="AI54" s="98">
        <f>SUMIFS('caseload data'!S:S,'caseload data'!$D:$D,"TPO",'caseload data'!$C:$C,'divisional &amp; regional caseload'!$T$50)</f>
        <v>0</v>
      </c>
      <c r="AJ54" s="98">
        <f>SUMIFS('caseload data'!T:T,'caseload data'!$D:$D,"TPO",'caseload data'!$C:$C,'divisional &amp; regional caseload'!$T$50)</f>
        <v>0</v>
      </c>
    </row>
    <row r="55" spans="2:36" x14ac:dyDescent="0.15">
      <c r="B55" s="102" t="s">
        <v>1174</v>
      </c>
      <c r="C55" s="98">
        <f>SUMIFS('caseload data'!E:E,'caseload data'!$D:$D,"SPO",'caseload data'!$C:$C,'divisional &amp; regional caseload'!$B$50)</f>
        <v>0</v>
      </c>
      <c r="D55" s="98">
        <f>SUMIFS('caseload data'!F:F,'caseload data'!$D:$D,"SPO",'caseload data'!$C:$C,'divisional &amp; regional caseload'!$B$50)</f>
        <v>0</v>
      </c>
      <c r="E55" s="98">
        <f>SUMIFS('caseload data'!G:G,'caseload data'!$D:$D,"SPO",'caseload data'!$C:$C,'divisional &amp; regional caseload'!$B$50)</f>
        <v>0</v>
      </c>
      <c r="F55" s="98">
        <f>SUMIFS('caseload data'!H:H,'caseload data'!$D:$D,"SPO",'caseload data'!$C:$C,'divisional &amp; regional caseload'!$B$50)</f>
        <v>0</v>
      </c>
      <c r="G55" s="98">
        <f>SUMIFS('caseload data'!I:I,'caseload data'!$D:$D,"SPO",'caseload data'!$C:$C,'divisional &amp; regional caseload'!$B$50)</f>
        <v>0</v>
      </c>
      <c r="H55" s="98">
        <f>SUMIFS('caseload data'!J:J,'caseload data'!$D:$D,"SPO",'caseload data'!$C:$C,'divisional &amp; regional caseload'!$B$50)</f>
        <v>0</v>
      </c>
      <c r="I55" s="98">
        <f>SUMIFS('caseload data'!K:K,'caseload data'!$D:$D,"SPO",'caseload data'!$C:$C,'divisional &amp; regional caseload'!$B$50)</f>
        <v>0</v>
      </c>
      <c r="J55" s="98">
        <f>SUMIFS('caseload data'!L:L,'caseload data'!$D:$D,"SPO",'caseload data'!$C:$C,'divisional &amp; regional caseload'!$B$50)</f>
        <v>0</v>
      </c>
      <c r="K55" s="98">
        <f>SUMIFS('caseload data'!M:M,'caseload data'!$D:$D,"SPO",'caseload data'!$C:$C,'divisional &amp; regional caseload'!$B$50)</f>
        <v>0</v>
      </c>
      <c r="L55" s="98">
        <f>SUMIFS('caseload data'!N:N,'caseload data'!$D:$D,"SPO",'caseload data'!$C:$C,'divisional &amp; regional caseload'!$B$50)</f>
        <v>0</v>
      </c>
      <c r="M55" s="98">
        <f>SUMIFS('caseload data'!O:O,'caseload data'!$D:$D,"SPO",'caseload data'!$C:$C,'divisional &amp; regional caseload'!$B$50)</f>
        <v>0</v>
      </c>
      <c r="N55" s="98">
        <f>SUMIFS('caseload data'!P:P,'caseload data'!$D:$D,"SPO",'caseload data'!$C:$C,'divisional &amp; regional caseload'!$B$50)</f>
        <v>0</v>
      </c>
      <c r="O55" s="98">
        <f>SUMIFS('caseload data'!Q:Q,'caseload data'!$D:$D,"SPO",'caseload data'!$C:$C,'divisional &amp; regional caseload'!$B$50)</f>
        <v>0</v>
      </c>
      <c r="P55" s="98">
        <f>SUMIFS('caseload data'!R:R,'caseload data'!$D:$D,"SPO",'caseload data'!$C:$C,'divisional &amp; regional caseload'!$B$50)</f>
        <v>0</v>
      </c>
      <c r="Q55" s="98">
        <f>SUMIFS('caseload data'!S:S,'caseload data'!$D:$D,"SPO",'caseload data'!$C:$C,'divisional &amp; regional caseload'!$B$50)</f>
        <v>0</v>
      </c>
      <c r="R55" s="98">
        <f>SUMIFS('caseload data'!T:T,'caseload data'!$D:$D,"SPO",'caseload data'!$C:$C,'divisional &amp; regional caseload'!$B$50)</f>
        <v>0</v>
      </c>
      <c r="S55" s="95"/>
      <c r="T55" s="102" t="s">
        <v>1174</v>
      </c>
      <c r="U55" s="98">
        <f>SUMIFS('caseload data'!E:E,'caseload data'!$D:$D,"SPO",'caseload data'!$C:$C,'divisional &amp; regional caseload'!$T$50)</f>
        <v>0</v>
      </c>
      <c r="V55" s="98">
        <f>SUMIFS('caseload data'!F:F,'caseload data'!$D:$D,"SPO",'caseload data'!$C:$C,'divisional &amp; regional caseload'!$T$50)</f>
        <v>0</v>
      </c>
      <c r="W55" s="98">
        <f>SUMIFS('caseload data'!G:G,'caseload data'!$D:$D,"SPO",'caseload data'!$C:$C,'divisional &amp; regional caseload'!$T$50)</f>
        <v>0</v>
      </c>
      <c r="X55" s="98">
        <f>SUMIFS('caseload data'!H:H,'caseload data'!$D:$D,"SPO",'caseload data'!$C:$C,'divisional &amp; regional caseload'!$T$50)</f>
        <v>0</v>
      </c>
      <c r="Y55" s="98">
        <f>SUMIFS('caseload data'!I:I,'caseload data'!$D:$D,"SPO",'caseload data'!$C:$C,'divisional &amp; regional caseload'!$T$50)</f>
        <v>0</v>
      </c>
      <c r="Z55" s="98">
        <f>SUMIFS('caseload data'!J:J,'caseload data'!$D:$D,"SPO",'caseload data'!$C:$C,'divisional &amp; regional caseload'!$T$50)</f>
        <v>0</v>
      </c>
      <c r="AA55" s="98">
        <f>SUMIFS('caseload data'!K:K,'caseload data'!$D:$D,"SPO",'caseload data'!$C:$C,'divisional &amp; regional caseload'!$T$50)</f>
        <v>0</v>
      </c>
      <c r="AB55" s="98">
        <f>SUMIFS('caseload data'!L:L,'caseload data'!$D:$D,"SPO",'caseload data'!$C:$C,'divisional &amp; regional caseload'!$T$50)</f>
        <v>0</v>
      </c>
      <c r="AC55" s="98">
        <f>SUMIFS('caseload data'!M:M,'caseload data'!$D:$D,"SPO",'caseload data'!$C:$C,'divisional &amp; regional caseload'!$T$50)</f>
        <v>0</v>
      </c>
      <c r="AD55" s="98">
        <f>SUMIFS('caseload data'!N:N,'caseload data'!$D:$D,"SPO",'caseload data'!$C:$C,'divisional &amp; regional caseload'!$T$50)</f>
        <v>0</v>
      </c>
      <c r="AE55" s="98">
        <f>SUMIFS('caseload data'!O:O,'caseload data'!$D:$D,"SPO",'caseload data'!$C:$C,'divisional &amp; regional caseload'!$T$50)</f>
        <v>0</v>
      </c>
      <c r="AF55" s="98">
        <f>SUMIFS('caseload data'!P:P,'caseload data'!$D:$D,"SPO",'caseload data'!$C:$C,'divisional &amp; regional caseload'!$T$50)</f>
        <v>0</v>
      </c>
      <c r="AG55" s="98">
        <f>SUMIFS('caseload data'!Q:Q,'caseload data'!$D:$D,"SPO",'caseload data'!$C:$C,'divisional &amp; regional caseload'!$T$50)</f>
        <v>0</v>
      </c>
      <c r="AH55" s="98">
        <f>SUMIFS('caseload data'!R:R,'caseload data'!$D:$D,"SPO",'caseload data'!$C:$C,'divisional &amp; regional caseload'!$T$50)</f>
        <v>0</v>
      </c>
      <c r="AI55" s="98">
        <f>SUMIFS('caseload data'!S:S,'caseload data'!$D:$D,"SPO",'caseload data'!$C:$C,'divisional &amp; regional caseload'!$T$50)</f>
        <v>0</v>
      </c>
      <c r="AJ55" s="98">
        <f>SUMIFS('caseload data'!T:T,'caseload data'!$D:$D,"SPO",'caseload data'!$C:$C,'divisional &amp; regional caseload'!$T$50)</f>
        <v>0</v>
      </c>
    </row>
    <row r="56" spans="2:36" x14ac:dyDescent="0.15">
      <c r="B56" s="95"/>
      <c r="C56" s="95"/>
      <c r="D56" s="95"/>
      <c r="E56" s="95"/>
      <c r="F56" s="95"/>
      <c r="G56" s="95"/>
      <c r="H56" s="95"/>
      <c r="I56" s="95"/>
      <c r="J56" s="95"/>
      <c r="K56" s="95"/>
      <c r="L56" s="95"/>
      <c r="M56" s="95"/>
      <c r="N56" s="95"/>
      <c r="O56" s="95"/>
      <c r="P56" s="95"/>
      <c r="Q56" s="95"/>
      <c r="R56" s="95"/>
      <c r="S56" s="95"/>
      <c r="T56" s="95"/>
      <c r="U56" s="95"/>
      <c r="V56" s="95"/>
      <c r="W56" s="95"/>
      <c r="X56" s="95"/>
      <c r="Y56" s="95"/>
      <c r="Z56" s="95"/>
      <c r="AA56" s="95"/>
    </row>
    <row r="57" spans="2:36" ht="28.5" customHeight="1" x14ac:dyDescent="0.15">
      <c r="B57" s="302" t="str">
        <f>HLOOKUP($B$5,Region_Table,16,0)</f>
        <v>Lambeth - N07</v>
      </c>
      <c r="C57" s="467" t="s">
        <v>1271</v>
      </c>
      <c r="D57" s="468"/>
      <c r="E57" s="468"/>
      <c r="F57" s="468"/>
      <c r="G57" s="468"/>
      <c r="H57" s="468"/>
      <c r="I57" s="468"/>
      <c r="J57" s="468"/>
      <c r="K57" s="468"/>
      <c r="L57" s="468"/>
      <c r="M57" s="472"/>
      <c r="N57" s="472"/>
      <c r="O57" s="473"/>
      <c r="P57" s="462">
        <f>SUMIF('caseload data'!$C:$C,'divisional &amp; regional caseload'!B57,'caseload data'!V:V)</f>
        <v>0</v>
      </c>
      <c r="Q57" s="463"/>
      <c r="R57" s="464"/>
      <c r="S57" s="95"/>
      <c r="T57" s="302" t="str">
        <f>HLOOKUP($B$5,Region_Table,17,0)</f>
        <v>Lewisham and Bromley</v>
      </c>
      <c r="U57" s="467" t="s">
        <v>1271</v>
      </c>
      <c r="V57" s="468"/>
      <c r="W57" s="468"/>
      <c r="X57" s="468"/>
      <c r="Y57" s="468"/>
      <c r="Z57" s="468"/>
      <c r="AA57" s="468"/>
      <c r="AB57" s="468"/>
      <c r="AC57" s="468"/>
      <c r="AD57" s="468"/>
      <c r="AE57" s="468"/>
      <c r="AF57" s="468"/>
      <c r="AG57" s="469"/>
      <c r="AH57" s="462">
        <f>SUMIF('caseload data'!$C:$C,'divisional &amp; regional caseload'!T57,'caseload data'!V:V)</f>
        <v>0</v>
      </c>
      <c r="AI57" s="463"/>
      <c r="AJ57" s="464"/>
    </row>
    <row r="58" spans="2:36" x14ac:dyDescent="0.15">
      <c r="B58" s="99" t="s">
        <v>1170</v>
      </c>
      <c r="C58" s="40" t="s">
        <v>1022</v>
      </c>
      <c r="D58" s="40" t="s">
        <v>1023</v>
      </c>
      <c r="E58" s="40" t="s">
        <v>1024</v>
      </c>
      <c r="F58" s="40" t="s">
        <v>1025</v>
      </c>
      <c r="G58" s="40" t="s">
        <v>1026</v>
      </c>
      <c r="H58" s="40" t="s">
        <v>1027</v>
      </c>
      <c r="I58" s="40" t="s">
        <v>1028</v>
      </c>
      <c r="J58" s="40" t="s">
        <v>1029</v>
      </c>
      <c r="K58" s="40" t="s">
        <v>1030</v>
      </c>
      <c r="L58" s="40" t="s">
        <v>1031</v>
      </c>
      <c r="M58" s="40" t="s">
        <v>1032</v>
      </c>
      <c r="N58" s="40" t="s">
        <v>1033</v>
      </c>
      <c r="O58" s="40" t="s">
        <v>1034</v>
      </c>
      <c r="P58" s="40" t="s">
        <v>1035</v>
      </c>
      <c r="Q58" s="40" t="s">
        <v>1036</v>
      </c>
      <c r="R58" s="40" t="s">
        <v>1037</v>
      </c>
      <c r="S58" s="95"/>
      <c r="T58" s="99" t="s">
        <v>1170</v>
      </c>
      <c r="U58" s="40" t="s">
        <v>1022</v>
      </c>
      <c r="V58" s="40" t="s">
        <v>1023</v>
      </c>
      <c r="W58" s="40" t="s">
        <v>1024</v>
      </c>
      <c r="X58" s="40" t="s">
        <v>1025</v>
      </c>
      <c r="Y58" s="40" t="s">
        <v>1026</v>
      </c>
      <c r="Z58" s="40" t="s">
        <v>1027</v>
      </c>
      <c r="AA58" s="40" t="s">
        <v>1028</v>
      </c>
      <c r="AB58" s="40" t="s">
        <v>1029</v>
      </c>
      <c r="AC58" s="40" t="s">
        <v>1030</v>
      </c>
      <c r="AD58" s="40" t="s">
        <v>1031</v>
      </c>
      <c r="AE58" s="40" t="s">
        <v>1032</v>
      </c>
      <c r="AF58" s="40" t="s">
        <v>1033</v>
      </c>
      <c r="AG58" s="40" t="s">
        <v>1034</v>
      </c>
      <c r="AH58" s="40" t="s">
        <v>1035</v>
      </c>
      <c r="AI58" s="40" t="s">
        <v>1036</v>
      </c>
      <c r="AJ58" s="40" t="s">
        <v>1037</v>
      </c>
    </row>
    <row r="59" spans="2:36" x14ac:dyDescent="0.15">
      <c r="B59" s="100" t="s">
        <v>1166</v>
      </c>
      <c r="C59" s="98">
        <f>SUMIFS('caseload data'!E:E,'caseload data'!$D:$D,"PO",'caseload data'!$C:$C,'divisional &amp; regional caseload'!$B$57)</f>
        <v>0</v>
      </c>
      <c r="D59" s="98">
        <f>SUMIFS('caseload data'!F:F,'caseload data'!$D:$D,"PO",'caseload data'!$C:$C,'divisional &amp; regional caseload'!$B$57)</f>
        <v>0</v>
      </c>
      <c r="E59" s="98">
        <f>SUMIFS('caseload data'!G:G,'caseload data'!$D:$D,"PO",'caseload data'!$C:$C,'divisional &amp; regional caseload'!$B$57)</f>
        <v>0</v>
      </c>
      <c r="F59" s="98">
        <f>SUMIFS('caseload data'!H:H,'caseload data'!$D:$D,"PO",'caseload data'!$C:$C,'divisional &amp; regional caseload'!$B$57)</f>
        <v>0</v>
      </c>
      <c r="G59" s="98">
        <f>SUMIFS('caseload data'!I:I,'caseload data'!$D:$D,"PO",'caseload data'!$C:$C,'divisional &amp; regional caseload'!$B$57)</f>
        <v>0</v>
      </c>
      <c r="H59" s="98">
        <f>SUMIFS('caseload data'!J:J,'caseload data'!$D:$D,"PO",'caseload data'!$C:$C,'divisional &amp; regional caseload'!$B$57)</f>
        <v>0</v>
      </c>
      <c r="I59" s="98">
        <f>SUMIFS('caseload data'!K:K,'caseload data'!$D:$D,"PO",'caseload data'!$C:$C,'divisional &amp; regional caseload'!$B$57)</f>
        <v>0</v>
      </c>
      <c r="J59" s="98">
        <f>SUMIFS('caseload data'!L:L,'caseload data'!$D:$D,"PO",'caseload data'!$C:$C,'divisional &amp; regional caseload'!$B$57)</f>
        <v>0</v>
      </c>
      <c r="K59" s="98">
        <f>SUMIFS('caseload data'!M:M,'caseload data'!$D:$D,"PO",'caseload data'!$C:$C,'divisional &amp; regional caseload'!$B$57)</f>
        <v>0</v>
      </c>
      <c r="L59" s="98">
        <f>SUMIFS('caseload data'!N:N,'caseload data'!$D:$D,"PO",'caseload data'!$C:$C,'divisional &amp; regional caseload'!$B$57)</f>
        <v>0</v>
      </c>
      <c r="M59" s="98">
        <f>SUMIFS('caseload data'!O:O,'caseload data'!$D:$D,"PO",'caseload data'!$C:$C,'divisional &amp; regional caseload'!$B$57)</f>
        <v>0</v>
      </c>
      <c r="N59" s="98">
        <f>SUMIFS('caseload data'!P:P,'caseload data'!$D:$D,"PO",'caseload data'!$C:$C,'divisional &amp; regional caseload'!$B$57)</f>
        <v>0</v>
      </c>
      <c r="O59" s="98">
        <f>SUMIFS('caseload data'!Q:Q,'caseload data'!$D:$D,"PO",'caseload data'!$C:$C,'divisional &amp; regional caseload'!$B$57)</f>
        <v>0</v>
      </c>
      <c r="P59" s="98">
        <f>SUMIFS('caseload data'!R:R,'caseload data'!$D:$D,"PO",'caseload data'!$C:$C,'divisional &amp; regional caseload'!$B$57)</f>
        <v>0</v>
      </c>
      <c r="Q59" s="98">
        <f>SUMIFS('caseload data'!S:S,'caseload data'!$D:$D,"PO",'caseload data'!$C:$C,'divisional &amp; regional caseload'!$B$57)</f>
        <v>0</v>
      </c>
      <c r="R59" s="98">
        <f>SUMIFS('caseload data'!T:T,'caseload data'!$D:$D,"PO",'caseload data'!$C:$C,'divisional &amp; regional caseload'!$B$57)</f>
        <v>0</v>
      </c>
      <c r="S59" s="95"/>
      <c r="T59" s="100" t="s">
        <v>1166</v>
      </c>
      <c r="U59" s="98">
        <f>SUMIFS('caseload data'!E:E,'caseload data'!$D:$D,"PO",'caseload data'!$C:$C,'divisional &amp; regional caseload'!$T$57)</f>
        <v>0</v>
      </c>
      <c r="V59" s="98">
        <f>SUMIFS('caseload data'!F:F,'caseload data'!$D:$D,"PO",'caseload data'!$C:$C,'divisional &amp; regional caseload'!$T$57)</f>
        <v>0</v>
      </c>
      <c r="W59" s="98">
        <f>SUMIFS('caseload data'!G:G,'caseload data'!$D:$D,"PO",'caseload data'!$C:$C,'divisional &amp; regional caseload'!$T$57)</f>
        <v>0</v>
      </c>
      <c r="X59" s="98">
        <f>SUMIFS('caseload data'!H:H,'caseload data'!$D:$D,"PO",'caseload data'!$C:$C,'divisional &amp; regional caseload'!$T$57)</f>
        <v>0</v>
      </c>
      <c r="Y59" s="98">
        <f>SUMIFS('caseload data'!I:I,'caseload data'!$D:$D,"PO",'caseload data'!$C:$C,'divisional &amp; regional caseload'!$T$57)</f>
        <v>0</v>
      </c>
      <c r="Z59" s="98">
        <f>SUMIFS('caseload data'!J:J,'caseload data'!$D:$D,"PO",'caseload data'!$C:$C,'divisional &amp; regional caseload'!$T$57)</f>
        <v>0</v>
      </c>
      <c r="AA59" s="98">
        <f>SUMIFS('caseload data'!K:K,'caseload data'!$D:$D,"PO",'caseload data'!$C:$C,'divisional &amp; regional caseload'!$T$57)</f>
        <v>0</v>
      </c>
      <c r="AB59" s="98">
        <f>SUMIFS('caseload data'!L:L,'caseload data'!$D:$D,"PO",'caseload data'!$C:$C,'divisional &amp; regional caseload'!$T$57)</f>
        <v>0</v>
      </c>
      <c r="AC59" s="98">
        <f>SUMIFS('caseload data'!M:M,'caseload data'!$D:$D,"PO",'caseload data'!$C:$C,'divisional &amp; regional caseload'!$T$57)</f>
        <v>0</v>
      </c>
      <c r="AD59" s="98">
        <f>SUMIFS('caseload data'!N:N,'caseload data'!$D:$D,"PO",'caseload data'!$C:$C,'divisional &amp; regional caseload'!$T$57)</f>
        <v>0</v>
      </c>
      <c r="AE59" s="98">
        <f>SUMIFS('caseload data'!O:O,'caseload data'!$D:$D,"PO",'caseload data'!$C:$C,'divisional &amp; regional caseload'!$T$57)</f>
        <v>0</v>
      </c>
      <c r="AF59" s="98">
        <f>SUMIFS('caseload data'!P:P,'caseload data'!$D:$D,"PO",'caseload data'!$C:$C,'divisional &amp; regional caseload'!$T$57)</f>
        <v>0</v>
      </c>
      <c r="AG59" s="98">
        <f>SUMIFS('caseload data'!Q:Q,'caseload data'!$D:$D,"PO",'caseload data'!$C:$C,'divisional &amp; regional caseload'!$T$57)</f>
        <v>0</v>
      </c>
      <c r="AH59" s="98">
        <f>SUMIFS('caseload data'!R:R,'caseload data'!$D:$D,"PO",'caseload data'!$C:$C,'divisional &amp; regional caseload'!$T$57)</f>
        <v>0</v>
      </c>
      <c r="AI59" s="98">
        <f>SUMIFS('caseload data'!S:S,'caseload data'!$D:$D,"PO",'caseload data'!$C:$C,'divisional &amp; regional caseload'!$T$57)</f>
        <v>0</v>
      </c>
      <c r="AJ59" s="98">
        <f>SUMIFS('caseload data'!T:T,'caseload data'!$D:$D,"PO",'caseload data'!$C:$C,'divisional &amp; regional caseload'!$T$57)</f>
        <v>0</v>
      </c>
    </row>
    <row r="60" spans="2:36" x14ac:dyDescent="0.15">
      <c r="B60" s="101" t="s">
        <v>1172</v>
      </c>
      <c r="C60" s="98">
        <f>SUMIFS('caseload data'!E:E,'caseload data'!$D:$D,"PSO",'caseload data'!$C:$C,'divisional &amp; regional caseload'!$B$57)</f>
        <v>0</v>
      </c>
      <c r="D60" s="98">
        <f>SUMIFS('caseload data'!F:F,'caseload data'!$D:$D,"PSO",'caseload data'!$C:$C,'divisional &amp; regional caseload'!$B$57)</f>
        <v>0</v>
      </c>
      <c r="E60" s="98">
        <f>SUMIFS('caseload data'!G:G,'caseload data'!$D:$D,"PSO",'caseload data'!$C:$C,'divisional &amp; regional caseload'!$B$57)</f>
        <v>0</v>
      </c>
      <c r="F60" s="98">
        <f>SUMIFS('caseload data'!H:H,'caseload data'!$D:$D,"PSO",'caseload data'!$C:$C,'divisional &amp; regional caseload'!$B$57)</f>
        <v>0</v>
      </c>
      <c r="G60" s="98">
        <f>SUMIFS('caseload data'!I:I,'caseload data'!$D:$D,"PSO",'caseload data'!$C:$C,'divisional &amp; regional caseload'!$B$57)</f>
        <v>0</v>
      </c>
      <c r="H60" s="98">
        <f>SUMIFS('caseload data'!J:J,'caseload data'!$D:$D,"PSO",'caseload data'!$C:$C,'divisional &amp; regional caseload'!$B$57)</f>
        <v>0</v>
      </c>
      <c r="I60" s="98">
        <f>SUMIFS('caseload data'!K:K,'caseload data'!$D:$D,"PSO",'caseload data'!$C:$C,'divisional &amp; regional caseload'!$B$57)</f>
        <v>0</v>
      </c>
      <c r="J60" s="98">
        <f>SUMIFS('caseload data'!L:L,'caseload data'!$D:$D,"PSO",'caseload data'!$C:$C,'divisional &amp; regional caseload'!$B$57)</f>
        <v>0</v>
      </c>
      <c r="K60" s="98">
        <f>SUMIFS('caseload data'!M:M,'caseload data'!$D:$D,"PSO",'caseload data'!$C:$C,'divisional &amp; regional caseload'!$B$57)</f>
        <v>0</v>
      </c>
      <c r="L60" s="98">
        <f>SUMIFS('caseload data'!N:N,'caseload data'!$D:$D,"PSO",'caseload data'!$C:$C,'divisional &amp; regional caseload'!$B$57)</f>
        <v>0</v>
      </c>
      <c r="M60" s="98">
        <f>SUMIFS('caseload data'!O:O,'caseload data'!$D:$D,"PSO",'caseload data'!$C:$C,'divisional &amp; regional caseload'!$B$57)</f>
        <v>0</v>
      </c>
      <c r="N60" s="98">
        <f>SUMIFS('caseload data'!P:P,'caseload data'!$D:$D,"PSO",'caseload data'!$C:$C,'divisional &amp; regional caseload'!$B$57)</f>
        <v>0</v>
      </c>
      <c r="O60" s="98">
        <f>SUMIFS('caseload data'!Q:Q,'caseload data'!$D:$D,"PSO",'caseload data'!$C:$C,'divisional &amp; regional caseload'!$B$57)</f>
        <v>0</v>
      </c>
      <c r="P60" s="98">
        <f>SUMIFS('caseload data'!R:R,'caseload data'!$D:$D,"PSO",'caseload data'!$C:$C,'divisional &amp; regional caseload'!$B$57)</f>
        <v>0</v>
      </c>
      <c r="Q60" s="98">
        <f>SUMIFS('caseload data'!S:S,'caseload data'!$D:$D,"PSO",'caseload data'!$C:$C,'divisional &amp; regional caseload'!$B$57)</f>
        <v>0</v>
      </c>
      <c r="R60" s="98">
        <f>SUMIFS('caseload data'!T:T,'caseload data'!$D:$D,"PSO",'caseload data'!$C:$C,'divisional &amp; regional caseload'!$B$57)</f>
        <v>0</v>
      </c>
      <c r="S60" s="95"/>
      <c r="T60" s="101" t="s">
        <v>1172</v>
      </c>
      <c r="U60" s="98">
        <f>SUMIFS('caseload data'!E:E,'caseload data'!$D:$D,"PSO",'caseload data'!$C:$C,'divisional &amp; regional caseload'!$T$57)</f>
        <v>0</v>
      </c>
      <c r="V60" s="98">
        <f>SUMIFS('caseload data'!F:F,'caseload data'!$D:$D,"PSO",'caseload data'!$C:$C,'divisional &amp; regional caseload'!$T$57)</f>
        <v>0</v>
      </c>
      <c r="W60" s="98">
        <f>SUMIFS('caseload data'!G:G,'caseload data'!$D:$D,"PSO",'caseload data'!$C:$C,'divisional &amp; regional caseload'!$T$57)</f>
        <v>0</v>
      </c>
      <c r="X60" s="98">
        <f>SUMIFS('caseload data'!H:H,'caseload data'!$D:$D,"PSO",'caseload data'!$C:$C,'divisional &amp; regional caseload'!$T$57)</f>
        <v>0</v>
      </c>
      <c r="Y60" s="98">
        <f>SUMIFS('caseload data'!I:I,'caseload data'!$D:$D,"PSO",'caseload data'!$C:$C,'divisional &amp; regional caseload'!$T$57)</f>
        <v>0</v>
      </c>
      <c r="Z60" s="98">
        <f>SUMIFS('caseload data'!J:J,'caseload data'!$D:$D,"PSO",'caseload data'!$C:$C,'divisional &amp; regional caseload'!$T$57)</f>
        <v>0</v>
      </c>
      <c r="AA60" s="98">
        <f>SUMIFS('caseload data'!K:K,'caseload data'!$D:$D,"PSO",'caseload data'!$C:$C,'divisional &amp; regional caseload'!$T$57)</f>
        <v>0</v>
      </c>
      <c r="AB60" s="98">
        <f>SUMIFS('caseload data'!L:L,'caseload data'!$D:$D,"PSO",'caseload data'!$C:$C,'divisional &amp; regional caseload'!$T$57)</f>
        <v>0</v>
      </c>
      <c r="AC60" s="98">
        <f>SUMIFS('caseload data'!M:M,'caseload data'!$D:$D,"PSO",'caseload data'!$C:$C,'divisional &amp; regional caseload'!$T$57)</f>
        <v>0</v>
      </c>
      <c r="AD60" s="98">
        <f>SUMIFS('caseload data'!N:N,'caseload data'!$D:$D,"PSO",'caseload data'!$C:$C,'divisional &amp; regional caseload'!$T$57)</f>
        <v>0</v>
      </c>
      <c r="AE60" s="98">
        <f>SUMIFS('caseload data'!O:O,'caseload data'!$D:$D,"PSO",'caseload data'!$C:$C,'divisional &amp; regional caseload'!$T$57)</f>
        <v>0</v>
      </c>
      <c r="AF60" s="98">
        <f>SUMIFS('caseload data'!P:P,'caseload data'!$D:$D,"PSO",'caseload data'!$C:$C,'divisional &amp; regional caseload'!$T$57)</f>
        <v>0</v>
      </c>
      <c r="AG60" s="98">
        <f>SUMIFS('caseload data'!Q:Q,'caseload data'!$D:$D,"PSO",'caseload data'!$C:$C,'divisional &amp; regional caseload'!$T$57)</f>
        <v>0</v>
      </c>
      <c r="AH60" s="98">
        <f>SUMIFS('caseload data'!R:R,'caseload data'!$D:$D,"PSO",'caseload data'!$C:$C,'divisional &amp; regional caseload'!$T$57)</f>
        <v>0</v>
      </c>
      <c r="AI60" s="98">
        <f>SUMIFS('caseload data'!S:S,'caseload data'!$D:$D,"PSO",'caseload data'!$C:$C,'divisional &amp; regional caseload'!$T$57)</f>
        <v>0</v>
      </c>
      <c r="AJ60" s="98">
        <f>SUMIFS('caseload data'!T:T,'caseload data'!$D:$D,"PSO",'caseload data'!$C:$C,'divisional &amp; regional caseload'!$T$57)</f>
        <v>0</v>
      </c>
    </row>
    <row r="61" spans="2:36" x14ac:dyDescent="0.15">
      <c r="B61" s="101" t="s">
        <v>1173</v>
      </c>
      <c r="C61" s="98">
        <f>SUMIFS('caseload data'!E:E,'caseload data'!$D:$D,"TPO",'caseload data'!$C:$C,'divisional &amp; regional caseload'!$B$57)</f>
        <v>0</v>
      </c>
      <c r="D61" s="98">
        <f>SUMIFS('caseload data'!F:F,'caseload data'!$D:$D,"TPO",'caseload data'!$C:$C,'divisional &amp; regional caseload'!$B$57)</f>
        <v>0</v>
      </c>
      <c r="E61" s="98">
        <f>SUMIFS('caseload data'!G:G,'caseload data'!$D:$D,"TPO",'caseload data'!$C:$C,'divisional &amp; regional caseload'!$B$57)</f>
        <v>0</v>
      </c>
      <c r="F61" s="98">
        <f>SUMIFS('caseload data'!H:H,'caseload data'!$D:$D,"TPO",'caseload data'!$C:$C,'divisional &amp; regional caseload'!$B$57)</f>
        <v>0</v>
      </c>
      <c r="G61" s="98">
        <f>SUMIFS('caseload data'!I:I,'caseload data'!$D:$D,"TPO",'caseload data'!$C:$C,'divisional &amp; regional caseload'!$B$57)</f>
        <v>0</v>
      </c>
      <c r="H61" s="98">
        <f>SUMIFS('caseload data'!J:J,'caseload data'!$D:$D,"TPO",'caseload data'!$C:$C,'divisional &amp; regional caseload'!$B$57)</f>
        <v>0</v>
      </c>
      <c r="I61" s="98">
        <f>SUMIFS('caseload data'!K:K,'caseload data'!$D:$D,"TPO",'caseload data'!$C:$C,'divisional &amp; regional caseload'!$B$57)</f>
        <v>0</v>
      </c>
      <c r="J61" s="98">
        <f>SUMIFS('caseload data'!L:L,'caseload data'!$D:$D,"TPO",'caseload data'!$C:$C,'divisional &amp; regional caseload'!$B$57)</f>
        <v>0</v>
      </c>
      <c r="K61" s="98">
        <f>SUMIFS('caseload data'!M:M,'caseload data'!$D:$D,"TPO",'caseload data'!$C:$C,'divisional &amp; regional caseload'!$B$57)</f>
        <v>0</v>
      </c>
      <c r="L61" s="98">
        <f>SUMIFS('caseload data'!N:N,'caseload data'!$D:$D,"TPO",'caseload data'!$C:$C,'divisional &amp; regional caseload'!$B$57)</f>
        <v>0</v>
      </c>
      <c r="M61" s="98">
        <f>SUMIFS('caseload data'!O:O,'caseload data'!$D:$D,"TPO",'caseload data'!$C:$C,'divisional &amp; regional caseload'!$B$57)</f>
        <v>0</v>
      </c>
      <c r="N61" s="98">
        <f>SUMIFS('caseload data'!P:P,'caseload data'!$D:$D,"TPO",'caseload data'!$C:$C,'divisional &amp; regional caseload'!$B$57)</f>
        <v>0</v>
      </c>
      <c r="O61" s="98">
        <f>SUMIFS('caseload data'!Q:Q,'caseload data'!$D:$D,"TPO",'caseload data'!$C:$C,'divisional &amp; regional caseload'!$B$57)</f>
        <v>0</v>
      </c>
      <c r="P61" s="98">
        <f>SUMIFS('caseload data'!R:R,'caseload data'!$D:$D,"TPO",'caseload data'!$C:$C,'divisional &amp; regional caseload'!$B$57)</f>
        <v>0</v>
      </c>
      <c r="Q61" s="98">
        <f>SUMIFS('caseload data'!S:S,'caseload data'!$D:$D,"TPO",'caseload data'!$C:$C,'divisional &amp; regional caseload'!$B$57)</f>
        <v>0</v>
      </c>
      <c r="R61" s="98">
        <f>SUMIFS('caseload data'!T:T,'caseload data'!$D:$D,"TPO",'caseload data'!$C:$C,'divisional &amp; regional caseload'!$B$57)</f>
        <v>0</v>
      </c>
      <c r="S61" s="95"/>
      <c r="T61" s="101" t="s">
        <v>1173</v>
      </c>
      <c r="U61" s="98">
        <f>SUMIFS('caseload data'!E:E,'caseload data'!$D:$D,"TPO",'caseload data'!$C:$C,'divisional &amp; regional caseload'!$T$57)</f>
        <v>0</v>
      </c>
      <c r="V61" s="98">
        <f>SUMIFS('caseload data'!F:F,'caseload data'!$D:$D,"TPO",'caseload data'!$C:$C,'divisional &amp; regional caseload'!$T$57)</f>
        <v>0</v>
      </c>
      <c r="W61" s="98">
        <f>SUMIFS('caseload data'!G:G,'caseload data'!$D:$D,"TPO",'caseload data'!$C:$C,'divisional &amp; regional caseload'!$T$57)</f>
        <v>0</v>
      </c>
      <c r="X61" s="98">
        <f>SUMIFS('caseload data'!H:H,'caseload data'!$D:$D,"TPO",'caseload data'!$C:$C,'divisional &amp; regional caseload'!$T$57)</f>
        <v>0</v>
      </c>
      <c r="Y61" s="98">
        <f>SUMIFS('caseload data'!I:I,'caseload data'!$D:$D,"TPO",'caseload data'!$C:$C,'divisional &amp; regional caseload'!$T$57)</f>
        <v>0</v>
      </c>
      <c r="Z61" s="98">
        <f>SUMIFS('caseload data'!J:J,'caseload data'!$D:$D,"TPO",'caseload data'!$C:$C,'divisional &amp; regional caseload'!$T$57)</f>
        <v>0</v>
      </c>
      <c r="AA61" s="98">
        <f>SUMIFS('caseload data'!K:K,'caseload data'!$D:$D,"TPO",'caseload data'!$C:$C,'divisional &amp; regional caseload'!$T$57)</f>
        <v>0</v>
      </c>
      <c r="AB61" s="98">
        <f>SUMIFS('caseload data'!L:L,'caseload data'!$D:$D,"TPO",'caseload data'!$C:$C,'divisional &amp; regional caseload'!$T$57)</f>
        <v>0</v>
      </c>
      <c r="AC61" s="98">
        <f>SUMIFS('caseload data'!M:M,'caseload data'!$D:$D,"TPO",'caseload data'!$C:$C,'divisional &amp; regional caseload'!$T$57)</f>
        <v>0</v>
      </c>
      <c r="AD61" s="98">
        <f>SUMIFS('caseload data'!N:N,'caseload data'!$D:$D,"TPO",'caseload data'!$C:$C,'divisional &amp; regional caseload'!$T$57)</f>
        <v>0</v>
      </c>
      <c r="AE61" s="98">
        <f>SUMIFS('caseload data'!O:O,'caseload data'!$D:$D,"TPO",'caseload data'!$C:$C,'divisional &amp; regional caseload'!$T$57)</f>
        <v>0</v>
      </c>
      <c r="AF61" s="98">
        <f>SUMIFS('caseload data'!P:P,'caseload data'!$D:$D,"TPO",'caseload data'!$C:$C,'divisional &amp; regional caseload'!$T$57)</f>
        <v>0</v>
      </c>
      <c r="AG61" s="98">
        <f>SUMIFS('caseload data'!Q:Q,'caseload data'!$D:$D,"TPO",'caseload data'!$C:$C,'divisional &amp; regional caseload'!$T$57)</f>
        <v>0</v>
      </c>
      <c r="AH61" s="98">
        <f>SUMIFS('caseload data'!R:R,'caseload data'!$D:$D,"TPO",'caseload data'!$C:$C,'divisional &amp; regional caseload'!$T$57)</f>
        <v>0</v>
      </c>
      <c r="AI61" s="98">
        <f>SUMIFS('caseload data'!S:S,'caseload data'!$D:$D,"TPO",'caseload data'!$C:$C,'divisional &amp; regional caseload'!$T$57)</f>
        <v>0</v>
      </c>
      <c r="AJ61" s="98">
        <f>SUMIFS('caseload data'!T:T,'caseload data'!$D:$D,"TPO",'caseload data'!$C:$C,'divisional &amp; regional caseload'!$T$57)</f>
        <v>0</v>
      </c>
    </row>
    <row r="62" spans="2:36" x14ac:dyDescent="0.15">
      <c r="B62" s="102" t="s">
        <v>1174</v>
      </c>
      <c r="C62" s="98">
        <f>SUMIFS('caseload data'!E:E,'caseload data'!$D:$D,"SPO",'caseload data'!$C:$C,'divisional &amp; regional caseload'!$B$57)</f>
        <v>0</v>
      </c>
      <c r="D62" s="98">
        <f>SUMIFS('caseload data'!F:F,'caseload data'!$D:$D,"SPO",'caseload data'!$C:$C,'divisional &amp; regional caseload'!$B$57)</f>
        <v>0</v>
      </c>
      <c r="E62" s="98">
        <f>SUMIFS('caseload data'!G:G,'caseload data'!$D:$D,"SPO",'caseload data'!$C:$C,'divisional &amp; regional caseload'!$B$57)</f>
        <v>0</v>
      </c>
      <c r="F62" s="98">
        <f>SUMIFS('caseload data'!H:H,'caseload data'!$D:$D,"SPO",'caseload data'!$C:$C,'divisional &amp; regional caseload'!$B$57)</f>
        <v>0</v>
      </c>
      <c r="G62" s="98">
        <f>SUMIFS('caseload data'!I:I,'caseload data'!$D:$D,"SPO",'caseload data'!$C:$C,'divisional &amp; regional caseload'!$B$57)</f>
        <v>0</v>
      </c>
      <c r="H62" s="98">
        <f>SUMIFS('caseload data'!J:J,'caseload data'!$D:$D,"SPO",'caseload data'!$C:$C,'divisional &amp; regional caseload'!$B$57)</f>
        <v>0</v>
      </c>
      <c r="I62" s="98">
        <f>SUMIFS('caseload data'!K:K,'caseload data'!$D:$D,"SPO",'caseload data'!$C:$C,'divisional &amp; regional caseload'!$B$57)</f>
        <v>0</v>
      </c>
      <c r="J62" s="98">
        <f>SUMIFS('caseload data'!L:L,'caseload data'!$D:$D,"SPO",'caseload data'!$C:$C,'divisional &amp; regional caseload'!$B$57)</f>
        <v>0</v>
      </c>
      <c r="K62" s="98">
        <f>SUMIFS('caseload data'!M:M,'caseload data'!$D:$D,"SPO",'caseload data'!$C:$C,'divisional &amp; regional caseload'!$B$57)</f>
        <v>0</v>
      </c>
      <c r="L62" s="98">
        <f>SUMIFS('caseload data'!N:N,'caseload data'!$D:$D,"SPO",'caseload data'!$C:$C,'divisional &amp; regional caseload'!$B$57)</f>
        <v>0</v>
      </c>
      <c r="M62" s="98">
        <f>SUMIFS('caseload data'!O:O,'caseload data'!$D:$D,"SPO",'caseload data'!$C:$C,'divisional &amp; regional caseload'!$B$57)</f>
        <v>0</v>
      </c>
      <c r="N62" s="98">
        <f>SUMIFS('caseload data'!P:P,'caseload data'!$D:$D,"SPO",'caseload data'!$C:$C,'divisional &amp; regional caseload'!$B$57)</f>
        <v>0</v>
      </c>
      <c r="O62" s="98">
        <f>SUMIFS('caseload data'!Q:Q,'caseload data'!$D:$D,"SPO",'caseload data'!$C:$C,'divisional &amp; regional caseload'!$B$57)</f>
        <v>0</v>
      </c>
      <c r="P62" s="98">
        <f>SUMIFS('caseload data'!R:R,'caseload data'!$D:$D,"SPO",'caseload data'!$C:$C,'divisional &amp; regional caseload'!$B$57)</f>
        <v>0</v>
      </c>
      <c r="Q62" s="98">
        <f>SUMIFS('caseload data'!S:S,'caseload data'!$D:$D,"SPO",'caseload data'!$C:$C,'divisional &amp; regional caseload'!$B$57)</f>
        <v>0</v>
      </c>
      <c r="R62" s="98">
        <f>SUMIFS('caseload data'!T:T,'caseload data'!$D:$D,"SPO",'caseload data'!$C:$C,'divisional &amp; regional caseload'!$B$57)</f>
        <v>0</v>
      </c>
      <c r="S62" s="95"/>
      <c r="T62" s="102" t="s">
        <v>1174</v>
      </c>
      <c r="U62" s="98">
        <f>SUMIFS('caseload data'!E:E,'caseload data'!$D:$D,"SPO",'caseload data'!$C:$C,'divisional &amp; regional caseload'!$T$57)</f>
        <v>0</v>
      </c>
      <c r="V62" s="98">
        <f>SUMIFS('caseload data'!F:F,'caseload data'!$D:$D,"SPO",'caseload data'!$C:$C,'divisional &amp; regional caseload'!$T$57)</f>
        <v>0</v>
      </c>
      <c r="W62" s="98">
        <f>SUMIFS('caseload data'!G:G,'caseload data'!$D:$D,"SPO",'caseload data'!$C:$C,'divisional &amp; regional caseload'!$T$57)</f>
        <v>0</v>
      </c>
      <c r="X62" s="98">
        <f>SUMIFS('caseload data'!H:H,'caseload data'!$D:$D,"SPO",'caseload data'!$C:$C,'divisional &amp; regional caseload'!$T$57)</f>
        <v>0</v>
      </c>
      <c r="Y62" s="98">
        <f>SUMIFS('caseload data'!I:I,'caseload data'!$D:$D,"SPO",'caseload data'!$C:$C,'divisional &amp; regional caseload'!$T$57)</f>
        <v>0</v>
      </c>
      <c r="Z62" s="98">
        <f>SUMIFS('caseload data'!J:J,'caseload data'!$D:$D,"SPO",'caseload data'!$C:$C,'divisional &amp; regional caseload'!$T$57)</f>
        <v>0</v>
      </c>
      <c r="AA62" s="98">
        <f>SUMIFS('caseload data'!K:K,'caseload data'!$D:$D,"SPO",'caseload data'!$C:$C,'divisional &amp; regional caseload'!$T$57)</f>
        <v>0</v>
      </c>
      <c r="AB62" s="98">
        <f>SUMIFS('caseload data'!L:L,'caseload data'!$D:$D,"SPO",'caseload data'!$C:$C,'divisional &amp; regional caseload'!$T$57)</f>
        <v>0</v>
      </c>
      <c r="AC62" s="98">
        <f>SUMIFS('caseload data'!M:M,'caseload data'!$D:$D,"SPO",'caseload data'!$C:$C,'divisional &amp; regional caseload'!$T$57)</f>
        <v>0</v>
      </c>
      <c r="AD62" s="98">
        <f>SUMIFS('caseload data'!N:N,'caseload data'!$D:$D,"SPO",'caseload data'!$C:$C,'divisional &amp; regional caseload'!$T$57)</f>
        <v>0</v>
      </c>
      <c r="AE62" s="98">
        <f>SUMIFS('caseload data'!O:O,'caseload data'!$D:$D,"SPO",'caseload data'!$C:$C,'divisional &amp; regional caseload'!$T$57)</f>
        <v>0</v>
      </c>
      <c r="AF62" s="98">
        <f>SUMIFS('caseload data'!P:P,'caseload data'!$D:$D,"SPO",'caseload data'!$C:$C,'divisional &amp; regional caseload'!$T$57)</f>
        <v>0</v>
      </c>
      <c r="AG62" s="98">
        <f>SUMIFS('caseload data'!Q:Q,'caseload data'!$D:$D,"SPO",'caseload data'!$C:$C,'divisional &amp; regional caseload'!$T$57)</f>
        <v>0</v>
      </c>
      <c r="AH62" s="98">
        <f>SUMIFS('caseload data'!R:R,'caseload data'!$D:$D,"SPO",'caseload data'!$C:$C,'divisional &amp; regional caseload'!$T$57)</f>
        <v>0</v>
      </c>
      <c r="AI62" s="98">
        <f>SUMIFS('caseload data'!S:S,'caseload data'!$D:$D,"SPO",'caseload data'!$C:$C,'divisional &amp; regional caseload'!$T$57)</f>
        <v>0</v>
      </c>
      <c r="AJ62" s="98">
        <f>SUMIFS('caseload data'!T:T,'caseload data'!$D:$D,"SPO",'caseload data'!$C:$C,'divisional &amp; regional caseload'!$T$57)</f>
        <v>0</v>
      </c>
    </row>
    <row r="64" spans="2:36" ht="32.25" customHeight="1" x14ac:dyDescent="0.15">
      <c r="B64" s="302" t="str">
        <f>HLOOKUP($B$5,Region_Table,18,0)</f>
        <v>Newham - N07</v>
      </c>
      <c r="C64" s="459" t="s">
        <v>1271</v>
      </c>
      <c r="D64" s="460"/>
      <c r="E64" s="460"/>
      <c r="F64" s="460"/>
      <c r="G64" s="460"/>
      <c r="H64" s="460"/>
      <c r="I64" s="460"/>
      <c r="J64" s="460"/>
      <c r="K64" s="460"/>
      <c r="L64" s="460"/>
      <c r="M64" s="470"/>
      <c r="N64" s="470"/>
      <c r="O64" s="471"/>
      <c r="P64" s="462">
        <f>SUMIF('caseload data'!$C:$C,'divisional &amp; regional caseload'!B64,'caseload data'!V:V)</f>
        <v>0</v>
      </c>
      <c r="Q64" s="463"/>
      <c r="R64" s="464"/>
      <c r="S64" s="95"/>
      <c r="T64" s="302" t="str">
        <f>HLOOKUP($B$5,Region_Table,19,0)</f>
        <v>Public Protection London</v>
      </c>
      <c r="U64" s="459" t="s">
        <v>1271</v>
      </c>
      <c r="V64" s="460"/>
      <c r="W64" s="460"/>
      <c r="X64" s="460"/>
      <c r="Y64" s="460"/>
      <c r="Z64" s="460"/>
      <c r="AA64" s="460"/>
      <c r="AB64" s="460"/>
      <c r="AC64" s="460"/>
      <c r="AD64" s="460"/>
      <c r="AE64" s="460"/>
      <c r="AF64" s="460"/>
      <c r="AG64" s="461"/>
      <c r="AH64" s="462">
        <f>SUMIF('caseload data'!$C:$C,'divisional &amp; regional caseload'!T64,'caseload data'!V:V)</f>
        <v>0</v>
      </c>
      <c r="AI64" s="463"/>
      <c r="AJ64" s="464"/>
    </row>
    <row r="65" spans="2:36" x14ac:dyDescent="0.15">
      <c r="B65" s="99" t="s">
        <v>1170</v>
      </c>
      <c r="C65" s="40" t="s">
        <v>1022</v>
      </c>
      <c r="D65" s="40" t="s">
        <v>1023</v>
      </c>
      <c r="E65" s="40" t="s">
        <v>1024</v>
      </c>
      <c r="F65" s="40" t="s">
        <v>1025</v>
      </c>
      <c r="G65" s="40" t="s">
        <v>1026</v>
      </c>
      <c r="H65" s="40" t="s">
        <v>1027</v>
      </c>
      <c r="I65" s="40" t="s">
        <v>1028</v>
      </c>
      <c r="J65" s="40" t="s">
        <v>1029</v>
      </c>
      <c r="K65" s="40" t="s">
        <v>1030</v>
      </c>
      <c r="L65" s="40" t="s">
        <v>1031</v>
      </c>
      <c r="M65" s="40" t="s">
        <v>1032</v>
      </c>
      <c r="N65" s="40" t="s">
        <v>1033</v>
      </c>
      <c r="O65" s="40" t="s">
        <v>1034</v>
      </c>
      <c r="P65" s="40" t="s">
        <v>1035</v>
      </c>
      <c r="Q65" s="40" t="s">
        <v>1036</v>
      </c>
      <c r="R65" s="40" t="s">
        <v>1037</v>
      </c>
      <c r="S65" s="95"/>
      <c r="T65" s="99" t="s">
        <v>1170</v>
      </c>
      <c r="U65" s="40" t="s">
        <v>1022</v>
      </c>
      <c r="V65" s="40" t="s">
        <v>1023</v>
      </c>
      <c r="W65" s="40" t="s">
        <v>1024</v>
      </c>
      <c r="X65" s="40" t="s">
        <v>1025</v>
      </c>
      <c r="Y65" s="40" t="s">
        <v>1026</v>
      </c>
      <c r="Z65" s="40" t="s">
        <v>1027</v>
      </c>
      <c r="AA65" s="40" t="s">
        <v>1028</v>
      </c>
      <c r="AB65" s="40" t="s">
        <v>1029</v>
      </c>
      <c r="AC65" s="40" t="s">
        <v>1030</v>
      </c>
      <c r="AD65" s="40" t="s">
        <v>1031</v>
      </c>
      <c r="AE65" s="40" t="s">
        <v>1032</v>
      </c>
      <c r="AF65" s="40" t="s">
        <v>1033</v>
      </c>
      <c r="AG65" s="40" t="s">
        <v>1034</v>
      </c>
      <c r="AH65" s="40" t="s">
        <v>1035</v>
      </c>
      <c r="AI65" s="40" t="s">
        <v>1036</v>
      </c>
      <c r="AJ65" s="40" t="s">
        <v>1037</v>
      </c>
    </row>
    <row r="66" spans="2:36" x14ac:dyDescent="0.15">
      <c r="B66" s="100" t="s">
        <v>1166</v>
      </c>
      <c r="C66" s="98">
        <f>SUMIFS('caseload data'!E:E,'caseload data'!$D:$D,"PO",'caseload data'!$C:$C,'divisional &amp; regional caseload'!$B$64)</f>
        <v>0</v>
      </c>
      <c r="D66" s="98">
        <f>SUMIFS('caseload data'!F:F,'caseload data'!$D:$D,"PO",'caseload data'!$C:$C,'divisional &amp; regional caseload'!$B$64)</f>
        <v>0</v>
      </c>
      <c r="E66" s="98">
        <f>SUMIFS('caseload data'!G:G,'caseload data'!$D:$D,"PO",'caseload data'!$C:$C,'divisional &amp; regional caseload'!$B$64)</f>
        <v>0</v>
      </c>
      <c r="F66" s="98">
        <f>SUMIFS('caseload data'!H:H,'caseload data'!$D:$D,"PO",'caseload data'!$C:$C,'divisional &amp; regional caseload'!$B$64)</f>
        <v>0</v>
      </c>
      <c r="G66" s="98">
        <f>SUMIFS('caseload data'!I:I,'caseload data'!$D:$D,"PO",'caseload data'!$C:$C,'divisional &amp; regional caseload'!$B$64)</f>
        <v>0</v>
      </c>
      <c r="H66" s="98">
        <f>SUMIFS('caseload data'!J:J,'caseload data'!$D:$D,"PO",'caseload data'!$C:$C,'divisional &amp; regional caseload'!$B$64)</f>
        <v>0</v>
      </c>
      <c r="I66" s="98">
        <f>SUMIFS('caseload data'!K:K,'caseload data'!$D:$D,"PO",'caseload data'!$C:$C,'divisional &amp; regional caseload'!$B$64)</f>
        <v>0</v>
      </c>
      <c r="J66" s="98">
        <f>SUMIFS('caseload data'!L:L,'caseload data'!$D:$D,"PO",'caseload data'!$C:$C,'divisional &amp; regional caseload'!$B$64)</f>
        <v>0</v>
      </c>
      <c r="K66" s="98">
        <f>SUMIFS('caseload data'!M:M,'caseload data'!$D:$D,"PO",'caseload data'!$C:$C,'divisional &amp; regional caseload'!$B$64)</f>
        <v>0</v>
      </c>
      <c r="L66" s="98">
        <f>SUMIFS('caseload data'!N:N,'caseload data'!$D:$D,"PO",'caseload data'!$C:$C,'divisional &amp; regional caseload'!$B$64)</f>
        <v>0</v>
      </c>
      <c r="M66" s="98">
        <f>SUMIFS('caseload data'!O:O,'caseload data'!$D:$D,"PO",'caseload data'!$C:$C,'divisional &amp; regional caseload'!$B$64)</f>
        <v>0</v>
      </c>
      <c r="N66" s="98">
        <f>SUMIFS('caseload data'!P:P,'caseload data'!$D:$D,"PO",'caseload data'!$C:$C,'divisional &amp; regional caseload'!$B$64)</f>
        <v>0</v>
      </c>
      <c r="O66" s="98">
        <f>SUMIFS('caseload data'!Q:Q,'caseload data'!$D:$D,"PO",'caseload data'!$C:$C,'divisional &amp; regional caseload'!$B$64)</f>
        <v>0</v>
      </c>
      <c r="P66" s="98">
        <f>SUMIFS('caseload data'!R:R,'caseload data'!$D:$D,"PO",'caseload data'!$C:$C,'divisional &amp; regional caseload'!$B$64)</f>
        <v>0</v>
      </c>
      <c r="Q66" s="98">
        <f>SUMIFS('caseload data'!S:S,'caseload data'!$D:$D,"PO",'caseload data'!$C:$C,'divisional &amp; regional caseload'!$B$64)</f>
        <v>0</v>
      </c>
      <c r="R66" s="98">
        <f>SUMIFS('caseload data'!T:T,'caseload data'!$D:$D,"PO",'caseload data'!$C:$C,'divisional &amp; regional caseload'!$B$64)</f>
        <v>0</v>
      </c>
      <c r="S66" s="95"/>
      <c r="T66" s="100" t="s">
        <v>1166</v>
      </c>
      <c r="U66" s="98">
        <f>SUMIFS('caseload data'!E:E,'caseload data'!$D:$D,"PO",'caseload data'!$C:$C,'divisional &amp; regional caseload'!$T$64)</f>
        <v>0</v>
      </c>
      <c r="V66" s="98">
        <f>SUMIFS('caseload data'!F:F,'caseload data'!$D:$D,"PO",'caseload data'!$C:$C,'divisional &amp; regional caseload'!$T$64)</f>
        <v>0</v>
      </c>
      <c r="W66" s="98">
        <f>SUMIFS('caseload data'!G:G,'caseload data'!$D:$D,"PO",'caseload data'!$C:$C,'divisional &amp; regional caseload'!$T$64)</f>
        <v>0</v>
      </c>
      <c r="X66" s="98">
        <f>SUMIFS('caseload data'!H:H,'caseload data'!$D:$D,"PO",'caseload data'!$C:$C,'divisional &amp; regional caseload'!$T$64)</f>
        <v>0</v>
      </c>
      <c r="Y66" s="98">
        <f>SUMIFS('caseload data'!I:I,'caseload data'!$D:$D,"PO",'caseload data'!$C:$C,'divisional &amp; regional caseload'!$T$64)</f>
        <v>0</v>
      </c>
      <c r="Z66" s="98">
        <f>SUMIFS('caseload data'!J:J,'caseload data'!$D:$D,"PO",'caseload data'!$C:$C,'divisional &amp; regional caseload'!$T$64)</f>
        <v>0</v>
      </c>
      <c r="AA66" s="98">
        <f>SUMIFS('caseload data'!K:K,'caseload data'!$D:$D,"PO",'caseload data'!$C:$C,'divisional &amp; regional caseload'!$T$64)</f>
        <v>0</v>
      </c>
      <c r="AB66" s="98">
        <f>SUMIFS('caseload data'!L:L,'caseload data'!$D:$D,"PO",'caseload data'!$C:$C,'divisional &amp; regional caseload'!$T$64)</f>
        <v>0</v>
      </c>
      <c r="AC66" s="98">
        <f>SUMIFS('caseload data'!M:M,'caseload data'!$D:$D,"PO",'caseload data'!$C:$C,'divisional &amp; regional caseload'!$T$64)</f>
        <v>0</v>
      </c>
      <c r="AD66" s="98">
        <f>SUMIFS('caseload data'!N:N,'caseload data'!$D:$D,"PO",'caseload data'!$C:$C,'divisional &amp; regional caseload'!$T$64)</f>
        <v>0</v>
      </c>
      <c r="AE66" s="98">
        <f>SUMIFS('caseload data'!O:O,'caseload data'!$D:$D,"PO",'caseload data'!$C:$C,'divisional &amp; regional caseload'!$T$64)</f>
        <v>0</v>
      </c>
      <c r="AF66" s="98">
        <f>SUMIFS('caseload data'!P:P,'caseload data'!$D:$D,"PO",'caseload data'!$C:$C,'divisional &amp; regional caseload'!$T$64)</f>
        <v>0</v>
      </c>
      <c r="AG66" s="98">
        <f>SUMIFS('caseload data'!Q:Q,'caseload data'!$D:$D,"PO",'caseload data'!$C:$C,'divisional &amp; regional caseload'!$T$64)</f>
        <v>0</v>
      </c>
      <c r="AH66" s="98">
        <f>SUMIFS('caseload data'!R:R,'caseload data'!$D:$D,"PO",'caseload data'!$C:$C,'divisional &amp; regional caseload'!$T$64)</f>
        <v>0</v>
      </c>
      <c r="AI66" s="98">
        <f>SUMIFS('caseload data'!S:S,'caseload data'!$D:$D,"PO",'caseload data'!$C:$C,'divisional &amp; regional caseload'!$T$64)</f>
        <v>0</v>
      </c>
      <c r="AJ66" s="98">
        <f>SUMIFS('caseload data'!T:T,'caseload data'!$D:$D,"PO",'caseload data'!$C:$C,'divisional &amp; regional caseload'!$T$64)</f>
        <v>0</v>
      </c>
    </row>
    <row r="67" spans="2:36" x14ac:dyDescent="0.15">
      <c r="B67" s="101" t="s">
        <v>1172</v>
      </c>
      <c r="C67" s="98">
        <f>SUMIFS('caseload data'!E:E,'caseload data'!$D:$D,"PSO",'caseload data'!$C:$C,'divisional &amp; regional caseload'!$B$64)</f>
        <v>0</v>
      </c>
      <c r="D67" s="98">
        <f>SUMIFS('caseload data'!F:F,'caseload data'!$D:$D,"PSO",'caseload data'!$C:$C,'divisional &amp; regional caseload'!$B$64)</f>
        <v>0</v>
      </c>
      <c r="E67" s="98">
        <f>SUMIFS('caseload data'!G:G,'caseload data'!$D:$D,"PSO",'caseload data'!$C:$C,'divisional &amp; regional caseload'!$B$64)</f>
        <v>0</v>
      </c>
      <c r="F67" s="98">
        <f>SUMIFS('caseload data'!H:H,'caseload data'!$D:$D,"PSO",'caseload data'!$C:$C,'divisional &amp; regional caseload'!$B$64)</f>
        <v>0</v>
      </c>
      <c r="G67" s="98">
        <f>SUMIFS('caseload data'!I:I,'caseload data'!$D:$D,"PSO",'caseload data'!$C:$C,'divisional &amp; regional caseload'!$B$64)</f>
        <v>0</v>
      </c>
      <c r="H67" s="98">
        <f>SUMIFS('caseload data'!J:J,'caseload data'!$D:$D,"PSO",'caseload data'!$C:$C,'divisional &amp; regional caseload'!$B$64)</f>
        <v>0</v>
      </c>
      <c r="I67" s="98">
        <f>SUMIFS('caseload data'!K:K,'caseload data'!$D:$D,"PSO",'caseload data'!$C:$C,'divisional &amp; regional caseload'!$B$64)</f>
        <v>0</v>
      </c>
      <c r="J67" s="98">
        <f>SUMIFS('caseload data'!L:L,'caseload data'!$D:$D,"PSO",'caseload data'!$C:$C,'divisional &amp; regional caseload'!$B$64)</f>
        <v>0</v>
      </c>
      <c r="K67" s="98">
        <f>SUMIFS('caseload data'!M:M,'caseload data'!$D:$D,"PSO",'caseload data'!$C:$C,'divisional &amp; regional caseload'!$B$64)</f>
        <v>0</v>
      </c>
      <c r="L67" s="98">
        <f>SUMIFS('caseload data'!N:N,'caseload data'!$D:$D,"PSO",'caseload data'!$C:$C,'divisional &amp; regional caseload'!$B$64)</f>
        <v>0</v>
      </c>
      <c r="M67" s="98">
        <f>SUMIFS('caseload data'!O:O,'caseload data'!$D:$D,"PSO",'caseload data'!$C:$C,'divisional &amp; regional caseload'!$B$64)</f>
        <v>0</v>
      </c>
      <c r="N67" s="98">
        <f>SUMIFS('caseload data'!P:P,'caseload data'!$D:$D,"PSO",'caseload data'!$C:$C,'divisional &amp; regional caseload'!$B$64)</f>
        <v>0</v>
      </c>
      <c r="O67" s="98">
        <f>SUMIFS('caseload data'!Q:Q,'caseload data'!$D:$D,"PSO",'caseload data'!$C:$C,'divisional &amp; regional caseload'!$B$64)</f>
        <v>0</v>
      </c>
      <c r="P67" s="98">
        <f>SUMIFS('caseload data'!R:R,'caseload data'!$D:$D,"PSO",'caseload data'!$C:$C,'divisional &amp; regional caseload'!$B$64)</f>
        <v>0</v>
      </c>
      <c r="Q67" s="98">
        <f>SUMIFS('caseload data'!S:S,'caseload data'!$D:$D,"PSO",'caseload data'!$C:$C,'divisional &amp; regional caseload'!$B$64)</f>
        <v>0</v>
      </c>
      <c r="R67" s="98">
        <f>SUMIFS('caseload data'!T:T,'caseload data'!$D:$D,"PSO",'caseload data'!$C:$C,'divisional &amp; regional caseload'!$B$64)</f>
        <v>0</v>
      </c>
      <c r="S67" s="95"/>
      <c r="T67" s="101" t="s">
        <v>1172</v>
      </c>
      <c r="U67" s="98">
        <f>SUMIFS('caseload data'!E:E,'caseload data'!$D:$D,"PSO",'caseload data'!$C:$C,'divisional &amp; regional caseload'!$T$64)</f>
        <v>0</v>
      </c>
      <c r="V67" s="98">
        <f>SUMIFS('caseload data'!F:F,'caseload data'!$D:$D,"PSO",'caseload data'!$C:$C,'divisional &amp; regional caseload'!$T$64)</f>
        <v>0</v>
      </c>
      <c r="W67" s="98">
        <f>SUMIFS('caseload data'!G:G,'caseload data'!$D:$D,"PSO",'caseload data'!$C:$C,'divisional &amp; regional caseload'!$T$64)</f>
        <v>0</v>
      </c>
      <c r="X67" s="98">
        <f>SUMIFS('caseload data'!H:H,'caseload data'!$D:$D,"PSO",'caseload data'!$C:$C,'divisional &amp; regional caseload'!$T$64)</f>
        <v>0</v>
      </c>
      <c r="Y67" s="98">
        <f>SUMIFS('caseload data'!I:I,'caseload data'!$D:$D,"PSO",'caseload data'!$C:$C,'divisional &amp; regional caseload'!$T$64)</f>
        <v>0</v>
      </c>
      <c r="Z67" s="98">
        <f>SUMIFS('caseload data'!J:J,'caseload data'!$D:$D,"PSO",'caseload data'!$C:$C,'divisional &amp; regional caseload'!$T$64)</f>
        <v>0</v>
      </c>
      <c r="AA67" s="98">
        <f>SUMIFS('caseload data'!K:K,'caseload data'!$D:$D,"PSO",'caseload data'!$C:$C,'divisional &amp; regional caseload'!$T$64)</f>
        <v>0</v>
      </c>
      <c r="AB67" s="98">
        <f>SUMIFS('caseload data'!L:L,'caseload data'!$D:$D,"PSO",'caseload data'!$C:$C,'divisional &amp; regional caseload'!$T$64)</f>
        <v>0</v>
      </c>
      <c r="AC67" s="98">
        <f>SUMIFS('caseload data'!M:M,'caseload data'!$D:$D,"PSO",'caseload data'!$C:$C,'divisional &amp; regional caseload'!$T$64)</f>
        <v>0</v>
      </c>
      <c r="AD67" s="98">
        <f>SUMIFS('caseload data'!N:N,'caseload data'!$D:$D,"PSO",'caseload data'!$C:$C,'divisional &amp; regional caseload'!$T$64)</f>
        <v>0</v>
      </c>
      <c r="AE67" s="98">
        <f>SUMIFS('caseload data'!O:O,'caseload data'!$D:$D,"PSO",'caseload data'!$C:$C,'divisional &amp; regional caseload'!$T$64)</f>
        <v>0</v>
      </c>
      <c r="AF67" s="98">
        <f>SUMIFS('caseload data'!P:P,'caseload data'!$D:$D,"PSO",'caseload data'!$C:$C,'divisional &amp; regional caseload'!$T$64)</f>
        <v>0</v>
      </c>
      <c r="AG67" s="98">
        <f>SUMIFS('caseload data'!Q:Q,'caseload data'!$D:$D,"PSO",'caseload data'!$C:$C,'divisional &amp; regional caseload'!$T$64)</f>
        <v>0</v>
      </c>
      <c r="AH67" s="98">
        <f>SUMIFS('caseload data'!R:R,'caseload data'!$D:$D,"PSO",'caseload data'!$C:$C,'divisional &amp; regional caseload'!$T$64)</f>
        <v>0</v>
      </c>
      <c r="AI67" s="98">
        <f>SUMIFS('caseload data'!S:S,'caseload data'!$D:$D,"PSO",'caseload data'!$C:$C,'divisional &amp; regional caseload'!$T$64)</f>
        <v>0</v>
      </c>
      <c r="AJ67" s="98">
        <f>SUMIFS('caseload data'!T:T,'caseload data'!$D:$D,"PSO",'caseload data'!$C:$C,'divisional &amp; regional caseload'!$T$64)</f>
        <v>0</v>
      </c>
    </row>
    <row r="68" spans="2:36" x14ac:dyDescent="0.15">
      <c r="B68" s="101" t="s">
        <v>1173</v>
      </c>
      <c r="C68" s="98">
        <f>SUMIFS('caseload data'!E:E,'caseload data'!$D:$D,"TPO",'caseload data'!$C:$C,'divisional &amp; regional caseload'!$B$64)</f>
        <v>0</v>
      </c>
      <c r="D68" s="98">
        <f>SUMIFS('caseload data'!F:F,'caseload data'!$D:$D,"TPO",'caseload data'!$C:$C,'divisional &amp; regional caseload'!$B$64)</f>
        <v>0</v>
      </c>
      <c r="E68" s="98">
        <f>SUMIFS('caseload data'!G:G,'caseload data'!$D:$D,"TPO",'caseload data'!$C:$C,'divisional &amp; regional caseload'!$B$64)</f>
        <v>0</v>
      </c>
      <c r="F68" s="98">
        <f>SUMIFS('caseload data'!H:H,'caseload data'!$D:$D,"TPO",'caseload data'!$C:$C,'divisional &amp; regional caseload'!$B$64)</f>
        <v>0</v>
      </c>
      <c r="G68" s="98">
        <f>SUMIFS('caseload data'!I:I,'caseload data'!$D:$D,"TPO",'caseload data'!$C:$C,'divisional &amp; regional caseload'!$B$64)</f>
        <v>0</v>
      </c>
      <c r="H68" s="98">
        <f>SUMIFS('caseload data'!J:J,'caseload data'!$D:$D,"TPO",'caseload data'!$C:$C,'divisional &amp; regional caseload'!$B$64)</f>
        <v>0</v>
      </c>
      <c r="I68" s="98">
        <f>SUMIFS('caseload data'!K:K,'caseload data'!$D:$D,"TPO",'caseload data'!$C:$C,'divisional &amp; regional caseload'!$B$64)</f>
        <v>0</v>
      </c>
      <c r="J68" s="98">
        <f>SUMIFS('caseload data'!L:L,'caseload data'!$D:$D,"TPO",'caseload data'!$C:$C,'divisional &amp; regional caseload'!$B$64)</f>
        <v>0</v>
      </c>
      <c r="K68" s="98">
        <f>SUMIFS('caseload data'!M:M,'caseload data'!$D:$D,"TPO",'caseload data'!$C:$C,'divisional &amp; regional caseload'!$B$64)</f>
        <v>0</v>
      </c>
      <c r="L68" s="98">
        <f>SUMIFS('caseload data'!N:N,'caseload data'!$D:$D,"TPO",'caseload data'!$C:$C,'divisional &amp; regional caseload'!$B$64)</f>
        <v>0</v>
      </c>
      <c r="M68" s="98">
        <f>SUMIFS('caseload data'!O:O,'caseload data'!$D:$D,"TPO",'caseload data'!$C:$C,'divisional &amp; regional caseload'!$B$64)</f>
        <v>0</v>
      </c>
      <c r="N68" s="98">
        <f>SUMIFS('caseload data'!P:P,'caseload data'!$D:$D,"TPO",'caseload data'!$C:$C,'divisional &amp; regional caseload'!$B$64)</f>
        <v>0</v>
      </c>
      <c r="O68" s="98">
        <f>SUMIFS('caseload data'!Q:Q,'caseload data'!$D:$D,"TPO",'caseload data'!$C:$C,'divisional &amp; regional caseload'!$B$64)</f>
        <v>0</v>
      </c>
      <c r="P68" s="98">
        <f>SUMIFS('caseload data'!R:R,'caseload data'!$D:$D,"TPO",'caseload data'!$C:$C,'divisional &amp; regional caseload'!$B$64)</f>
        <v>0</v>
      </c>
      <c r="Q68" s="98">
        <f>SUMIFS('caseload data'!S:S,'caseload data'!$D:$D,"TPO",'caseload data'!$C:$C,'divisional &amp; regional caseload'!$B$64)</f>
        <v>0</v>
      </c>
      <c r="R68" s="98">
        <f>SUMIFS('caseload data'!T:T,'caseload data'!$D:$D,"TPO",'caseload data'!$C:$C,'divisional &amp; regional caseload'!$B$64)</f>
        <v>0</v>
      </c>
      <c r="S68" s="95"/>
      <c r="T68" s="101" t="s">
        <v>1173</v>
      </c>
      <c r="U68" s="98">
        <f>SUMIFS('caseload data'!E:E,'caseload data'!$D:$D,"TPO",'caseload data'!$C:$C,'divisional &amp; regional caseload'!$T$64)</f>
        <v>0</v>
      </c>
      <c r="V68" s="98">
        <f>SUMIFS('caseload data'!F:F,'caseload data'!$D:$D,"TPO",'caseload data'!$C:$C,'divisional &amp; regional caseload'!$T$64)</f>
        <v>0</v>
      </c>
      <c r="W68" s="98">
        <f>SUMIFS('caseload data'!G:G,'caseload data'!$D:$D,"TPO",'caseload data'!$C:$C,'divisional &amp; regional caseload'!$T$64)</f>
        <v>0</v>
      </c>
      <c r="X68" s="98">
        <f>SUMIFS('caseload data'!H:H,'caseload data'!$D:$D,"TPO",'caseload data'!$C:$C,'divisional &amp; regional caseload'!$T$64)</f>
        <v>0</v>
      </c>
      <c r="Y68" s="98">
        <f>SUMIFS('caseload data'!I:I,'caseload data'!$D:$D,"TPO",'caseload data'!$C:$C,'divisional &amp; regional caseload'!$T$64)</f>
        <v>0</v>
      </c>
      <c r="Z68" s="98">
        <f>SUMIFS('caseload data'!J:J,'caseload data'!$D:$D,"TPO",'caseload data'!$C:$C,'divisional &amp; regional caseload'!$T$64)</f>
        <v>0</v>
      </c>
      <c r="AA68" s="98">
        <f>SUMIFS('caseload data'!K:K,'caseload data'!$D:$D,"TPO",'caseload data'!$C:$C,'divisional &amp; regional caseload'!$T$64)</f>
        <v>0</v>
      </c>
      <c r="AB68" s="98">
        <f>SUMIFS('caseload data'!L:L,'caseload data'!$D:$D,"TPO",'caseload data'!$C:$C,'divisional &amp; regional caseload'!$T$64)</f>
        <v>0</v>
      </c>
      <c r="AC68" s="98">
        <f>SUMIFS('caseload data'!M:M,'caseload data'!$D:$D,"TPO",'caseload data'!$C:$C,'divisional &amp; regional caseload'!$T$64)</f>
        <v>0</v>
      </c>
      <c r="AD68" s="98">
        <f>SUMIFS('caseload data'!N:N,'caseload data'!$D:$D,"TPO",'caseload data'!$C:$C,'divisional &amp; regional caseload'!$T$64)</f>
        <v>0</v>
      </c>
      <c r="AE68" s="98">
        <f>SUMIFS('caseload data'!O:O,'caseload data'!$D:$D,"TPO",'caseload data'!$C:$C,'divisional &amp; regional caseload'!$T$64)</f>
        <v>0</v>
      </c>
      <c r="AF68" s="98">
        <f>SUMIFS('caseload data'!P:P,'caseload data'!$D:$D,"TPO",'caseload data'!$C:$C,'divisional &amp; regional caseload'!$T$64)</f>
        <v>0</v>
      </c>
      <c r="AG68" s="98">
        <f>SUMIFS('caseload data'!Q:Q,'caseload data'!$D:$D,"TPO",'caseload data'!$C:$C,'divisional &amp; regional caseload'!$T$64)</f>
        <v>0</v>
      </c>
      <c r="AH68" s="98">
        <f>SUMIFS('caseload data'!R:R,'caseload data'!$D:$D,"TPO",'caseload data'!$C:$C,'divisional &amp; regional caseload'!$T$64)</f>
        <v>0</v>
      </c>
      <c r="AI68" s="98">
        <f>SUMIFS('caseload data'!S:S,'caseload data'!$D:$D,"TPO",'caseload data'!$C:$C,'divisional &amp; regional caseload'!$T$64)</f>
        <v>0</v>
      </c>
      <c r="AJ68" s="98">
        <f>SUMIFS('caseload data'!T:T,'caseload data'!$D:$D,"TPO",'caseload data'!$C:$C,'divisional &amp; regional caseload'!$T$64)</f>
        <v>0</v>
      </c>
    </row>
    <row r="69" spans="2:36" x14ac:dyDescent="0.15">
      <c r="B69" s="102" t="s">
        <v>1174</v>
      </c>
      <c r="C69" s="98">
        <f>SUMIFS('caseload data'!E:E,'caseload data'!$D:$D,"SPO",'caseload data'!$C:$C,'divisional &amp; regional caseload'!$B$64)</f>
        <v>0</v>
      </c>
      <c r="D69" s="98">
        <f>SUMIFS('caseload data'!F:F,'caseload data'!$D:$D,"SPO",'caseload data'!$C:$C,'divisional &amp; regional caseload'!$B$64)</f>
        <v>0</v>
      </c>
      <c r="E69" s="98">
        <f>SUMIFS('caseload data'!G:G,'caseload data'!$D:$D,"SPO",'caseload data'!$C:$C,'divisional &amp; regional caseload'!$B$64)</f>
        <v>0</v>
      </c>
      <c r="F69" s="98">
        <f>SUMIFS('caseload data'!H:H,'caseload data'!$D:$D,"SPO",'caseload data'!$C:$C,'divisional &amp; regional caseload'!$B$64)</f>
        <v>0</v>
      </c>
      <c r="G69" s="98">
        <f>SUMIFS('caseload data'!I:I,'caseload data'!$D:$D,"SPO",'caseload data'!$C:$C,'divisional &amp; regional caseload'!$B$64)</f>
        <v>0</v>
      </c>
      <c r="H69" s="98">
        <f>SUMIFS('caseload data'!J:J,'caseload data'!$D:$D,"SPO",'caseload data'!$C:$C,'divisional &amp; regional caseload'!$B$64)</f>
        <v>0</v>
      </c>
      <c r="I69" s="98">
        <f>SUMIFS('caseload data'!K:K,'caseload data'!$D:$D,"SPO",'caseload data'!$C:$C,'divisional &amp; regional caseload'!$B$64)</f>
        <v>0</v>
      </c>
      <c r="J69" s="98">
        <f>SUMIFS('caseload data'!L:L,'caseload data'!$D:$D,"SPO",'caseload data'!$C:$C,'divisional &amp; regional caseload'!$B$64)</f>
        <v>0</v>
      </c>
      <c r="K69" s="98">
        <f>SUMIFS('caseload data'!M:M,'caseload data'!$D:$D,"SPO",'caseload data'!$C:$C,'divisional &amp; regional caseload'!$B$64)</f>
        <v>0</v>
      </c>
      <c r="L69" s="98">
        <f>SUMIFS('caseload data'!N:N,'caseload data'!$D:$D,"SPO",'caseload data'!$C:$C,'divisional &amp; regional caseload'!$B$64)</f>
        <v>0</v>
      </c>
      <c r="M69" s="98">
        <f>SUMIFS('caseload data'!O:O,'caseload data'!$D:$D,"SPO",'caseload data'!$C:$C,'divisional &amp; regional caseload'!$B$64)</f>
        <v>0</v>
      </c>
      <c r="N69" s="98">
        <f>SUMIFS('caseload data'!P:P,'caseload data'!$D:$D,"SPO",'caseload data'!$C:$C,'divisional &amp; regional caseload'!$B$64)</f>
        <v>0</v>
      </c>
      <c r="O69" s="98">
        <f>SUMIFS('caseload data'!Q:Q,'caseload data'!$D:$D,"SPO",'caseload data'!$C:$C,'divisional &amp; regional caseload'!$B$64)</f>
        <v>0</v>
      </c>
      <c r="P69" s="98">
        <f>SUMIFS('caseload data'!R:R,'caseload data'!$D:$D,"SPO",'caseload data'!$C:$C,'divisional &amp; regional caseload'!$B$64)</f>
        <v>0</v>
      </c>
      <c r="Q69" s="98">
        <f>SUMIFS('caseload data'!S:S,'caseload data'!$D:$D,"SPO",'caseload data'!$C:$C,'divisional &amp; regional caseload'!$B$64)</f>
        <v>0</v>
      </c>
      <c r="R69" s="98">
        <f>SUMIFS('caseload data'!T:T,'caseload data'!$D:$D,"SPO",'caseload data'!$C:$C,'divisional &amp; regional caseload'!$B$64)</f>
        <v>0</v>
      </c>
      <c r="S69" s="95"/>
      <c r="T69" s="102" t="s">
        <v>1174</v>
      </c>
      <c r="U69" s="98">
        <f>SUMIFS('caseload data'!E:E,'caseload data'!$D:$D,"SPO",'caseload data'!$C:$C,'divisional &amp; regional caseload'!$T$64)</f>
        <v>0</v>
      </c>
      <c r="V69" s="98">
        <f>SUMIFS('caseload data'!F:F,'caseload data'!$D:$D,"SPO",'caseload data'!$C:$C,'divisional &amp; regional caseload'!$T$64)</f>
        <v>0</v>
      </c>
      <c r="W69" s="98">
        <f>SUMIFS('caseload data'!G:G,'caseload data'!$D:$D,"SPO",'caseload data'!$C:$C,'divisional &amp; regional caseload'!$T$64)</f>
        <v>0</v>
      </c>
      <c r="X69" s="98">
        <f>SUMIFS('caseload data'!H:H,'caseload data'!$D:$D,"SPO",'caseload data'!$C:$C,'divisional &amp; regional caseload'!$T$64)</f>
        <v>0</v>
      </c>
      <c r="Y69" s="98">
        <f>SUMIFS('caseload data'!I:I,'caseload data'!$D:$D,"SPO",'caseload data'!$C:$C,'divisional &amp; regional caseload'!$T$64)</f>
        <v>0</v>
      </c>
      <c r="Z69" s="98">
        <f>SUMIFS('caseload data'!J:J,'caseload data'!$D:$D,"SPO",'caseload data'!$C:$C,'divisional &amp; regional caseload'!$T$64)</f>
        <v>0</v>
      </c>
      <c r="AA69" s="98">
        <f>SUMIFS('caseload data'!K:K,'caseload data'!$D:$D,"SPO",'caseload data'!$C:$C,'divisional &amp; regional caseload'!$T$64)</f>
        <v>0</v>
      </c>
      <c r="AB69" s="98">
        <f>SUMIFS('caseload data'!L:L,'caseload data'!$D:$D,"SPO",'caseload data'!$C:$C,'divisional &amp; regional caseload'!$T$64)</f>
        <v>0</v>
      </c>
      <c r="AC69" s="98">
        <f>SUMIFS('caseload data'!M:M,'caseload data'!$D:$D,"SPO",'caseload data'!$C:$C,'divisional &amp; regional caseload'!$T$64)</f>
        <v>0</v>
      </c>
      <c r="AD69" s="98">
        <f>SUMIFS('caseload data'!N:N,'caseload data'!$D:$D,"SPO",'caseload data'!$C:$C,'divisional &amp; regional caseload'!$T$64)</f>
        <v>0</v>
      </c>
      <c r="AE69" s="98">
        <f>SUMIFS('caseload data'!O:O,'caseload data'!$D:$D,"SPO",'caseload data'!$C:$C,'divisional &amp; regional caseload'!$T$64)</f>
        <v>0</v>
      </c>
      <c r="AF69" s="98">
        <f>SUMIFS('caseload data'!P:P,'caseload data'!$D:$D,"SPO",'caseload data'!$C:$C,'divisional &amp; regional caseload'!$T$64)</f>
        <v>0</v>
      </c>
      <c r="AG69" s="98">
        <f>SUMIFS('caseload data'!Q:Q,'caseload data'!$D:$D,"SPO",'caseload data'!$C:$C,'divisional &amp; regional caseload'!$T$64)</f>
        <v>0</v>
      </c>
      <c r="AH69" s="98">
        <f>SUMIFS('caseload data'!R:R,'caseload data'!$D:$D,"SPO",'caseload data'!$C:$C,'divisional &amp; regional caseload'!$T$64)</f>
        <v>0</v>
      </c>
      <c r="AI69" s="98">
        <f>SUMIFS('caseload data'!S:S,'caseload data'!$D:$D,"SPO",'caseload data'!$C:$C,'divisional &amp; regional caseload'!$T$64)</f>
        <v>0</v>
      </c>
      <c r="AJ69" s="98">
        <f>SUMIFS('caseload data'!T:T,'caseload data'!$D:$D,"SPO",'caseload data'!$C:$C,'divisional &amp; regional caseload'!$T$64)</f>
        <v>0</v>
      </c>
    </row>
    <row r="71" spans="2:36" ht="41.25" customHeight="1" x14ac:dyDescent="0.15">
      <c r="B71" s="302" t="str">
        <f>HLOOKUP($B$5,Region_Table,20,0)</f>
        <v>Redbridge and Waltham Forest</v>
      </c>
      <c r="C71" s="459" t="s">
        <v>1271</v>
      </c>
      <c r="D71" s="460"/>
      <c r="E71" s="460"/>
      <c r="F71" s="460"/>
      <c r="G71" s="460"/>
      <c r="H71" s="460"/>
      <c r="I71" s="460"/>
      <c r="J71" s="460"/>
      <c r="K71" s="460"/>
      <c r="L71" s="460"/>
      <c r="M71" s="470"/>
      <c r="N71" s="470"/>
      <c r="O71" s="471"/>
      <c r="P71" s="462">
        <f>SUMIF('caseload data'!$C:$C,'divisional &amp; regional caseload'!B71,'caseload data'!V:V)</f>
        <v>0</v>
      </c>
      <c r="Q71" s="463"/>
      <c r="R71" s="464"/>
      <c r="T71" s="302" t="str">
        <f>HLOOKUP($B$5,Region_Table,21,0)</f>
        <v>Southwark - N07</v>
      </c>
      <c r="U71" s="459" t="s">
        <v>1271</v>
      </c>
      <c r="V71" s="460"/>
      <c r="W71" s="460"/>
      <c r="X71" s="460"/>
      <c r="Y71" s="460"/>
      <c r="Z71" s="460"/>
      <c r="AA71" s="460"/>
      <c r="AB71" s="460"/>
      <c r="AC71" s="460"/>
      <c r="AD71" s="460"/>
      <c r="AE71" s="460"/>
      <c r="AF71" s="460"/>
      <c r="AG71" s="461"/>
      <c r="AH71" s="462">
        <f>SUMIF('caseload data'!$C:$C,'divisional &amp; regional caseload'!T71,'caseload data'!V:V)</f>
        <v>0</v>
      </c>
      <c r="AI71" s="465"/>
      <c r="AJ71" s="466"/>
    </row>
    <row r="72" spans="2:36" x14ac:dyDescent="0.15">
      <c r="B72" s="99" t="s">
        <v>1170</v>
      </c>
      <c r="C72" s="40" t="s">
        <v>1022</v>
      </c>
      <c r="D72" s="40" t="s">
        <v>1023</v>
      </c>
      <c r="E72" s="40" t="s">
        <v>1024</v>
      </c>
      <c r="F72" s="40" t="s">
        <v>1025</v>
      </c>
      <c r="G72" s="40" t="s">
        <v>1026</v>
      </c>
      <c r="H72" s="40" t="s">
        <v>1027</v>
      </c>
      <c r="I72" s="40" t="s">
        <v>1028</v>
      </c>
      <c r="J72" s="40" t="s">
        <v>1029</v>
      </c>
      <c r="K72" s="40" t="s">
        <v>1030</v>
      </c>
      <c r="L72" s="40" t="s">
        <v>1031</v>
      </c>
      <c r="M72" s="40" t="s">
        <v>1032</v>
      </c>
      <c r="N72" s="40" t="s">
        <v>1033</v>
      </c>
      <c r="O72" s="40" t="s">
        <v>1034</v>
      </c>
      <c r="P72" s="40" t="s">
        <v>1035</v>
      </c>
      <c r="Q72" s="40" t="s">
        <v>1036</v>
      </c>
      <c r="R72" s="40" t="s">
        <v>1037</v>
      </c>
      <c r="T72" s="99" t="s">
        <v>1170</v>
      </c>
      <c r="U72" s="40" t="s">
        <v>1022</v>
      </c>
      <c r="V72" s="40" t="s">
        <v>1023</v>
      </c>
      <c r="W72" s="40" t="s">
        <v>1024</v>
      </c>
      <c r="X72" s="40" t="s">
        <v>1025</v>
      </c>
      <c r="Y72" s="40" t="s">
        <v>1026</v>
      </c>
      <c r="Z72" s="40" t="s">
        <v>1027</v>
      </c>
      <c r="AA72" s="40" t="s">
        <v>1028</v>
      </c>
      <c r="AB72" s="40" t="s">
        <v>1029</v>
      </c>
      <c r="AC72" s="40" t="s">
        <v>1030</v>
      </c>
      <c r="AD72" s="40" t="s">
        <v>1031</v>
      </c>
      <c r="AE72" s="40" t="s">
        <v>1032</v>
      </c>
      <c r="AF72" s="40" t="s">
        <v>1033</v>
      </c>
      <c r="AG72" s="40" t="s">
        <v>1034</v>
      </c>
      <c r="AH72" s="40" t="s">
        <v>1035</v>
      </c>
      <c r="AI72" s="40" t="s">
        <v>1036</v>
      </c>
      <c r="AJ72" s="40" t="s">
        <v>1037</v>
      </c>
    </row>
    <row r="73" spans="2:36" x14ac:dyDescent="0.15">
      <c r="B73" s="100" t="s">
        <v>1166</v>
      </c>
      <c r="C73" s="98">
        <f>SUMIFS('caseload data'!E:E,'caseload data'!$D:$D,"PO",'caseload data'!$C:$C,'divisional &amp; regional caseload'!$B$71)</f>
        <v>0</v>
      </c>
      <c r="D73" s="98">
        <f>SUMIFS('caseload data'!F:F,'caseload data'!$D:$D,"PO",'caseload data'!$C:$C,'divisional &amp; regional caseload'!$B$71)</f>
        <v>0</v>
      </c>
      <c r="E73" s="98">
        <f>SUMIFS('caseload data'!G:G,'caseload data'!$D:$D,"PO",'caseload data'!$C:$C,'divisional &amp; regional caseload'!$B$71)</f>
        <v>0</v>
      </c>
      <c r="F73" s="98">
        <f>SUMIFS('caseload data'!H:H,'caseload data'!$D:$D,"PO",'caseload data'!$C:$C,'divisional &amp; regional caseload'!$B$71)</f>
        <v>0</v>
      </c>
      <c r="G73" s="98">
        <f>SUMIFS('caseload data'!I:I,'caseload data'!$D:$D,"PO",'caseload data'!$C:$C,'divisional &amp; regional caseload'!$B$71)</f>
        <v>0</v>
      </c>
      <c r="H73" s="98">
        <f>SUMIFS('caseload data'!J:J,'caseload data'!$D:$D,"PO",'caseload data'!$C:$C,'divisional &amp; regional caseload'!$B$71)</f>
        <v>0</v>
      </c>
      <c r="I73" s="98">
        <f>SUMIFS('caseload data'!K:K,'caseload data'!$D:$D,"PO",'caseload data'!$C:$C,'divisional &amp; regional caseload'!$B$71)</f>
        <v>0</v>
      </c>
      <c r="J73" s="98">
        <f>SUMIFS('caseload data'!L:L,'caseload data'!$D:$D,"PO",'caseload data'!$C:$C,'divisional &amp; regional caseload'!$B$71)</f>
        <v>0</v>
      </c>
      <c r="K73" s="98">
        <f>SUMIFS('caseload data'!M:M,'caseload data'!$D:$D,"PO",'caseload data'!$C:$C,'divisional &amp; regional caseload'!$B$71)</f>
        <v>0</v>
      </c>
      <c r="L73" s="98">
        <f>SUMIFS('caseload data'!N:N,'caseload data'!$D:$D,"PO",'caseload data'!$C:$C,'divisional &amp; regional caseload'!$B$71)</f>
        <v>0</v>
      </c>
      <c r="M73" s="98">
        <f>SUMIFS('caseload data'!O:O,'caseload data'!$D:$D,"PO",'caseload data'!$C:$C,'divisional &amp; regional caseload'!$B$71)</f>
        <v>0</v>
      </c>
      <c r="N73" s="98">
        <f>SUMIFS('caseload data'!P:P,'caseload data'!$D:$D,"PO",'caseload data'!$C:$C,'divisional &amp; regional caseload'!$B$71)</f>
        <v>0</v>
      </c>
      <c r="O73" s="98">
        <f>SUMIFS('caseload data'!Q:Q,'caseload data'!$D:$D,"PO",'caseload data'!$C:$C,'divisional &amp; regional caseload'!$B$71)</f>
        <v>0</v>
      </c>
      <c r="P73" s="98">
        <f>SUMIFS('caseload data'!R:R,'caseload data'!$D:$D,"PO",'caseload data'!$C:$C,'divisional &amp; regional caseload'!$B$71)</f>
        <v>0</v>
      </c>
      <c r="Q73" s="98">
        <f>SUMIFS('caseload data'!S:S,'caseload data'!$D:$D,"PO",'caseload data'!$C:$C,'divisional &amp; regional caseload'!$B$71)</f>
        <v>0</v>
      </c>
      <c r="R73" s="98">
        <f>SUMIFS('caseload data'!T:T,'caseload data'!$D:$D,"PO",'caseload data'!$C:$C,'divisional &amp; regional caseload'!$B$71)</f>
        <v>0</v>
      </c>
      <c r="T73" s="100" t="s">
        <v>1166</v>
      </c>
      <c r="U73" s="98">
        <f>SUMIFS('caseload data'!E:E,'caseload data'!$D:$D,"PO",'caseload data'!$C:$C,'divisional &amp; regional caseload'!$T$71)</f>
        <v>0</v>
      </c>
      <c r="V73" s="98">
        <f>SUMIFS('caseload data'!F:F,'caseload data'!$D:$D,"PO",'caseload data'!$C:$C,'divisional &amp; regional caseload'!$T$71)</f>
        <v>0</v>
      </c>
      <c r="W73" s="98">
        <f>SUMIFS('caseload data'!G:G,'caseload data'!$D:$D,"PO",'caseload data'!$C:$C,'divisional &amp; regional caseload'!$T$71)</f>
        <v>0</v>
      </c>
      <c r="X73" s="98">
        <f>SUMIFS('caseload data'!H:H,'caseload data'!$D:$D,"PO",'caseload data'!$C:$C,'divisional &amp; regional caseload'!$T$71)</f>
        <v>0</v>
      </c>
      <c r="Y73" s="98">
        <f>SUMIFS('caseload data'!I:I,'caseload data'!$D:$D,"PO",'caseload data'!$C:$C,'divisional &amp; regional caseload'!$T$71)</f>
        <v>0</v>
      </c>
      <c r="Z73" s="98">
        <f>SUMIFS('caseload data'!J:J,'caseload data'!$D:$D,"PO",'caseload data'!$C:$C,'divisional &amp; regional caseload'!$T$71)</f>
        <v>0</v>
      </c>
      <c r="AA73" s="98">
        <f>SUMIFS('caseload data'!K:K,'caseload data'!$D:$D,"PO",'caseload data'!$C:$C,'divisional &amp; regional caseload'!$T$71)</f>
        <v>0</v>
      </c>
      <c r="AB73" s="98">
        <f>SUMIFS('caseload data'!L:L,'caseload data'!$D:$D,"PO",'caseload data'!$C:$C,'divisional &amp; regional caseload'!$T$71)</f>
        <v>0</v>
      </c>
      <c r="AC73" s="98">
        <f>SUMIFS('caseload data'!M:M,'caseload data'!$D:$D,"PO",'caseload data'!$C:$C,'divisional &amp; regional caseload'!$T$71)</f>
        <v>0</v>
      </c>
      <c r="AD73" s="98">
        <f>SUMIFS('caseload data'!N:N,'caseload data'!$D:$D,"PO",'caseload data'!$C:$C,'divisional &amp; regional caseload'!$T$71)</f>
        <v>0</v>
      </c>
      <c r="AE73" s="98">
        <f>SUMIFS('caseload data'!O:O,'caseload data'!$D:$D,"PO",'caseload data'!$C:$C,'divisional &amp; regional caseload'!$T$71)</f>
        <v>0</v>
      </c>
      <c r="AF73" s="98">
        <f>SUMIFS('caseload data'!P:P,'caseload data'!$D:$D,"PO",'caseload data'!$C:$C,'divisional &amp; regional caseload'!$T$71)</f>
        <v>0</v>
      </c>
      <c r="AG73" s="98">
        <f>SUMIFS('caseload data'!Q:Q,'caseload data'!$D:$D,"PO",'caseload data'!$C:$C,'divisional &amp; regional caseload'!$T$71)</f>
        <v>0</v>
      </c>
      <c r="AH73" s="98">
        <f>SUMIFS('caseload data'!R:R,'caseload data'!$D:$D,"PO",'caseload data'!$C:$C,'divisional &amp; regional caseload'!$T$71)</f>
        <v>0</v>
      </c>
      <c r="AI73" s="98">
        <f>SUMIFS('caseload data'!S:S,'caseload data'!$D:$D,"PO",'caseload data'!$C:$C,'divisional &amp; regional caseload'!$T$71)</f>
        <v>0</v>
      </c>
      <c r="AJ73" s="98">
        <f>SUMIFS('caseload data'!T:T,'caseload data'!$D:$D,"PO",'caseload data'!$C:$C,'divisional &amp; regional caseload'!$T$71)</f>
        <v>0</v>
      </c>
    </row>
    <row r="74" spans="2:36" x14ac:dyDescent="0.15">
      <c r="B74" s="101" t="s">
        <v>1172</v>
      </c>
      <c r="C74" s="98">
        <f>SUMIFS('caseload data'!E:E,'caseload data'!$D:$D,"PSO",'caseload data'!$C:$C,'divisional &amp; regional caseload'!$B$71)</f>
        <v>0</v>
      </c>
      <c r="D74" s="98">
        <f>SUMIFS('caseload data'!F:F,'caseload data'!$D:$D,"PSO",'caseload data'!$C:$C,'divisional &amp; regional caseload'!$B$71)</f>
        <v>0</v>
      </c>
      <c r="E74" s="98">
        <f>SUMIFS('caseload data'!G:G,'caseload data'!$D:$D,"PSO",'caseload data'!$C:$C,'divisional &amp; regional caseload'!$B$71)</f>
        <v>0</v>
      </c>
      <c r="F74" s="98">
        <f>SUMIFS('caseload data'!H:H,'caseload data'!$D:$D,"PSO",'caseload data'!$C:$C,'divisional &amp; regional caseload'!$B$71)</f>
        <v>0</v>
      </c>
      <c r="G74" s="98">
        <f>SUMIFS('caseload data'!I:I,'caseload data'!$D:$D,"PSO",'caseload data'!$C:$C,'divisional &amp; regional caseload'!$B$71)</f>
        <v>0</v>
      </c>
      <c r="H74" s="98">
        <f>SUMIFS('caseload data'!J:J,'caseload data'!$D:$D,"PSO",'caseload data'!$C:$C,'divisional &amp; regional caseload'!$B$71)</f>
        <v>0</v>
      </c>
      <c r="I74" s="98">
        <f>SUMIFS('caseload data'!K:K,'caseload data'!$D:$D,"PSO",'caseload data'!$C:$C,'divisional &amp; regional caseload'!$B$71)</f>
        <v>0</v>
      </c>
      <c r="J74" s="98">
        <f>SUMIFS('caseload data'!L:L,'caseload data'!$D:$D,"PSO",'caseload data'!$C:$C,'divisional &amp; regional caseload'!$B$71)</f>
        <v>0</v>
      </c>
      <c r="K74" s="98">
        <f>SUMIFS('caseload data'!M:M,'caseload data'!$D:$D,"PSO",'caseload data'!$C:$C,'divisional &amp; regional caseload'!$B$71)</f>
        <v>0</v>
      </c>
      <c r="L74" s="98">
        <f>SUMIFS('caseload data'!N:N,'caseload data'!$D:$D,"PSO",'caseload data'!$C:$C,'divisional &amp; regional caseload'!$B$71)</f>
        <v>0</v>
      </c>
      <c r="M74" s="98">
        <f>SUMIFS('caseload data'!O:O,'caseload data'!$D:$D,"PSO",'caseload data'!$C:$C,'divisional &amp; regional caseload'!$B$71)</f>
        <v>0</v>
      </c>
      <c r="N74" s="98">
        <f>SUMIFS('caseload data'!P:P,'caseload data'!$D:$D,"PSO",'caseload data'!$C:$C,'divisional &amp; regional caseload'!$B$71)</f>
        <v>0</v>
      </c>
      <c r="O74" s="98">
        <f>SUMIFS('caseload data'!Q:Q,'caseload data'!$D:$D,"PSO",'caseload data'!$C:$C,'divisional &amp; regional caseload'!$B$71)</f>
        <v>0</v>
      </c>
      <c r="P74" s="98">
        <f>SUMIFS('caseload data'!R:R,'caseload data'!$D:$D,"PSO",'caseload data'!$C:$C,'divisional &amp; regional caseload'!$B$71)</f>
        <v>0</v>
      </c>
      <c r="Q74" s="98">
        <f>SUMIFS('caseload data'!S:S,'caseload data'!$D:$D,"PSO",'caseload data'!$C:$C,'divisional &amp; regional caseload'!$B$71)</f>
        <v>0</v>
      </c>
      <c r="R74" s="98">
        <f>SUMIFS('caseload data'!T:T,'caseload data'!$D:$D,"PSO",'caseload data'!$C:$C,'divisional &amp; regional caseload'!$B$71)</f>
        <v>0</v>
      </c>
      <c r="T74" s="101" t="s">
        <v>1172</v>
      </c>
      <c r="U74" s="98">
        <f>SUMIFS('caseload data'!E:E,'caseload data'!$D:$D,"PSO",'caseload data'!$C:$C,'divisional &amp; regional caseload'!$T$71)</f>
        <v>0</v>
      </c>
      <c r="V74" s="98">
        <f>SUMIFS('caseload data'!F:F,'caseload data'!$D:$D,"PSO",'caseload data'!$C:$C,'divisional &amp; regional caseload'!$T$71)</f>
        <v>0</v>
      </c>
      <c r="W74" s="98">
        <f>SUMIFS('caseload data'!G:G,'caseload data'!$D:$D,"PSO",'caseload data'!$C:$C,'divisional &amp; regional caseload'!$T$71)</f>
        <v>0</v>
      </c>
      <c r="X74" s="98">
        <f>SUMIFS('caseload data'!H:H,'caseload data'!$D:$D,"PSO",'caseload data'!$C:$C,'divisional &amp; regional caseload'!$T$71)</f>
        <v>0</v>
      </c>
      <c r="Y74" s="98">
        <f>SUMIFS('caseload data'!I:I,'caseload data'!$D:$D,"PSO",'caseload data'!$C:$C,'divisional &amp; regional caseload'!$T$71)</f>
        <v>0</v>
      </c>
      <c r="Z74" s="98">
        <f>SUMIFS('caseload data'!J:J,'caseload data'!$D:$D,"PSO",'caseload data'!$C:$C,'divisional &amp; regional caseload'!$T$71)</f>
        <v>0</v>
      </c>
      <c r="AA74" s="98">
        <f>SUMIFS('caseload data'!K:K,'caseload data'!$D:$D,"PSO",'caseload data'!$C:$C,'divisional &amp; regional caseload'!$T$71)</f>
        <v>0</v>
      </c>
      <c r="AB74" s="98">
        <f>SUMIFS('caseload data'!L:L,'caseload data'!$D:$D,"PSO",'caseload data'!$C:$C,'divisional &amp; regional caseload'!$T$71)</f>
        <v>0</v>
      </c>
      <c r="AC74" s="98">
        <f>SUMIFS('caseload data'!M:M,'caseload data'!$D:$D,"PSO",'caseload data'!$C:$C,'divisional &amp; regional caseload'!$T$71)</f>
        <v>0</v>
      </c>
      <c r="AD74" s="98">
        <f>SUMIFS('caseload data'!N:N,'caseload data'!$D:$D,"PSO",'caseload data'!$C:$C,'divisional &amp; regional caseload'!$T$71)</f>
        <v>0</v>
      </c>
      <c r="AE74" s="98">
        <f>SUMIFS('caseload data'!O:O,'caseload data'!$D:$D,"PSO",'caseload data'!$C:$C,'divisional &amp; regional caseload'!$T$71)</f>
        <v>0</v>
      </c>
      <c r="AF74" s="98">
        <f>SUMIFS('caseload data'!P:P,'caseload data'!$D:$D,"PSO",'caseload data'!$C:$C,'divisional &amp; regional caseload'!$T$71)</f>
        <v>0</v>
      </c>
      <c r="AG74" s="98">
        <f>SUMIFS('caseload data'!Q:Q,'caseload data'!$D:$D,"PSO",'caseload data'!$C:$C,'divisional &amp; regional caseload'!$T$71)</f>
        <v>0</v>
      </c>
      <c r="AH74" s="98">
        <f>SUMIFS('caseload data'!R:R,'caseload data'!$D:$D,"PSO",'caseload data'!$C:$C,'divisional &amp; regional caseload'!$T$71)</f>
        <v>0</v>
      </c>
      <c r="AI74" s="98">
        <f>SUMIFS('caseload data'!S:S,'caseload data'!$D:$D,"PSO",'caseload data'!$C:$C,'divisional &amp; regional caseload'!$T$71)</f>
        <v>0</v>
      </c>
      <c r="AJ74" s="98">
        <f>SUMIFS('caseload data'!T:T,'caseload data'!$D:$D,"PSO",'caseload data'!$C:$C,'divisional &amp; regional caseload'!$T$71)</f>
        <v>0</v>
      </c>
    </row>
    <row r="75" spans="2:36" x14ac:dyDescent="0.15">
      <c r="B75" s="101" t="s">
        <v>1173</v>
      </c>
      <c r="C75" s="98">
        <f>SUMIFS('caseload data'!E:E,'caseload data'!$D:$D,"TPO",'caseload data'!$C:$C,'divisional &amp; regional caseload'!$B$71)</f>
        <v>0</v>
      </c>
      <c r="D75" s="98">
        <f>SUMIFS('caseload data'!F:F,'caseload data'!$D:$D,"TPO",'caseload data'!$C:$C,'divisional &amp; regional caseload'!$B$71)</f>
        <v>0</v>
      </c>
      <c r="E75" s="98">
        <f>SUMIFS('caseload data'!G:G,'caseload data'!$D:$D,"TPO",'caseload data'!$C:$C,'divisional &amp; regional caseload'!$B$71)</f>
        <v>0</v>
      </c>
      <c r="F75" s="98">
        <f>SUMIFS('caseload data'!H:H,'caseload data'!$D:$D,"TPO",'caseload data'!$C:$C,'divisional &amp; regional caseload'!$B$71)</f>
        <v>0</v>
      </c>
      <c r="G75" s="98">
        <f>SUMIFS('caseload data'!I:I,'caseload data'!$D:$D,"TPO",'caseload data'!$C:$C,'divisional &amp; regional caseload'!$B$71)</f>
        <v>0</v>
      </c>
      <c r="H75" s="98">
        <f>SUMIFS('caseload data'!J:J,'caseload data'!$D:$D,"TPO",'caseload data'!$C:$C,'divisional &amp; regional caseload'!$B$71)</f>
        <v>0</v>
      </c>
      <c r="I75" s="98">
        <f>SUMIFS('caseload data'!K:K,'caseload data'!$D:$D,"TPO",'caseload data'!$C:$C,'divisional &amp; regional caseload'!$B$71)</f>
        <v>0</v>
      </c>
      <c r="J75" s="98">
        <f>SUMIFS('caseload data'!L:L,'caseload data'!$D:$D,"TPO",'caseload data'!$C:$C,'divisional &amp; regional caseload'!$B$71)</f>
        <v>0</v>
      </c>
      <c r="K75" s="98">
        <f>SUMIFS('caseload data'!M:M,'caseload data'!$D:$D,"TPO",'caseload data'!$C:$C,'divisional &amp; regional caseload'!$B$71)</f>
        <v>0</v>
      </c>
      <c r="L75" s="98">
        <f>SUMIFS('caseload data'!N:N,'caseload data'!$D:$D,"TPO",'caseload data'!$C:$C,'divisional &amp; regional caseload'!$B$71)</f>
        <v>0</v>
      </c>
      <c r="M75" s="98">
        <f>SUMIFS('caseload data'!O:O,'caseload data'!$D:$D,"TPO",'caseload data'!$C:$C,'divisional &amp; regional caseload'!$B$71)</f>
        <v>0</v>
      </c>
      <c r="N75" s="98">
        <f>SUMIFS('caseload data'!P:P,'caseload data'!$D:$D,"TPO",'caseload data'!$C:$C,'divisional &amp; regional caseload'!$B$71)</f>
        <v>0</v>
      </c>
      <c r="O75" s="98">
        <f>SUMIFS('caseload data'!Q:Q,'caseload data'!$D:$D,"TPO",'caseload data'!$C:$C,'divisional &amp; regional caseload'!$B$71)</f>
        <v>0</v>
      </c>
      <c r="P75" s="98">
        <f>SUMIFS('caseload data'!R:R,'caseload data'!$D:$D,"TPO",'caseload data'!$C:$C,'divisional &amp; regional caseload'!$B$71)</f>
        <v>0</v>
      </c>
      <c r="Q75" s="98">
        <f>SUMIFS('caseload data'!S:S,'caseload data'!$D:$D,"TPO",'caseload data'!$C:$C,'divisional &amp; regional caseload'!$B$71)</f>
        <v>0</v>
      </c>
      <c r="R75" s="98">
        <f>SUMIFS('caseload data'!T:T,'caseload data'!$D:$D,"TPO",'caseload data'!$C:$C,'divisional &amp; regional caseload'!$B$71)</f>
        <v>0</v>
      </c>
      <c r="T75" s="101" t="s">
        <v>1173</v>
      </c>
      <c r="U75" s="98">
        <f>SUMIFS('caseload data'!E:E,'caseload data'!$D:$D,"TPO",'caseload data'!$C:$C,'divisional &amp; regional caseload'!$T$71)</f>
        <v>0</v>
      </c>
      <c r="V75" s="98">
        <f>SUMIFS('caseload data'!F:F,'caseload data'!$D:$D,"TPO",'caseload data'!$C:$C,'divisional &amp; regional caseload'!$T$71)</f>
        <v>0</v>
      </c>
      <c r="W75" s="98">
        <f>SUMIFS('caseload data'!G:G,'caseload data'!$D:$D,"TPO",'caseload data'!$C:$C,'divisional &amp; regional caseload'!$T$71)</f>
        <v>0</v>
      </c>
      <c r="X75" s="98">
        <f>SUMIFS('caseload data'!H:H,'caseload data'!$D:$D,"TPO",'caseload data'!$C:$C,'divisional &amp; regional caseload'!$T$71)</f>
        <v>0</v>
      </c>
      <c r="Y75" s="98">
        <f>SUMIFS('caseload data'!I:I,'caseload data'!$D:$D,"TPO",'caseload data'!$C:$C,'divisional &amp; regional caseload'!$T$71)</f>
        <v>0</v>
      </c>
      <c r="Z75" s="98">
        <f>SUMIFS('caseload data'!J:J,'caseload data'!$D:$D,"TPO",'caseload data'!$C:$C,'divisional &amp; regional caseload'!$T$71)</f>
        <v>0</v>
      </c>
      <c r="AA75" s="98">
        <f>SUMIFS('caseload data'!K:K,'caseload data'!$D:$D,"TPO",'caseload data'!$C:$C,'divisional &amp; regional caseload'!$T$71)</f>
        <v>0</v>
      </c>
      <c r="AB75" s="98">
        <f>SUMIFS('caseload data'!L:L,'caseload data'!$D:$D,"TPO",'caseload data'!$C:$C,'divisional &amp; regional caseload'!$T$71)</f>
        <v>0</v>
      </c>
      <c r="AC75" s="98">
        <f>SUMIFS('caseload data'!M:M,'caseload data'!$D:$D,"TPO",'caseload data'!$C:$C,'divisional &amp; regional caseload'!$T$71)</f>
        <v>0</v>
      </c>
      <c r="AD75" s="98">
        <f>SUMIFS('caseload data'!N:N,'caseload data'!$D:$D,"TPO",'caseload data'!$C:$C,'divisional &amp; regional caseload'!$T$71)</f>
        <v>0</v>
      </c>
      <c r="AE75" s="98">
        <f>SUMIFS('caseload data'!O:O,'caseload data'!$D:$D,"TPO",'caseload data'!$C:$C,'divisional &amp; regional caseload'!$T$71)</f>
        <v>0</v>
      </c>
      <c r="AF75" s="98">
        <f>SUMIFS('caseload data'!P:P,'caseload data'!$D:$D,"TPO",'caseload data'!$C:$C,'divisional &amp; regional caseload'!$T$71)</f>
        <v>0</v>
      </c>
      <c r="AG75" s="98">
        <f>SUMIFS('caseload data'!Q:Q,'caseload data'!$D:$D,"TPO",'caseload data'!$C:$C,'divisional &amp; regional caseload'!$T$71)</f>
        <v>0</v>
      </c>
      <c r="AH75" s="98">
        <f>SUMIFS('caseload data'!R:R,'caseload data'!$D:$D,"TPO",'caseload data'!$C:$C,'divisional &amp; regional caseload'!$T$71)</f>
        <v>0</v>
      </c>
      <c r="AI75" s="98">
        <f>SUMIFS('caseload data'!S:S,'caseload data'!$D:$D,"TPO",'caseload data'!$C:$C,'divisional &amp; regional caseload'!$T$71)</f>
        <v>0</v>
      </c>
      <c r="AJ75" s="98">
        <f>SUMIFS('caseload data'!T:T,'caseload data'!$D:$D,"TPO",'caseload data'!$C:$C,'divisional &amp; regional caseload'!$T$71)</f>
        <v>0</v>
      </c>
    </row>
    <row r="76" spans="2:36" x14ac:dyDescent="0.15">
      <c r="B76" s="102" t="s">
        <v>1174</v>
      </c>
      <c r="C76" s="98">
        <f>SUMIFS('caseload data'!E:E,'caseload data'!$D:$D,"SPO",'caseload data'!$C:$C,'divisional &amp; regional caseload'!$B$71)</f>
        <v>0</v>
      </c>
      <c r="D76" s="98">
        <f>SUMIFS('caseload data'!F:F,'caseload data'!$D:$D,"SPO",'caseload data'!$C:$C,'divisional &amp; regional caseload'!$B$71)</f>
        <v>0</v>
      </c>
      <c r="E76" s="98">
        <f>SUMIFS('caseload data'!G:G,'caseload data'!$D:$D,"SPO",'caseload data'!$C:$C,'divisional &amp; regional caseload'!$B$71)</f>
        <v>0</v>
      </c>
      <c r="F76" s="98">
        <f>SUMIFS('caseload data'!H:H,'caseload data'!$D:$D,"SPO",'caseload data'!$C:$C,'divisional &amp; regional caseload'!$B$71)</f>
        <v>0</v>
      </c>
      <c r="G76" s="98">
        <f>SUMIFS('caseload data'!I:I,'caseload data'!$D:$D,"SPO",'caseload data'!$C:$C,'divisional &amp; regional caseload'!$B$71)</f>
        <v>0</v>
      </c>
      <c r="H76" s="98">
        <f>SUMIFS('caseload data'!J:J,'caseload data'!$D:$D,"SPO",'caseload data'!$C:$C,'divisional &amp; regional caseload'!$B$71)</f>
        <v>0</v>
      </c>
      <c r="I76" s="98">
        <f>SUMIFS('caseload data'!K:K,'caseload data'!$D:$D,"SPO",'caseload data'!$C:$C,'divisional &amp; regional caseload'!$B$71)</f>
        <v>0</v>
      </c>
      <c r="J76" s="98">
        <f>SUMIFS('caseload data'!L:L,'caseload data'!$D:$D,"SPO",'caseload data'!$C:$C,'divisional &amp; regional caseload'!$B$71)</f>
        <v>0</v>
      </c>
      <c r="K76" s="98">
        <f>SUMIFS('caseload data'!M:M,'caseload data'!$D:$D,"SPO",'caseload data'!$C:$C,'divisional &amp; regional caseload'!$B$71)</f>
        <v>0</v>
      </c>
      <c r="L76" s="98">
        <f>SUMIFS('caseload data'!N:N,'caseload data'!$D:$D,"SPO",'caseload data'!$C:$C,'divisional &amp; regional caseload'!$B$71)</f>
        <v>0</v>
      </c>
      <c r="M76" s="98">
        <f>SUMIFS('caseload data'!O:O,'caseload data'!$D:$D,"SPO",'caseload data'!$C:$C,'divisional &amp; regional caseload'!$B$71)</f>
        <v>0</v>
      </c>
      <c r="N76" s="98">
        <f>SUMIFS('caseload data'!P:P,'caseload data'!$D:$D,"SPO",'caseload data'!$C:$C,'divisional &amp; regional caseload'!$B$71)</f>
        <v>0</v>
      </c>
      <c r="O76" s="98">
        <f>SUMIFS('caseload data'!Q:Q,'caseload data'!$D:$D,"SPO",'caseload data'!$C:$C,'divisional &amp; regional caseload'!$B$71)</f>
        <v>0</v>
      </c>
      <c r="P76" s="98">
        <f>SUMIFS('caseload data'!R:R,'caseload data'!$D:$D,"SPO",'caseload data'!$C:$C,'divisional &amp; regional caseload'!$B$71)</f>
        <v>0</v>
      </c>
      <c r="Q76" s="98">
        <f>SUMIFS('caseload data'!S:S,'caseload data'!$D:$D,"SPO",'caseload data'!$C:$C,'divisional &amp; regional caseload'!$B$71)</f>
        <v>0</v>
      </c>
      <c r="R76" s="98">
        <f>SUMIFS('caseload data'!T:T,'caseload data'!$D:$D,"SPO",'caseload data'!$C:$C,'divisional &amp; regional caseload'!$B$71)</f>
        <v>0</v>
      </c>
      <c r="T76" s="102" t="s">
        <v>1174</v>
      </c>
      <c r="U76" s="98">
        <f>SUMIFS('caseload data'!E:E,'caseload data'!$D:$D,"SPO",'caseload data'!$C:$C,'divisional &amp; regional caseload'!$T$71)</f>
        <v>0</v>
      </c>
      <c r="V76" s="98">
        <f>SUMIFS('caseload data'!F:F,'caseload data'!$D:$D,"SPO",'caseload data'!$C:$C,'divisional &amp; regional caseload'!$T$71)</f>
        <v>0</v>
      </c>
      <c r="W76" s="98">
        <f>SUMIFS('caseload data'!G:G,'caseload data'!$D:$D,"SPO",'caseload data'!$C:$C,'divisional &amp; regional caseload'!$T$71)</f>
        <v>0</v>
      </c>
      <c r="X76" s="98">
        <f>SUMIFS('caseload data'!H:H,'caseload data'!$D:$D,"SPO",'caseload data'!$C:$C,'divisional &amp; regional caseload'!$T$71)</f>
        <v>0</v>
      </c>
      <c r="Y76" s="98">
        <f>SUMIFS('caseload data'!I:I,'caseload data'!$D:$D,"SPO",'caseload data'!$C:$C,'divisional &amp; regional caseload'!$T$71)</f>
        <v>0</v>
      </c>
      <c r="Z76" s="98">
        <f>SUMIFS('caseload data'!J:J,'caseload data'!$D:$D,"SPO",'caseload data'!$C:$C,'divisional &amp; regional caseload'!$T$71)</f>
        <v>0</v>
      </c>
      <c r="AA76" s="98">
        <f>SUMIFS('caseload data'!K:K,'caseload data'!$D:$D,"SPO",'caseload data'!$C:$C,'divisional &amp; regional caseload'!$T$71)</f>
        <v>0</v>
      </c>
      <c r="AB76" s="98">
        <f>SUMIFS('caseload data'!L:L,'caseload data'!$D:$D,"SPO",'caseload data'!$C:$C,'divisional &amp; regional caseload'!$T$71)</f>
        <v>0</v>
      </c>
      <c r="AC76" s="98">
        <f>SUMIFS('caseload data'!M:M,'caseload data'!$D:$D,"SPO",'caseload data'!$C:$C,'divisional &amp; regional caseload'!$T$71)</f>
        <v>0</v>
      </c>
      <c r="AD76" s="98">
        <f>SUMIFS('caseload data'!N:N,'caseload data'!$D:$D,"SPO",'caseload data'!$C:$C,'divisional &amp; regional caseload'!$T$71)</f>
        <v>0</v>
      </c>
      <c r="AE76" s="98">
        <f>SUMIFS('caseload data'!O:O,'caseload data'!$D:$D,"SPO",'caseload data'!$C:$C,'divisional &amp; regional caseload'!$T$71)</f>
        <v>0</v>
      </c>
      <c r="AF76" s="98">
        <f>SUMIFS('caseload data'!P:P,'caseload data'!$D:$D,"SPO",'caseload data'!$C:$C,'divisional &amp; regional caseload'!$T$71)</f>
        <v>0</v>
      </c>
      <c r="AG76" s="98">
        <f>SUMIFS('caseload data'!Q:Q,'caseload data'!$D:$D,"SPO",'caseload data'!$C:$C,'divisional &amp; regional caseload'!$T$71)</f>
        <v>0</v>
      </c>
      <c r="AH76" s="98">
        <f>SUMIFS('caseload data'!R:R,'caseload data'!$D:$D,"SPO",'caseload data'!$C:$C,'divisional &amp; regional caseload'!$T$71)</f>
        <v>0</v>
      </c>
      <c r="AI76" s="98">
        <f>SUMIFS('caseload data'!S:S,'caseload data'!$D:$D,"SPO",'caseload data'!$C:$C,'divisional &amp; regional caseload'!$T$71)</f>
        <v>0</v>
      </c>
      <c r="AJ76" s="98">
        <f>SUMIFS('caseload data'!T:T,'caseload data'!$D:$D,"SPO",'caseload data'!$C:$C,'divisional &amp; regional caseload'!$T$71)</f>
        <v>0</v>
      </c>
    </row>
    <row r="78" spans="2:36" ht="30" customHeight="1" x14ac:dyDescent="0.15">
      <c r="B78" s="302" t="str">
        <f>HLOOKUP($B$5,Region_Table,22,0)</f>
        <v>Tower Hamlets</v>
      </c>
      <c r="C78" s="459" t="s">
        <v>1271</v>
      </c>
      <c r="D78" s="460"/>
      <c r="E78" s="460"/>
      <c r="F78" s="460"/>
      <c r="G78" s="460"/>
      <c r="H78" s="460"/>
      <c r="I78" s="460"/>
      <c r="J78" s="460"/>
      <c r="K78" s="460"/>
      <c r="L78" s="460"/>
      <c r="M78" s="470"/>
      <c r="N78" s="470"/>
      <c r="O78" s="471"/>
      <c r="P78" s="462">
        <f>SUMIF('caseload data'!$C:$C,'divisional &amp; regional caseload'!B78,'caseload data'!V:V)</f>
        <v>0</v>
      </c>
      <c r="Q78" s="463"/>
      <c r="R78" s="464"/>
      <c r="T78" s="302" t="str">
        <f>HLOOKUP($B$5,Region_Table,23,0)</f>
        <v>Unallocated Level 2(N07)</v>
      </c>
      <c r="U78" s="459" t="s">
        <v>1271</v>
      </c>
      <c r="V78" s="460"/>
      <c r="W78" s="460"/>
      <c r="X78" s="460"/>
      <c r="Y78" s="460"/>
      <c r="Z78" s="460"/>
      <c r="AA78" s="460"/>
      <c r="AB78" s="460"/>
      <c r="AC78" s="460"/>
      <c r="AD78" s="460"/>
      <c r="AE78" s="460"/>
      <c r="AF78" s="460"/>
      <c r="AG78" s="461"/>
      <c r="AH78" s="462">
        <f>SUMIF('caseload data'!$C:$C,'divisional &amp; regional caseload'!T78,'caseload data'!V:V)</f>
        <v>0</v>
      </c>
      <c r="AI78" s="465"/>
      <c r="AJ78" s="466"/>
    </row>
    <row r="79" spans="2:36" x14ac:dyDescent="0.15">
      <c r="B79" s="99" t="s">
        <v>1170</v>
      </c>
      <c r="C79" s="40" t="s">
        <v>1022</v>
      </c>
      <c r="D79" s="40" t="s">
        <v>1023</v>
      </c>
      <c r="E79" s="40" t="s">
        <v>1024</v>
      </c>
      <c r="F79" s="40" t="s">
        <v>1025</v>
      </c>
      <c r="G79" s="40" t="s">
        <v>1026</v>
      </c>
      <c r="H79" s="40" t="s">
        <v>1027</v>
      </c>
      <c r="I79" s="40" t="s">
        <v>1028</v>
      </c>
      <c r="J79" s="40" t="s">
        <v>1029</v>
      </c>
      <c r="K79" s="40" t="s">
        <v>1030</v>
      </c>
      <c r="L79" s="40" t="s">
        <v>1031</v>
      </c>
      <c r="M79" s="40" t="s">
        <v>1032</v>
      </c>
      <c r="N79" s="40" t="s">
        <v>1033</v>
      </c>
      <c r="O79" s="40" t="s">
        <v>1034</v>
      </c>
      <c r="P79" s="40" t="s">
        <v>1035</v>
      </c>
      <c r="Q79" s="40" t="s">
        <v>1036</v>
      </c>
      <c r="R79" s="40" t="s">
        <v>1037</v>
      </c>
      <c r="T79" s="99" t="s">
        <v>1170</v>
      </c>
      <c r="U79" s="40" t="s">
        <v>1022</v>
      </c>
      <c r="V79" s="40" t="s">
        <v>1023</v>
      </c>
      <c r="W79" s="40" t="s">
        <v>1024</v>
      </c>
      <c r="X79" s="40" t="s">
        <v>1025</v>
      </c>
      <c r="Y79" s="40" t="s">
        <v>1026</v>
      </c>
      <c r="Z79" s="40" t="s">
        <v>1027</v>
      </c>
      <c r="AA79" s="40" t="s">
        <v>1028</v>
      </c>
      <c r="AB79" s="40" t="s">
        <v>1029</v>
      </c>
      <c r="AC79" s="40" t="s">
        <v>1030</v>
      </c>
      <c r="AD79" s="40" t="s">
        <v>1031</v>
      </c>
      <c r="AE79" s="40" t="s">
        <v>1032</v>
      </c>
      <c r="AF79" s="40" t="s">
        <v>1033</v>
      </c>
      <c r="AG79" s="40" t="s">
        <v>1034</v>
      </c>
      <c r="AH79" s="40" t="s">
        <v>1035</v>
      </c>
      <c r="AI79" s="40" t="s">
        <v>1036</v>
      </c>
      <c r="AJ79" s="40" t="s">
        <v>1037</v>
      </c>
    </row>
    <row r="80" spans="2:36" x14ac:dyDescent="0.15">
      <c r="B80" s="100" t="s">
        <v>1166</v>
      </c>
      <c r="C80" s="98">
        <f>SUMIFS('caseload data'!E:E,'caseload data'!$D:$D,"PO",'caseload data'!$C:$C,'divisional &amp; regional caseload'!$B$78)</f>
        <v>0</v>
      </c>
      <c r="D80" s="98">
        <f>SUMIFS('caseload data'!F:F,'caseload data'!$D:$D,"PO",'caseload data'!$C:$C,'divisional &amp; regional caseload'!$B$78)</f>
        <v>0</v>
      </c>
      <c r="E80" s="98">
        <f>SUMIFS('caseload data'!G:G,'caseload data'!$D:$D,"PO",'caseload data'!$C:$C,'divisional &amp; regional caseload'!$B$78)</f>
        <v>0</v>
      </c>
      <c r="F80" s="98">
        <f>SUMIFS('caseload data'!H:H,'caseload data'!$D:$D,"PO",'caseload data'!$C:$C,'divisional &amp; regional caseload'!$B$78)</f>
        <v>0</v>
      </c>
      <c r="G80" s="98">
        <f>SUMIFS('caseload data'!I:I,'caseload data'!$D:$D,"PO",'caseload data'!$C:$C,'divisional &amp; regional caseload'!$B$78)</f>
        <v>0</v>
      </c>
      <c r="H80" s="98">
        <f>SUMIFS('caseload data'!J:J,'caseload data'!$D:$D,"PO",'caseload data'!$C:$C,'divisional &amp; regional caseload'!$B$78)</f>
        <v>0</v>
      </c>
      <c r="I80" s="98">
        <f>SUMIFS('caseload data'!K:K,'caseload data'!$D:$D,"PO",'caseload data'!$C:$C,'divisional &amp; regional caseload'!$B$78)</f>
        <v>0</v>
      </c>
      <c r="J80" s="98">
        <f>SUMIFS('caseload data'!L:L,'caseload data'!$D:$D,"PO",'caseload data'!$C:$C,'divisional &amp; regional caseload'!$B$78)</f>
        <v>0</v>
      </c>
      <c r="K80" s="98">
        <f>SUMIFS('caseload data'!M:M,'caseload data'!$D:$D,"PO",'caseload data'!$C:$C,'divisional &amp; regional caseload'!$B$78)</f>
        <v>0</v>
      </c>
      <c r="L80" s="98">
        <f>SUMIFS('caseload data'!N:N,'caseload data'!$D:$D,"PO",'caseload data'!$C:$C,'divisional &amp; regional caseload'!$B$78)</f>
        <v>0</v>
      </c>
      <c r="M80" s="98">
        <f>SUMIFS('caseload data'!O:O,'caseload data'!$D:$D,"PO",'caseload data'!$C:$C,'divisional &amp; regional caseload'!$B$78)</f>
        <v>0</v>
      </c>
      <c r="N80" s="98">
        <f>SUMIFS('caseload data'!P:P,'caseload data'!$D:$D,"PO",'caseload data'!$C:$C,'divisional &amp; regional caseload'!$B$78)</f>
        <v>0</v>
      </c>
      <c r="O80" s="98">
        <f>SUMIFS('caseload data'!Q:Q,'caseload data'!$D:$D,"PO",'caseload data'!$C:$C,'divisional &amp; regional caseload'!$B$78)</f>
        <v>0</v>
      </c>
      <c r="P80" s="98">
        <f>SUMIFS('caseload data'!R:R,'caseload data'!$D:$D,"PO",'caseload data'!$C:$C,'divisional &amp; regional caseload'!$B$78)</f>
        <v>0</v>
      </c>
      <c r="Q80" s="98">
        <f>SUMIFS('caseload data'!S:S,'caseload data'!$D:$D,"PO",'caseload data'!$C:$C,'divisional &amp; regional caseload'!$B$78)</f>
        <v>0</v>
      </c>
      <c r="R80" s="98">
        <f>SUMIFS('caseload data'!T:T,'caseload data'!$D:$D,"PO",'caseload data'!$C:$C,'divisional &amp; regional caseload'!$B$78)</f>
        <v>0</v>
      </c>
      <c r="T80" s="100" t="s">
        <v>1166</v>
      </c>
      <c r="U80" s="98">
        <f>SUMIFS('caseload data'!E:E,'caseload data'!$D:$D,"PO",'caseload data'!$C:$C,'divisional &amp; regional caseload'!$T$64)</f>
        <v>0</v>
      </c>
      <c r="V80" s="98">
        <f>SUMIFS('caseload data'!F:F,'caseload data'!$D:$D,"PO",'caseload data'!$C:$C,'divisional &amp; regional caseload'!$T$64)</f>
        <v>0</v>
      </c>
      <c r="W80" s="98">
        <f>SUMIFS('caseload data'!G:G,'caseload data'!$D:$D,"PO",'caseload data'!$C:$C,'divisional &amp; regional caseload'!$T$64)</f>
        <v>0</v>
      </c>
      <c r="X80" s="98">
        <f>SUMIFS('caseload data'!H:H,'caseload data'!$D:$D,"PO",'caseload data'!$C:$C,'divisional &amp; regional caseload'!$T$64)</f>
        <v>0</v>
      </c>
      <c r="Y80" s="98">
        <f>SUMIFS('caseload data'!I:I,'caseload data'!$D:$D,"PO",'caseload data'!$C:$C,'divisional &amp; regional caseload'!$T$64)</f>
        <v>0</v>
      </c>
      <c r="Z80" s="98">
        <f>SUMIFS('caseload data'!J:J,'caseload data'!$D:$D,"PO",'caseload data'!$C:$C,'divisional &amp; regional caseload'!$T$64)</f>
        <v>0</v>
      </c>
      <c r="AA80" s="98">
        <f>SUMIFS('caseload data'!K:K,'caseload data'!$D:$D,"PO",'caseload data'!$C:$C,'divisional &amp; regional caseload'!$T$64)</f>
        <v>0</v>
      </c>
      <c r="AB80" s="98">
        <f>SUMIFS('caseload data'!L:L,'caseload data'!$D:$D,"PO",'caseload data'!$C:$C,'divisional &amp; regional caseload'!$T$64)</f>
        <v>0</v>
      </c>
      <c r="AC80" s="98">
        <f>SUMIFS('caseload data'!M:M,'caseload data'!$D:$D,"PO",'caseload data'!$C:$C,'divisional &amp; regional caseload'!$T$64)</f>
        <v>0</v>
      </c>
      <c r="AD80" s="98">
        <f>SUMIFS('caseload data'!N:N,'caseload data'!$D:$D,"PO",'caseload data'!$C:$C,'divisional &amp; regional caseload'!$T$64)</f>
        <v>0</v>
      </c>
      <c r="AE80" s="98">
        <f>SUMIFS('caseload data'!O:O,'caseload data'!$D:$D,"PO",'caseload data'!$C:$C,'divisional &amp; regional caseload'!$T$64)</f>
        <v>0</v>
      </c>
      <c r="AF80" s="98">
        <f>SUMIFS('caseload data'!P:P,'caseload data'!$D:$D,"PO",'caseload data'!$C:$C,'divisional &amp; regional caseload'!$T$64)</f>
        <v>0</v>
      </c>
      <c r="AG80" s="98">
        <f>SUMIFS('caseload data'!Q:Q,'caseload data'!$D:$D,"PO",'caseload data'!$C:$C,'divisional &amp; regional caseload'!$T$64)</f>
        <v>0</v>
      </c>
      <c r="AH80" s="98">
        <f>SUMIFS('caseload data'!R:R,'caseload data'!$D:$D,"PO",'caseload data'!$C:$C,'divisional &amp; regional caseload'!$T$64)</f>
        <v>0</v>
      </c>
      <c r="AI80" s="98">
        <f>SUMIFS('caseload data'!S:S,'caseload data'!$D:$D,"PO",'caseload data'!$C:$C,'divisional &amp; regional caseload'!$T$64)</f>
        <v>0</v>
      </c>
      <c r="AJ80" s="98">
        <f>SUMIFS('caseload data'!T:T,'caseload data'!$D:$D,"PO",'caseload data'!$C:$C,'divisional &amp; regional caseload'!$T$64)</f>
        <v>0</v>
      </c>
    </row>
    <row r="81" spans="2:36" x14ac:dyDescent="0.15">
      <c r="B81" s="101" t="s">
        <v>1172</v>
      </c>
      <c r="C81" s="98">
        <f>SUMIFS('caseload data'!E:E,'caseload data'!$D:$D,"PSO",'caseload data'!$C:$C,'divisional &amp; regional caseload'!$B$78)</f>
        <v>0</v>
      </c>
      <c r="D81" s="98">
        <f>SUMIFS('caseload data'!F:F,'caseload data'!$D:$D,"PSO",'caseload data'!$C:$C,'divisional &amp; regional caseload'!$B$78)</f>
        <v>0</v>
      </c>
      <c r="E81" s="98">
        <f>SUMIFS('caseload data'!G:G,'caseload data'!$D:$D,"PSO",'caseload data'!$C:$C,'divisional &amp; regional caseload'!$B$78)</f>
        <v>0</v>
      </c>
      <c r="F81" s="98">
        <f>SUMIFS('caseload data'!H:H,'caseload data'!$D:$D,"PSO",'caseload data'!$C:$C,'divisional &amp; regional caseload'!$B$78)</f>
        <v>0</v>
      </c>
      <c r="G81" s="98">
        <f>SUMIFS('caseload data'!I:I,'caseload data'!$D:$D,"PSO",'caseload data'!$C:$C,'divisional &amp; regional caseload'!$B$78)</f>
        <v>0</v>
      </c>
      <c r="H81" s="98">
        <f>SUMIFS('caseload data'!J:J,'caseload data'!$D:$D,"PSO",'caseload data'!$C:$C,'divisional &amp; regional caseload'!$B$78)</f>
        <v>0</v>
      </c>
      <c r="I81" s="98">
        <f>SUMIFS('caseload data'!K:K,'caseload data'!$D:$D,"PSO",'caseload data'!$C:$C,'divisional &amp; regional caseload'!$B$78)</f>
        <v>0</v>
      </c>
      <c r="J81" s="98">
        <f>SUMIFS('caseload data'!L:L,'caseload data'!$D:$D,"PSO",'caseload data'!$C:$C,'divisional &amp; regional caseload'!$B$78)</f>
        <v>0</v>
      </c>
      <c r="K81" s="98">
        <f>SUMIFS('caseload data'!M:M,'caseload data'!$D:$D,"PSO",'caseload data'!$C:$C,'divisional &amp; regional caseload'!$B$78)</f>
        <v>0</v>
      </c>
      <c r="L81" s="98">
        <f>SUMIFS('caseload data'!N:N,'caseload data'!$D:$D,"PSO",'caseload data'!$C:$C,'divisional &amp; regional caseload'!$B$78)</f>
        <v>0</v>
      </c>
      <c r="M81" s="98">
        <f>SUMIFS('caseload data'!O:O,'caseload data'!$D:$D,"PSO",'caseload data'!$C:$C,'divisional &amp; regional caseload'!$B$78)</f>
        <v>0</v>
      </c>
      <c r="N81" s="98">
        <f>SUMIFS('caseload data'!P:P,'caseload data'!$D:$D,"PSO",'caseload data'!$C:$C,'divisional &amp; regional caseload'!$B$78)</f>
        <v>0</v>
      </c>
      <c r="O81" s="98">
        <f>SUMIFS('caseload data'!Q:Q,'caseload data'!$D:$D,"PSO",'caseload data'!$C:$C,'divisional &amp; regional caseload'!$B$78)</f>
        <v>0</v>
      </c>
      <c r="P81" s="98">
        <f>SUMIFS('caseload data'!R:R,'caseload data'!$D:$D,"PSO",'caseload data'!$C:$C,'divisional &amp; regional caseload'!$B$78)</f>
        <v>0</v>
      </c>
      <c r="Q81" s="98">
        <f>SUMIFS('caseload data'!S:S,'caseload data'!$D:$D,"PSO",'caseload data'!$C:$C,'divisional &amp; regional caseload'!$B$78)</f>
        <v>0</v>
      </c>
      <c r="R81" s="98">
        <f>SUMIFS('caseload data'!T:T,'caseload data'!$D:$D,"PSO",'caseload data'!$C:$C,'divisional &amp; regional caseload'!$B$78)</f>
        <v>0</v>
      </c>
      <c r="T81" s="101" t="s">
        <v>1172</v>
      </c>
      <c r="U81" s="98">
        <f>SUMIFS('caseload data'!E:E,'caseload data'!$D:$D,"PSO",'caseload data'!$C:$C,'divisional &amp; regional caseload'!$T$64)</f>
        <v>0</v>
      </c>
      <c r="V81" s="98">
        <f>SUMIFS('caseload data'!F:F,'caseload data'!$D:$D,"PSO",'caseload data'!$C:$C,'divisional &amp; regional caseload'!$T$64)</f>
        <v>0</v>
      </c>
      <c r="W81" s="98">
        <f>SUMIFS('caseload data'!G:G,'caseload data'!$D:$D,"PSO",'caseload data'!$C:$C,'divisional &amp; regional caseload'!$T$64)</f>
        <v>0</v>
      </c>
      <c r="X81" s="98">
        <f>SUMIFS('caseload data'!H:H,'caseload data'!$D:$D,"PSO",'caseload data'!$C:$C,'divisional &amp; regional caseload'!$T$64)</f>
        <v>0</v>
      </c>
      <c r="Y81" s="98">
        <f>SUMIFS('caseload data'!I:I,'caseload data'!$D:$D,"PSO",'caseload data'!$C:$C,'divisional &amp; regional caseload'!$T$64)</f>
        <v>0</v>
      </c>
      <c r="Z81" s="98">
        <f>SUMIFS('caseload data'!J:J,'caseload data'!$D:$D,"PSO",'caseload data'!$C:$C,'divisional &amp; regional caseload'!$T$64)</f>
        <v>0</v>
      </c>
      <c r="AA81" s="98">
        <f>SUMIFS('caseload data'!K:K,'caseload data'!$D:$D,"PSO",'caseload data'!$C:$C,'divisional &amp; regional caseload'!$T$64)</f>
        <v>0</v>
      </c>
      <c r="AB81" s="98">
        <f>SUMIFS('caseload data'!L:L,'caseload data'!$D:$D,"PSO",'caseload data'!$C:$C,'divisional &amp; regional caseload'!$T$64)</f>
        <v>0</v>
      </c>
      <c r="AC81" s="98">
        <f>SUMIFS('caseload data'!M:M,'caseload data'!$D:$D,"PSO",'caseload data'!$C:$C,'divisional &amp; regional caseload'!$T$64)</f>
        <v>0</v>
      </c>
      <c r="AD81" s="98">
        <f>SUMIFS('caseload data'!N:N,'caseload data'!$D:$D,"PSO",'caseload data'!$C:$C,'divisional &amp; regional caseload'!$T$64)</f>
        <v>0</v>
      </c>
      <c r="AE81" s="98">
        <f>SUMIFS('caseload data'!O:O,'caseload data'!$D:$D,"PSO",'caseload data'!$C:$C,'divisional &amp; regional caseload'!$T$64)</f>
        <v>0</v>
      </c>
      <c r="AF81" s="98">
        <f>SUMIFS('caseload data'!P:P,'caseload data'!$D:$D,"PSO",'caseload data'!$C:$C,'divisional &amp; regional caseload'!$T$64)</f>
        <v>0</v>
      </c>
      <c r="AG81" s="98">
        <f>SUMIFS('caseload data'!Q:Q,'caseload data'!$D:$D,"PSO",'caseload data'!$C:$C,'divisional &amp; regional caseload'!$T$64)</f>
        <v>0</v>
      </c>
      <c r="AH81" s="98">
        <f>SUMIFS('caseload data'!R:R,'caseload data'!$D:$D,"PSO",'caseload data'!$C:$C,'divisional &amp; regional caseload'!$T$64)</f>
        <v>0</v>
      </c>
      <c r="AI81" s="98">
        <f>SUMIFS('caseload data'!S:S,'caseload data'!$D:$D,"PSO",'caseload data'!$C:$C,'divisional &amp; regional caseload'!$T$64)</f>
        <v>0</v>
      </c>
      <c r="AJ81" s="98">
        <f>SUMIFS('caseload data'!T:T,'caseload data'!$D:$D,"PSO",'caseload data'!$C:$C,'divisional &amp; regional caseload'!$T$64)</f>
        <v>0</v>
      </c>
    </row>
    <row r="82" spans="2:36" x14ac:dyDescent="0.15">
      <c r="B82" s="101" t="s">
        <v>1173</v>
      </c>
      <c r="C82" s="98">
        <f>SUMIFS('caseload data'!E:E,'caseload data'!$D:$D,"TPO",'caseload data'!$C:$C,'divisional &amp; regional caseload'!$B$78)</f>
        <v>0</v>
      </c>
      <c r="D82" s="98">
        <f>SUMIFS('caseload data'!F:F,'caseload data'!$D:$D,"TPO",'caseload data'!$C:$C,'divisional &amp; regional caseload'!$B$78)</f>
        <v>0</v>
      </c>
      <c r="E82" s="98">
        <f>SUMIFS('caseload data'!G:G,'caseload data'!$D:$D,"TPO",'caseload data'!$C:$C,'divisional &amp; regional caseload'!$B$78)</f>
        <v>0</v>
      </c>
      <c r="F82" s="98">
        <f>SUMIFS('caseload data'!H:H,'caseload data'!$D:$D,"TPO",'caseload data'!$C:$C,'divisional &amp; regional caseload'!$B$78)</f>
        <v>0</v>
      </c>
      <c r="G82" s="98">
        <f>SUMIFS('caseload data'!I:I,'caseload data'!$D:$D,"TPO",'caseload data'!$C:$C,'divisional &amp; regional caseload'!$B$78)</f>
        <v>0</v>
      </c>
      <c r="H82" s="98">
        <f>SUMIFS('caseload data'!J:J,'caseload data'!$D:$D,"TPO",'caseload data'!$C:$C,'divisional &amp; regional caseload'!$B$78)</f>
        <v>0</v>
      </c>
      <c r="I82" s="98">
        <f>SUMIFS('caseload data'!K:K,'caseload data'!$D:$D,"TPO",'caseload data'!$C:$C,'divisional &amp; regional caseload'!$B$78)</f>
        <v>0</v>
      </c>
      <c r="J82" s="98">
        <f>SUMIFS('caseload data'!L:L,'caseload data'!$D:$D,"TPO",'caseload data'!$C:$C,'divisional &amp; regional caseload'!$B$78)</f>
        <v>0</v>
      </c>
      <c r="K82" s="98">
        <f>SUMIFS('caseload data'!M:M,'caseload data'!$D:$D,"TPO",'caseload data'!$C:$C,'divisional &amp; regional caseload'!$B$78)</f>
        <v>0</v>
      </c>
      <c r="L82" s="98">
        <f>SUMIFS('caseload data'!N:N,'caseload data'!$D:$D,"TPO",'caseload data'!$C:$C,'divisional &amp; regional caseload'!$B$78)</f>
        <v>0</v>
      </c>
      <c r="M82" s="98">
        <f>SUMIFS('caseload data'!O:O,'caseload data'!$D:$D,"TPO",'caseload data'!$C:$C,'divisional &amp; regional caseload'!$B$78)</f>
        <v>0</v>
      </c>
      <c r="N82" s="98">
        <f>SUMIFS('caseload data'!P:P,'caseload data'!$D:$D,"TPO",'caseload data'!$C:$C,'divisional &amp; regional caseload'!$B$78)</f>
        <v>0</v>
      </c>
      <c r="O82" s="98">
        <f>SUMIFS('caseload data'!Q:Q,'caseload data'!$D:$D,"TPO",'caseload data'!$C:$C,'divisional &amp; regional caseload'!$B$78)</f>
        <v>0</v>
      </c>
      <c r="P82" s="98">
        <f>SUMIFS('caseload data'!R:R,'caseload data'!$D:$D,"TPO",'caseload data'!$C:$C,'divisional &amp; regional caseload'!$B$78)</f>
        <v>0</v>
      </c>
      <c r="Q82" s="98">
        <f>SUMIFS('caseload data'!S:S,'caseload data'!$D:$D,"TPO",'caseload data'!$C:$C,'divisional &amp; regional caseload'!$B$78)</f>
        <v>0</v>
      </c>
      <c r="R82" s="98">
        <f>SUMIFS('caseload data'!T:T,'caseload data'!$D:$D,"TPO",'caseload data'!$C:$C,'divisional &amp; regional caseload'!$B$78)</f>
        <v>0</v>
      </c>
      <c r="T82" s="101" t="s">
        <v>1173</v>
      </c>
      <c r="U82" s="98">
        <f>SUMIFS('caseload data'!E:E,'caseload data'!$D:$D,"TPO",'caseload data'!$C:$C,'divisional &amp; regional caseload'!$T$64)</f>
        <v>0</v>
      </c>
      <c r="V82" s="98">
        <f>SUMIFS('caseload data'!F:F,'caseload data'!$D:$D,"TPO",'caseload data'!$C:$C,'divisional &amp; regional caseload'!$T$64)</f>
        <v>0</v>
      </c>
      <c r="W82" s="98">
        <f>SUMIFS('caseload data'!G:G,'caseload data'!$D:$D,"TPO",'caseload data'!$C:$C,'divisional &amp; regional caseload'!$T$64)</f>
        <v>0</v>
      </c>
      <c r="X82" s="98">
        <f>SUMIFS('caseload data'!H:H,'caseload data'!$D:$D,"TPO",'caseload data'!$C:$C,'divisional &amp; regional caseload'!$T$64)</f>
        <v>0</v>
      </c>
      <c r="Y82" s="98">
        <f>SUMIFS('caseload data'!I:I,'caseload data'!$D:$D,"TPO",'caseload data'!$C:$C,'divisional &amp; regional caseload'!$T$64)</f>
        <v>0</v>
      </c>
      <c r="Z82" s="98">
        <f>SUMIFS('caseload data'!J:J,'caseload data'!$D:$D,"TPO",'caseload data'!$C:$C,'divisional &amp; regional caseload'!$T$64)</f>
        <v>0</v>
      </c>
      <c r="AA82" s="98">
        <f>SUMIFS('caseload data'!K:K,'caseload data'!$D:$D,"TPO",'caseload data'!$C:$C,'divisional &amp; regional caseload'!$T$64)</f>
        <v>0</v>
      </c>
      <c r="AB82" s="98">
        <f>SUMIFS('caseload data'!L:L,'caseload data'!$D:$D,"TPO",'caseload data'!$C:$C,'divisional &amp; regional caseload'!$T$64)</f>
        <v>0</v>
      </c>
      <c r="AC82" s="98">
        <f>SUMIFS('caseload data'!M:M,'caseload data'!$D:$D,"TPO",'caseload data'!$C:$C,'divisional &amp; regional caseload'!$T$64)</f>
        <v>0</v>
      </c>
      <c r="AD82" s="98">
        <f>SUMIFS('caseload data'!N:N,'caseload data'!$D:$D,"TPO",'caseload data'!$C:$C,'divisional &amp; regional caseload'!$T$64)</f>
        <v>0</v>
      </c>
      <c r="AE82" s="98">
        <f>SUMIFS('caseload data'!O:O,'caseload data'!$D:$D,"TPO",'caseload data'!$C:$C,'divisional &amp; regional caseload'!$T$64)</f>
        <v>0</v>
      </c>
      <c r="AF82" s="98">
        <f>SUMIFS('caseload data'!P:P,'caseload data'!$D:$D,"TPO",'caseload data'!$C:$C,'divisional &amp; regional caseload'!$T$64)</f>
        <v>0</v>
      </c>
      <c r="AG82" s="98">
        <f>SUMIFS('caseload data'!Q:Q,'caseload data'!$D:$D,"TPO",'caseload data'!$C:$C,'divisional &amp; regional caseload'!$T$64)</f>
        <v>0</v>
      </c>
      <c r="AH82" s="98">
        <f>SUMIFS('caseload data'!R:R,'caseload data'!$D:$D,"TPO",'caseload data'!$C:$C,'divisional &amp; regional caseload'!$T$64)</f>
        <v>0</v>
      </c>
      <c r="AI82" s="98">
        <f>SUMIFS('caseload data'!S:S,'caseload data'!$D:$D,"TPO",'caseload data'!$C:$C,'divisional &amp; regional caseload'!$T$64)</f>
        <v>0</v>
      </c>
      <c r="AJ82" s="98">
        <f>SUMIFS('caseload data'!T:T,'caseload data'!$D:$D,"TPO",'caseload data'!$C:$C,'divisional &amp; regional caseload'!$T$64)</f>
        <v>0</v>
      </c>
    </row>
    <row r="83" spans="2:36" x14ac:dyDescent="0.15">
      <c r="B83" s="102" t="s">
        <v>1174</v>
      </c>
      <c r="C83" s="98">
        <f>SUMIFS('caseload data'!E:E,'caseload data'!$D:$D,"SPO",'caseload data'!$C:$C,'divisional &amp; regional caseload'!$B$78)</f>
        <v>0</v>
      </c>
      <c r="D83" s="98">
        <f>SUMIFS('caseload data'!F:F,'caseload data'!$D:$D,"SPO",'caseload data'!$C:$C,'divisional &amp; regional caseload'!$B$78)</f>
        <v>0</v>
      </c>
      <c r="E83" s="98">
        <f>SUMIFS('caseload data'!G:G,'caseload data'!$D:$D,"SPO",'caseload data'!$C:$C,'divisional &amp; regional caseload'!$B$78)</f>
        <v>0</v>
      </c>
      <c r="F83" s="98">
        <f>SUMIFS('caseload data'!H:H,'caseload data'!$D:$D,"SPO",'caseload data'!$C:$C,'divisional &amp; regional caseload'!$B$78)</f>
        <v>0</v>
      </c>
      <c r="G83" s="98">
        <f>SUMIFS('caseload data'!I:I,'caseload data'!$D:$D,"SPO",'caseload data'!$C:$C,'divisional &amp; regional caseload'!$B$78)</f>
        <v>0</v>
      </c>
      <c r="H83" s="98">
        <f>SUMIFS('caseload data'!J:J,'caseload data'!$D:$D,"SPO",'caseload data'!$C:$C,'divisional &amp; regional caseload'!$B$78)</f>
        <v>0</v>
      </c>
      <c r="I83" s="98">
        <f>SUMIFS('caseload data'!K:K,'caseload data'!$D:$D,"SPO",'caseload data'!$C:$C,'divisional &amp; regional caseload'!$B$78)</f>
        <v>0</v>
      </c>
      <c r="J83" s="98">
        <f>SUMIFS('caseload data'!L:L,'caseload data'!$D:$D,"SPO",'caseload data'!$C:$C,'divisional &amp; regional caseload'!$B$78)</f>
        <v>0</v>
      </c>
      <c r="K83" s="98">
        <f>SUMIFS('caseload data'!M:M,'caseload data'!$D:$D,"SPO",'caseload data'!$C:$C,'divisional &amp; regional caseload'!$B$78)</f>
        <v>0</v>
      </c>
      <c r="L83" s="98">
        <f>SUMIFS('caseload data'!N:N,'caseload data'!$D:$D,"SPO",'caseload data'!$C:$C,'divisional &amp; regional caseload'!$B$78)</f>
        <v>0</v>
      </c>
      <c r="M83" s="98">
        <f>SUMIFS('caseload data'!O:O,'caseload data'!$D:$D,"SPO",'caseload data'!$C:$C,'divisional &amp; regional caseload'!$B$78)</f>
        <v>0</v>
      </c>
      <c r="N83" s="98">
        <f>SUMIFS('caseload data'!P:P,'caseload data'!$D:$D,"SPO",'caseload data'!$C:$C,'divisional &amp; regional caseload'!$B$78)</f>
        <v>0</v>
      </c>
      <c r="O83" s="98">
        <f>SUMIFS('caseload data'!Q:Q,'caseload data'!$D:$D,"SPO",'caseload data'!$C:$C,'divisional &amp; regional caseload'!$B$78)</f>
        <v>0</v>
      </c>
      <c r="P83" s="98">
        <f>SUMIFS('caseload data'!R:R,'caseload data'!$D:$D,"SPO",'caseload data'!$C:$C,'divisional &amp; regional caseload'!$B$78)</f>
        <v>0</v>
      </c>
      <c r="Q83" s="98">
        <f>SUMIFS('caseload data'!S:S,'caseload data'!$D:$D,"SPO",'caseload data'!$C:$C,'divisional &amp; regional caseload'!$B$78)</f>
        <v>0</v>
      </c>
      <c r="R83" s="98">
        <f>SUMIFS('caseload data'!T:T,'caseload data'!$D:$D,"SPO",'caseload data'!$C:$C,'divisional &amp; regional caseload'!$B$78)</f>
        <v>0</v>
      </c>
      <c r="T83" s="102" t="s">
        <v>1174</v>
      </c>
      <c r="U83" s="98">
        <f>SUMIFS('caseload data'!E:E,'caseload data'!$D:$D,"SPO",'caseload data'!$C:$C,'divisional &amp; regional caseload'!$T$64)</f>
        <v>0</v>
      </c>
      <c r="V83" s="98">
        <f>SUMIFS('caseload data'!F:F,'caseload data'!$D:$D,"SPO",'caseload data'!$C:$C,'divisional &amp; regional caseload'!$T$64)</f>
        <v>0</v>
      </c>
      <c r="W83" s="98">
        <f>SUMIFS('caseload data'!G:G,'caseload data'!$D:$D,"SPO",'caseload data'!$C:$C,'divisional &amp; regional caseload'!$T$64)</f>
        <v>0</v>
      </c>
      <c r="X83" s="98">
        <f>SUMIFS('caseload data'!H:H,'caseload data'!$D:$D,"SPO",'caseload data'!$C:$C,'divisional &amp; regional caseload'!$T$64)</f>
        <v>0</v>
      </c>
      <c r="Y83" s="98">
        <f>SUMIFS('caseload data'!I:I,'caseload data'!$D:$D,"SPO",'caseload data'!$C:$C,'divisional &amp; regional caseload'!$T$64)</f>
        <v>0</v>
      </c>
      <c r="Z83" s="98">
        <f>SUMIFS('caseload data'!J:J,'caseload data'!$D:$D,"SPO",'caseload data'!$C:$C,'divisional &amp; regional caseload'!$T$64)</f>
        <v>0</v>
      </c>
      <c r="AA83" s="98">
        <f>SUMIFS('caseload data'!K:K,'caseload data'!$D:$D,"SPO",'caseload data'!$C:$C,'divisional &amp; regional caseload'!$T$64)</f>
        <v>0</v>
      </c>
      <c r="AB83" s="98">
        <f>SUMIFS('caseload data'!L:L,'caseload data'!$D:$D,"SPO",'caseload data'!$C:$C,'divisional &amp; regional caseload'!$T$64)</f>
        <v>0</v>
      </c>
      <c r="AC83" s="98">
        <f>SUMIFS('caseload data'!M:M,'caseload data'!$D:$D,"SPO",'caseload data'!$C:$C,'divisional &amp; regional caseload'!$T$64)</f>
        <v>0</v>
      </c>
      <c r="AD83" s="98">
        <f>SUMIFS('caseload data'!N:N,'caseload data'!$D:$D,"SPO",'caseload data'!$C:$C,'divisional &amp; regional caseload'!$T$64)</f>
        <v>0</v>
      </c>
      <c r="AE83" s="98">
        <f>SUMIFS('caseload data'!O:O,'caseload data'!$D:$D,"SPO",'caseload data'!$C:$C,'divisional &amp; regional caseload'!$T$64)</f>
        <v>0</v>
      </c>
      <c r="AF83" s="98">
        <f>SUMIFS('caseload data'!P:P,'caseload data'!$D:$D,"SPO",'caseload data'!$C:$C,'divisional &amp; regional caseload'!$T$64)</f>
        <v>0</v>
      </c>
      <c r="AG83" s="98">
        <f>SUMIFS('caseload data'!Q:Q,'caseload data'!$D:$D,"SPO",'caseload data'!$C:$C,'divisional &amp; regional caseload'!$T$64)</f>
        <v>0</v>
      </c>
      <c r="AH83" s="98">
        <f>SUMIFS('caseload data'!R:R,'caseload data'!$D:$D,"SPO",'caseload data'!$C:$C,'divisional &amp; regional caseload'!$T$64)</f>
        <v>0</v>
      </c>
      <c r="AI83" s="98">
        <f>SUMIFS('caseload data'!S:S,'caseload data'!$D:$D,"SPO",'caseload data'!$C:$C,'divisional &amp; regional caseload'!$T$64)</f>
        <v>0</v>
      </c>
      <c r="AJ83" s="98">
        <f>SUMIFS('caseload data'!T:T,'caseload data'!$D:$D,"SPO",'caseload data'!$C:$C,'divisional &amp; regional caseload'!$T$64)</f>
        <v>0</v>
      </c>
    </row>
    <row r="85" spans="2:36" ht="40.5" customHeight="1" x14ac:dyDescent="0.15">
      <c r="B85" s="302" t="str">
        <f>HLOOKUP($B$5,Region_Table,24,0)</f>
        <v>Unpaid Work and Attendance Centres - N07</v>
      </c>
      <c r="C85" s="459" t="s">
        <v>1271</v>
      </c>
      <c r="D85" s="460"/>
      <c r="E85" s="460"/>
      <c r="F85" s="460"/>
      <c r="G85" s="460"/>
      <c r="H85" s="460"/>
      <c r="I85" s="460"/>
      <c r="J85" s="460"/>
      <c r="K85" s="460"/>
      <c r="L85" s="460"/>
      <c r="M85" s="470"/>
      <c r="N85" s="470"/>
      <c r="O85" s="471"/>
      <c r="P85" s="462">
        <f>SUMIF('caseload data'!$C:$C,'divisional &amp; regional caseload'!B85,'caseload data'!V:V)</f>
        <v>0</v>
      </c>
      <c r="Q85" s="463"/>
      <c r="R85" s="464"/>
      <c r="T85" s="302" t="str">
        <f>HLOOKUP($B$5,Region_Table,25,0)</f>
        <v>Wandsworth, Merton and Sutton</v>
      </c>
      <c r="U85" s="459" t="s">
        <v>1271</v>
      </c>
      <c r="V85" s="460"/>
      <c r="W85" s="460"/>
      <c r="X85" s="460"/>
      <c r="Y85" s="460"/>
      <c r="Z85" s="460"/>
      <c r="AA85" s="460"/>
      <c r="AB85" s="460"/>
      <c r="AC85" s="460"/>
      <c r="AD85" s="460"/>
      <c r="AE85" s="460"/>
      <c r="AF85" s="460"/>
      <c r="AG85" s="461"/>
      <c r="AH85" s="462">
        <f>SUMIF('caseload data'!$C:$C,'divisional &amp; regional caseload'!T85,'caseload data'!V:V)</f>
        <v>0</v>
      </c>
      <c r="AI85" s="465"/>
      <c r="AJ85" s="466"/>
    </row>
    <row r="86" spans="2:36" x14ac:dyDescent="0.15">
      <c r="B86" s="99" t="s">
        <v>1170</v>
      </c>
      <c r="C86" s="40" t="s">
        <v>1022</v>
      </c>
      <c r="D86" s="40" t="s">
        <v>1023</v>
      </c>
      <c r="E86" s="40" t="s">
        <v>1024</v>
      </c>
      <c r="F86" s="40" t="s">
        <v>1025</v>
      </c>
      <c r="G86" s="40" t="s">
        <v>1026</v>
      </c>
      <c r="H86" s="40" t="s">
        <v>1027</v>
      </c>
      <c r="I86" s="40" t="s">
        <v>1028</v>
      </c>
      <c r="J86" s="40" t="s">
        <v>1029</v>
      </c>
      <c r="K86" s="40" t="s">
        <v>1030</v>
      </c>
      <c r="L86" s="40" t="s">
        <v>1031</v>
      </c>
      <c r="M86" s="40" t="s">
        <v>1032</v>
      </c>
      <c r="N86" s="40" t="s">
        <v>1033</v>
      </c>
      <c r="O86" s="40" t="s">
        <v>1034</v>
      </c>
      <c r="P86" s="40" t="s">
        <v>1035</v>
      </c>
      <c r="Q86" s="40" t="s">
        <v>1036</v>
      </c>
      <c r="R86" s="40" t="s">
        <v>1037</v>
      </c>
      <c r="T86" s="99" t="s">
        <v>1170</v>
      </c>
      <c r="U86" s="40" t="s">
        <v>1022</v>
      </c>
      <c r="V86" s="40" t="s">
        <v>1023</v>
      </c>
      <c r="W86" s="40" t="s">
        <v>1024</v>
      </c>
      <c r="X86" s="40" t="s">
        <v>1025</v>
      </c>
      <c r="Y86" s="40" t="s">
        <v>1026</v>
      </c>
      <c r="Z86" s="40" t="s">
        <v>1027</v>
      </c>
      <c r="AA86" s="40" t="s">
        <v>1028</v>
      </c>
      <c r="AB86" s="40" t="s">
        <v>1029</v>
      </c>
      <c r="AC86" s="40" t="s">
        <v>1030</v>
      </c>
      <c r="AD86" s="40" t="s">
        <v>1031</v>
      </c>
      <c r="AE86" s="40" t="s">
        <v>1032</v>
      </c>
      <c r="AF86" s="40" t="s">
        <v>1033</v>
      </c>
      <c r="AG86" s="40" t="s">
        <v>1034</v>
      </c>
      <c r="AH86" s="40" t="s">
        <v>1035</v>
      </c>
      <c r="AI86" s="40" t="s">
        <v>1036</v>
      </c>
      <c r="AJ86" s="40" t="s">
        <v>1037</v>
      </c>
    </row>
    <row r="87" spans="2:36" x14ac:dyDescent="0.15">
      <c r="B87" s="100" t="s">
        <v>1166</v>
      </c>
      <c r="C87" s="98">
        <f>SUMIFS('caseload data'!E:E,'caseload data'!$D:$D,"PO",'caseload data'!$C:$C,'divisional &amp; regional caseload'!$B$85)</f>
        <v>0</v>
      </c>
      <c r="D87" s="98">
        <f>SUMIFS('caseload data'!F:F,'caseload data'!$D:$D,"PO",'caseload data'!$C:$C,'divisional &amp; regional caseload'!$B$85)</f>
        <v>0</v>
      </c>
      <c r="E87" s="98">
        <f>SUMIFS('caseload data'!G:G,'caseload data'!$D:$D,"PO",'caseload data'!$C:$C,'divisional &amp; regional caseload'!$B$85)</f>
        <v>0</v>
      </c>
      <c r="F87" s="98">
        <f>SUMIFS('caseload data'!H:H,'caseload data'!$D:$D,"PO",'caseload data'!$C:$C,'divisional &amp; regional caseload'!$B$85)</f>
        <v>0</v>
      </c>
      <c r="G87" s="98">
        <f>SUMIFS('caseload data'!I:I,'caseload data'!$D:$D,"PO",'caseload data'!$C:$C,'divisional &amp; regional caseload'!$B$85)</f>
        <v>0</v>
      </c>
      <c r="H87" s="98">
        <f>SUMIFS('caseload data'!J:J,'caseload data'!$D:$D,"PO",'caseload data'!$C:$C,'divisional &amp; regional caseload'!$B$85)</f>
        <v>0</v>
      </c>
      <c r="I87" s="98">
        <f>SUMIFS('caseload data'!K:K,'caseload data'!$D:$D,"PO",'caseload data'!$C:$C,'divisional &amp; regional caseload'!$B$85)</f>
        <v>0</v>
      </c>
      <c r="J87" s="98">
        <f>SUMIFS('caseload data'!L:L,'caseload data'!$D:$D,"PO",'caseload data'!$C:$C,'divisional &amp; regional caseload'!$B$85)</f>
        <v>0</v>
      </c>
      <c r="K87" s="98">
        <f>SUMIFS('caseload data'!M:M,'caseload data'!$D:$D,"PO",'caseload data'!$C:$C,'divisional &amp; regional caseload'!$B$85)</f>
        <v>0</v>
      </c>
      <c r="L87" s="98">
        <f>SUMIFS('caseload data'!N:N,'caseload data'!$D:$D,"PO",'caseload data'!$C:$C,'divisional &amp; regional caseload'!$B$85)</f>
        <v>0</v>
      </c>
      <c r="M87" s="98">
        <f>SUMIFS('caseload data'!O:O,'caseload data'!$D:$D,"PO",'caseload data'!$C:$C,'divisional &amp; regional caseload'!$B$85)</f>
        <v>0</v>
      </c>
      <c r="N87" s="98">
        <f>SUMIFS('caseload data'!P:P,'caseload data'!$D:$D,"PO",'caseload data'!$C:$C,'divisional &amp; regional caseload'!$B$85)</f>
        <v>0</v>
      </c>
      <c r="O87" s="98">
        <f>SUMIFS('caseload data'!Q:Q,'caseload data'!$D:$D,"PO",'caseload data'!$C:$C,'divisional &amp; regional caseload'!$B$85)</f>
        <v>0</v>
      </c>
      <c r="P87" s="98">
        <f>SUMIFS('caseload data'!R:R,'caseload data'!$D:$D,"PO",'caseload data'!$C:$C,'divisional &amp; regional caseload'!$B$85)</f>
        <v>0</v>
      </c>
      <c r="Q87" s="98">
        <f>SUMIFS('caseload data'!S:S,'caseload data'!$D:$D,"PO",'caseload data'!$C:$C,'divisional &amp; regional caseload'!$B$85)</f>
        <v>0</v>
      </c>
      <c r="R87" s="98">
        <f>SUMIFS('caseload data'!T:T,'caseload data'!$D:$D,"PO",'caseload data'!$C:$C,'divisional &amp; regional caseload'!$B$85)</f>
        <v>0</v>
      </c>
      <c r="T87" s="100" t="s">
        <v>1166</v>
      </c>
      <c r="U87" s="98">
        <f>SUMIFS('caseload data'!E:E,'caseload data'!$D:$D,"PO",'caseload data'!$C:$C,'divisional &amp; regional caseload'!$T$64)</f>
        <v>0</v>
      </c>
      <c r="V87" s="98">
        <f>SUMIFS('caseload data'!F:F,'caseload data'!$D:$D,"PO",'caseload data'!$C:$C,'divisional &amp; regional caseload'!$T$64)</f>
        <v>0</v>
      </c>
      <c r="W87" s="98">
        <f>SUMIFS('caseload data'!G:G,'caseload data'!$D:$D,"PO",'caseload data'!$C:$C,'divisional &amp; regional caseload'!$T$64)</f>
        <v>0</v>
      </c>
      <c r="X87" s="98">
        <f>SUMIFS('caseload data'!H:H,'caseload data'!$D:$D,"PO",'caseload data'!$C:$C,'divisional &amp; regional caseload'!$T$64)</f>
        <v>0</v>
      </c>
      <c r="Y87" s="98">
        <f>SUMIFS('caseload data'!I:I,'caseload data'!$D:$D,"PO",'caseload data'!$C:$C,'divisional &amp; regional caseload'!$T$64)</f>
        <v>0</v>
      </c>
      <c r="Z87" s="98">
        <f>SUMIFS('caseload data'!J:J,'caseload data'!$D:$D,"PO",'caseload data'!$C:$C,'divisional &amp; regional caseload'!$T$64)</f>
        <v>0</v>
      </c>
      <c r="AA87" s="98">
        <f>SUMIFS('caseload data'!K:K,'caseload data'!$D:$D,"PO",'caseload data'!$C:$C,'divisional &amp; regional caseload'!$T$64)</f>
        <v>0</v>
      </c>
      <c r="AB87" s="98">
        <f>SUMIFS('caseload data'!L:L,'caseload data'!$D:$D,"PO",'caseload data'!$C:$C,'divisional &amp; regional caseload'!$T$64)</f>
        <v>0</v>
      </c>
      <c r="AC87" s="98">
        <f>SUMIFS('caseload data'!M:M,'caseload data'!$D:$D,"PO",'caseload data'!$C:$C,'divisional &amp; regional caseload'!$T$64)</f>
        <v>0</v>
      </c>
      <c r="AD87" s="98">
        <f>SUMIFS('caseload data'!N:N,'caseload data'!$D:$D,"PO",'caseload data'!$C:$C,'divisional &amp; regional caseload'!$T$64)</f>
        <v>0</v>
      </c>
      <c r="AE87" s="98">
        <f>SUMIFS('caseload data'!O:O,'caseload data'!$D:$D,"PO",'caseload data'!$C:$C,'divisional &amp; regional caseload'!$T$64)</f>
        <v>0</v>
      </c>
      <c r="AF87" s="98">
        <f>SUMIFS('caseload data'!P:P,'caseload data'!$D:$D,"PO",'caseload data'!$C:$C,'divisional &amp; regional caseload'!$T$64)</f>
        <v>0</v>
      </c>
      <c r="AG87" s="98">
        <f>SUMIFS('caseload data'!Q:Q,'caseload data'!$D:$D,"PO",'caseload data'!$C:$C,'divisional &amp; regional caseload'!$T$64)</f>
        <v>0</v>
      </c>
      <c r="AH87" s="98">
        <f>SUMIFS('caseload data'!R:R,'caseload data'!$D:$D,"PO",'caseload data'!$C:$C,'divisional &amp; regional caseload'!$T$64)</f>
        <v>0</v>
      </c>
      <c r="AI87" s="98">
        <f>SUMIFS('caseload data'!S:S,'caseload data'!$D:$D,"PO",'caseload data'!$C:$C,'divisional &amp; regional caseload'!$T$64)</f>
        <v>0</v>
      </c>
      <c r="AJ87" s="98">
        <f>SUMIFS('caseload data'!T:T,'caseload data'!$D:$D,"PO",'caseload data'!$C:$C,'divisional &amp; regional caseload'!$T$64)</f>
        <v>0</v>
      </c>
    </row>
    <row r="88" spans="2:36" x14ac:dyDescent="0.15">
      <c r="B88" s="101" t="s">
        <v>1172</v>
      </c>
      <c r="C88" s="98">
        <f>SUMIFS('caseload data'!E:E,'caseload data'!$D:$D,"PSO",'caseload data'!$C:$C,'divisional &amp; regional caseload'!$B$85)</f>
        <v>0</v>
      </c>
      <c r="D88" s="98">
        <f>SUMIFS('caseload data'!F:F,'caseload data'!$D:$D,"PSO",'caseload data'!$C:$C,'divisional &amp; regional caseload'!$B$85)</f>
        <v>0</v>
      </c>
      <c r="E88" s="98">
        <f>SUMIFS('caseload data'!G:G,'caseload data'!$D:$D,"PSO",'caseload data'!$C:$C,'divisional &amp; regional caseload'!$B$85)</f>
        <v>0</v>
      </c>
      <c r="F88" s="98">
        <f>SUMIFS('caseload data'!H:H,'caseload data'!$D:$D,"PSO",'caseload data'!$C:$C,'divisional &amp; regional caseload'!$B$85)</f>
        <v>0</v>
      </c>
      <c r="G88" s="98">
        <f>SUMIFS('caseload data'!I:I,'caseload data'!$D:$D,"PSO",'caseload data'!$C:$C,'divisional &amp; regional caseload'!$B$85)</f>
        <v>0</v>
      </c>
      <c r="H88" s="98">
        <f>SUMIFS('caseload data'!J:J,'caseload data'!$D:$D,"PSO",'caseload data'!$C:$C,'divisional &amp; regional caseload'!$B$85)</f>
        <v>0</v>
      </c>
      <c r="I88" s="98">
        <f>SUMIFS('caseload data'!K:K,'caseload data'!$D:$D,"PSO",'caseload data'!$C:$C,'divisional &amp; regional caseload'!$B$85)</f>
        <v>0</v>
      </c>
      <c r="J88" s="98">
        <f>SUMIFS('caseload data'!L:L,'caseload data'!$D:$D,"PSO",'caseload data'!$C:$C,'divisional &amp; regional caseload'!$B$85)</f>
        <v>0</v>
      </c>
      <c r="K88" s="98">
        <f>SUMIFS('caseload data'!M:M,'caseload data'!$D:$D,"PSO",'caseload data'!$C:$C,'divisional &amp; regional caseload'!$B$85)</f>
        <v>0</v>
      </c>
      <c r="L88" s="98">
        <f>SUMIFS('caseload data'!N:N,'caseload data'!$D:$D,"PSO",'caseload data'!$C:$C,'divisional &amp; regional caseload'!$B$85)</f>
        <v>0</v>
      </c>
      <c r="M88" s="98">
        <f>SUMIFS('caseload data'!O:O,'caseload data'!$D:$D,"PSO",'caseload data'!$C:$C,'divisional &amp; regional caseload'!$B$85)</f>
        <v>0</v>
      </c>
      <c r="N88" s="98">
        <f>SUMIFS('caseload data'!P:P,'caseload data'!$D:$D,"PSO",'caseload data'!$C:$C,'divisional &amp; regional caseload'!$B$85)</f>
        <v>0</v>
      </c>
      <c r="O88" s="98">
        <f>SUMIFS('caseload data'!Q:Q,'caseload data'!$D:$D,"PSO",'caseload data'!$C:$C,'divisional &amp; regional caseload'!$B$85)</f>
        <v>0</v>
      </c>
      <c r="P88" s="98">
        <f>SUMIFS('caseload data'!R:R,'caseload data'!$D:$D,"PSO",'caseload data'!$C:$C,'divisional &amp; regional caseload'!$B$85)</f>
        <v>0</v>
      </c>
      <c r="Q88" s="98">
        <f>SUMIFS('caseload data'!S:S,'caseload data'!$D:$D,"PSO",'caseload data'!$C:$C,'divisional &amp; regional caseload'!$B$85)</f>
        <v>0</v>
      </c>
      <c r="R88" s="98">
        <f>SUMIFS('caseload data'!T:T,'caseload data'!$D:$D,"PSO",'caseload data'!$C:$C,'divisional &amp; regional caseload'!$B$85)</f>
        <v>0</v>
      </c>
      <c r="T88" s="101" t="s">
        <v>1172</v>
      </c>
      <c r="U88" s="98">
        <f>SUMIFS('caseload data'!E:E,'caseload data'!$D:$D,"PSO",'caseload data'!$C:$C,'divisional &amp; regional caseload'!$T$64)</f>
        <v>0</v>
      </c>
      <c r="V88" s="98">
        <f>SUMIFS('caseload data'!F:F,'caseload data'!$D:$D,"PSO",'caseload data'!$C:$C,'divisional &amp; regional caseload'!$T$64)</f>
        <v>0</v>
      </c>
      <c r="W88" s="98">
        <f>SUMIFS('caseload data'!G:G,'caseload data'!$D:$D,"PSO",'caseload data'!$C:$C,'divisional &amp; regional caseload'!$T$64)</f>
        <v>0</v>
      </c>
      <c r="X88" s="98">
        <f>SUMIFS('caseload data'!H:H,'caseload data'!$D:$D,"PSO",'caseload data'!$C:$C,'divisional &amp; regional caseload'!$T$64)</f>
        <v>0</v>
      </c>
      <c r="Y88" s="98">
        <f>SUMIFS('caseload data'!I:I,'caseload data'!$D:$D,"PSO",'caseload data'!$C:$C,'divisional &amp; regional caseload'!$T$64)</f>
        <v>0</v>
      </c>
      <c r="Z88" s="98">
        <f>SUMIFS('caseload data'!J:J,'caseload data'!$D:$D,"PSO",'caseload data'!$C:$C,'divisional &amp; regional caseload'!$T$64)</f>
        <v>0</v>
      </c>
      <c r="AA88" s="98">
        <f>SUMIFS('caseload data'!K:K,'caseload data'!$D:$D,"PSO",'caseload data'!$C:$C,'divisional &amp; regional caseload'!$T$64)</f>
        <v>0</v>
      </c>
      <c r="AB88" s="98">
        <f>SUMIFS('caseload data'!L:L,'caseload data'!$D:$D,"PSO",'caseload data'!$C:$C,'divisional &amp; regional caseload'!$T$64)</f>
        <v>0</v>
      </c>
      <c r="AC88" s="98">
        <f>SUMIFS('caseload data'!M:M,'caseload data'!$D:$D,"PSO",'caseload data'!$C:$C,'divisional &amp; regional caseload'!$T$64)</f>
        <v>0</v>
      </c>
      <c r="AD88" s="98">
        <f>SUMIFS('caseload data'!N:N,'caseload data'!$D:$D,"PSO",'caseload data'!$C:$C,'divisional &amp; regional caseload'!$T$64)</f>
        <v>0</v>
      </c>
      <c r="AE88" s="98">
        <f>SUMIFS('caseload data'!O:O,'caseload data'!$D:$D,"PSO",'caseload data'!$C:$C,'divisional &amp; regional caseload'!$T$64)</f>
        <v>0</v>
      </c>
      <c r="AF88" s="98">
        <f>SUMIFS('caseload data'!P:P,'caseload data'!$D:$D,"PSO",'caseload data'!$C:$C,'divisional &amp; regional caseload'!$T$64)</f>
        <v>0</v>
      </c>
      <c r="AG88" s="98">
        <f>SUMIFS('caseload data'!Q:Q,'caseload data'!$D:$D,"PSO",'caseload data'!$C:$C,'divisional &amp; regional caseload'!$T$64)</f>
        <v>0</v>
      </c>
      <c r="AH88" s="98">
        <f>SUMIFS('caseload data'!R:R,'caseload data'!$D:$D,"PSO",'caseload data'!$C:$C,'divisional &amp; regional caseload'!$T$64)</f>
        <v>0</v>
      </c>
      <c r="AI88" s="98">
        <f>SUMIFS('caseload data'!S:S,'caseload data'!$D:$D,"PSO",'caseload data'!$C:$C,'divisional &amp; regional caseload'!$T$64)</f>
        <v>0</v>
      </c>
      <c r="AJ88" s="98">
        <f>SUMIFS('caseload data'!T:T,'caseload data'!$D:$D,"PSO",'caseload data'!$C:$C,'divisional &amp; regional caseload'!$T$64)</f>
        <v>0</v>
      </c>
    </row>
    <row r="89" spans="2:36" x14ac:dyDescent="0.15">
      <c r="B89" s="101" t="s">
        <v>1173</v>
      </c>
      <c r="C89" s="98">
        <f>SUMIFS('caseload data'!E:E,'caseload data'!$D:$D,"TPO",'caseload data'!$C:$C,'divisional &amp; regional caseload'!$B$85)</f>
        <v>0</v>
      </c>
      <c r="D89" s="98">
        <f>SUMIFS('caseload data'!F:F,'caseload data'!$D:$D,"TPO",'caseload data'!$C:$C,'divisional &amp; regional caseload'!$B$85)</f>
        <v>0</v>
      </c>
      <c r="E89" s="98">
        <f>SUMIFS('caseload data'!G:G,'caseload data'!$D:$D,"TPO",'caseload data'!$C:$C,'divisional &amp; regional caseload'!$B$85)</f>
        <v>0</v>
      </c>
      <c r="F89" s="98">
        <f>SUMIFS('caseload data'!H:H,'caseload data'!$D:$D,"TPO",'caseload data'!$C:$C,'divisional &amp; regional caseload'!$B$85)</f>
        <v>0</v>
      </c>
      <c r="G89" s="98">
        <f>SUMIFS('caseload data'!I:I,'caseload data'!$D:$D,"TPO",'caseload data'!$C:$C,'divisional &amp; regional caseload'!$B$85)</f>
        <v>0</v>
      </c>
      <c r="H89" s="98">
        <f>SUMIFS('caseload data'!J:J,'caseload data'!$D:$D,"TPO",'caseload data'!$C:$C,'divisional &amp; regional caseload'!$B$85)</f>
        <v>0</v>
      </c>
      <c r="I89" s="98">
        <f>SUMIFS('caseload data'!K:K,'caseload data'!$D:$D,"TPO",'caseload data'!$C:$C,'divisional &amp; regional caseload'!$B$85)</f>
        <v>0</v>
      </c>
      <c r="J89" s="98">
        <f>SUMIFS('caseload data'!L:L,'caseload data'!$D:$D,"TPO",'caseload data'!$C:$C,'divisional &amp; regional caseload'!$B$85)</f>
        <v>0</v>
      </c>
      <c r="K89" s="98">
        <f>SUMIFS('caseload data'!M:M,'caseload data'!$D:$D,"TPO",'caseload data'!$C:$C,'divisional &amp; regional caseload'!$B$85)</f>
        <v>0</v>
      </c>
      <c r="L89" s="98">
        <f>SUMIFS('caseload data'!N:N,'caseload data'!$D:$D,"TPO",'caseload data'!$C:$C,'divisional &amp; regional caseload'!$B$85)</f>
        <v>0</v>
      </c>
      <c r="M89" s="98">
        <f>SUMIFS('caseload data'!O:O,'caseload data'!$D:$D,"TPO",'caseload data'!$C:$C,'divisional &amp; regional caseload'!$B$85)</f>
        <v>0</v>
      </c>
      <c r="N89" s="98">
        <f>SUMIFS('caseload data'!P:P,'caseload data'!$D:$D,"TPO",'caseload data'!$C:$C,'divisional &amp; regional caseload'!$B$85)</f>
        <v>0</v>
      </c>
      <c r="O89" s="98">
        <f>SUMIFS('caseload data'!Q:Q,'caseload data'!$D:$D,"TPO",'caseload data'!$C:$C,'divisional &amp; regional caseload'!$B$85)</f>
        <v>0</v>
      </c>
      <c r="P89" s="98">
        <f>SUMIFS('caseload data'!R:R,'caseload data'!$D:$D,"TPO",'caseload data'!$C:$C,'divisional &amp; regional caseload'!$B$85)</f>
        <v>0</v>
      </c>
      <c r="Q89" s="98">
        <f>SUMIFS('caseload data'!S:S,'caseload data'!$D:$D,"TPO",'caseload data'!$C:$C,'divisional &amp; regional caseload'!$B$85)</f>
        <v>0</v>
      </c>
      <c r="R89" s="98">
        <f>SUMIFS('caseload data'!T:T,'caseload data'!$D:$D,"TPO",'caseload data'!$C:$C,'divisional &amp; regional caseload'!$B$85)</f>
        <v>0</v>
      </c>
      <c r="T89" s="101" t="s">
        <v>1173</v>
      </c>
      <c r="U89" s="98">
        <f>SUMIFS('caseload data'!E:E,'caseload data'!$D:$D,"TPO",'caseload data'!$C:$C,'divisional &amp; regional caseload'!$T$64)</f>
        <v>0</v>
      </c>
      <c r="V89" s="98">
        <f>SUMIFS('caseload data'!F:F,'caseload data'!$D:$D,"TPO",'caseload data'!$C:$C,'divisional &amp; regional caseload'!$T$64)</f>
        <v>0</v>
      </c>
      <c r="W89" s="98">
        <f>SUMIFS('caseload data'!G:G,'caseload data'!$D:$D,"TPO",'caseload data'!$C:$C,'divisional &amp; regional caseload'!$T$64)</f>
        <v>0</v>
      </c>
      <c r="X89" s="98">
        <f>SUMIFS('caseload data'!H:H,'caseload data'!$D:$D,"TPO",'caseload data'!$C:$C,'divisional &amp; regional caseload'!$T$64)</f>
        <v>0</v>
      </c>
      <c r="Y89" s="98">
        <f>SUMIFS('caseload data'!I:I,'caseload data'!$D:$D,"TPO",'caseload data'!$C:$C,'divisional &amp; regional caseload'!$T$64)</f>
        <v>0</v>
      </c>
      <c r="Z89" s="98">
        <f>SUMIFS('caseload data'!J:J,'caseload data'!$D:$D,"TPO",'caseload data'!$C:$C,'divisional &amp; regional caseload'!$T$64)</f>
        <v>0</v>
      </c>
      <c r="AA89" s="98">
        <f>SUMIFS('caseload data'!K:K,'caseload data'!$D:$D,"TPO",'caseload data'!$C:$C,'divisional &amp; regional caseload'!$T$64)</f>
        <v>0</v>
      </c>
      <c r="AB89" s="98">
        <f>SUMIFS('caseload data'!L:L,'caseload data'!$D:$D,"TPO",'caseload data'!$C:$C,'divisional &amp; regional caseload'!$T$64)</f>
        <v>0</v>
      </c>
      <c r="AC89" s="98">
        <f>SUMIFS('caseload data'!M:M,'caseload data'!$D:$D,"TPO",'caseload data'!$C:$C,'divisional &amp; regional caseload'!$T$64)</f>
        <v>0</v>
      </c>
      <c r="AD89" s="98">
        <f>SUMIFS('caseload data'!N:N,'caseload data'!$D:$D,"TPO",'caseload data'!$C:$C,'divisional &amp; regional caseload'!$T$64)</f>
        <v>0</v>
      </c>
      <c r="AE89" s="98">
        <f>SUMIFS('caseload data'!O:O,'caseload data'!$D:$D,"TPO",'caseload data'!$C:$C,'divisional &amp; regional caseload'!$T$64)</f>
        <v>0</v>
      </c>
      <c r="AF89" s="98">
        <f>SUMIFS('caseload data'!P:P,'caseload data'!$D:$D,"TPO",'caseload data'!$C:$C,'divisional &amp; regional caseload'!$T$64)</f>
        <v>0</v>
      </c>
      <c r="AG89" s="98">
        <f>SUMIFS('caseload data'!Q:Q,'caseload data'!$D:$D,"TPO",'caseload data'!$C:$C,'divisional &amp; regional caseload'!$T$64)</f>
        <v>0</v>
      </c>
      <c r="AH89" s="98">
        <f>SUMIFS('caseload data'!R:R,'caseload data'!$D:$D,"TPO",'caseload data'!$C:$C,'divisional &amp; regional caseload'!$T$64)</f>
        <v>0</v>
      </c>
      <c r="AI89" s="98">
        <f>SUMIFS('caseload data'!S:S,'caseload data'!$D:$D,"TPO",'caseload data'!$C:$C,'divisional &amp; regional caseload'!$T$64)</f>
        <v>0</v>
      </c>
      <c r="AJ89" s="98">
        <f>SUMIFS('caseload data'!T:T,'caseload data'!$D:$D,"TPO",'caseload data'!$C:$C,'divisional &amp; regional caseload'!$T$64)</f>
        <v>0</v>
      </c>
    </row>
    <row r="90" spans="2:36" x14ac:dyDescent="0.15">
      <c r="B90" s="102" t="s">
        <v>1174</v>
      </c>
      <c r="C90" s="98">
        <f>SUMIFS('caseload data'!E:E,'caseload data'!$D:$D,"SPO",'caseload data'!$C:$C,'divisional &amp; regional caseload'!$B$85)</f>
        <v>0</v>
      </c>
      <c r="D90" s="98">
        <f>SUMIFS('caseload data'!F:F,'caseload data'!$D:$D,"SPO",'caseload data'!$C:$C,'divisional &amp; regional caseload'!$B$85)</f>
        <v>0</v>
      </c>
      <c r="E90" s="98">
        <f>SUMIFS('caseload data'!G:G,'caseload data'!$D:$D,"SPO",'caseload data'!$C:$C,'divisional &amp; regional caseload'!$B$85)</f>
        <v>0</v>
      </c>
      <c r="F90" s="98">
        <f>SUMIFS('caseload data'!H:H,'caseload data'!$D:$D,"SPO",'caseload data'!$C:$C,'divisional &amp; regional caseload'!$B$85)</f>
        <v>0</v>
      </c>
      <c r="G90" s="98">
        <f>SUMIFS('caseload data'!I:I,'caseload data'!$D:$D,"SPO",'caseload data'!$C:$C,'divisional &amp; regional caseload'!$B$85)</f>
        <v>0</v>
      </c>
      <c r="H90" s="98">
        <f>SUMIFS('caseload data'!J:J,'caseload data'!$D:$D,"SPO",'caseload data'!$C:$C,'divisional &amp; regional caseload'!$B$85)</f>
        <v>0</v>
      </c>
      <c r="I90" s="98">
        <f>SUMIFS('caseload data'!K:K,'caseload data'!$D:$D,"SPO",'caseload data'!$C:$C,'divisional &amp; regional caseload'!$B$85)</f>
        <v>0</v>
      </c>
      <c r="J90" s="98">
        <f>SUMIFS('caseload data'!L:L,'caseload data'!$D:$D,"SPO",'caseload data'!$C:$C,'divisional &amp; regional caseload'!$B$85)</f>
        <v>0</v>
      </c>
      <c r="K90" s="98">
        <f>SUMIFS('caseload data'!M:M,'caseload data'!$D:$D,"SPO",'caseload data'!$C:$C,'divisional &amp; regional caseload'!$B$85)</f>
        <v>0</v>
      </c>
      <c r="L90" s="98">
        <f>SUMIFS('caseload data'!N:N,'caseload data'!$D:$D,"SPO",'caseload data'!$C:$C,'divisional &amp; regional caseload'!$B$85)</f>
        <v>0</v>
      </c>
      <c r="M90" s="98">
        <f>SUMIFS('caseload data'!O:O,'caseload data'!$D:$D,"SPO",'caseload data'!$C:$C,'divisional &amp; regional caseload'!$B$85)</f>
        <v>0</v>
      </c>
      <c r="N90" s="98">
        <f>SUMIFS('caseload data'!P:P,'caseload data'!$D:$D,"SPO",'caseload data'!$C:$C,'divisional &amp; regional caseload'!$B$85)</f>
        <v>0</v>
      </c>
      <c r="O90" s="98">
        <f>SUMIFS('caseload data'!Q:Q,'caseload data'!$D:$D,"SPO",'caseload data'!$C:$C,'divisional &amp; regional caseload'!$B$85)</f>
        <v>0</v>
      </c>
      <c r="P90" s="98">
        <f>SUMIFS('caseload data'!R:R,'caseload data'!$D:$D,"SPO",'caseload data'!$C:$C,'divisional &amp; regional caseload'!$B$85)</f>
        <v>0</v>
      </c>
      <c r="Q90" s="98">
        <f>SUMIFS('caseload data'!S:S,'caseload data'!$D:$D,"SPO",'caseload data'!$C:$C,'divisional &amp; regional caseload'!$B$85)</f>
        <v>0</v>
      </c>
      <c r="R90" s="98">
        <f>SUMIFS('caseload data'!T:T,'caseload data'!$D:$D,"SPO",'caseload data'!$C:$C,'divisional &amp; regional caseload'!$B$85)</f>
        <v>0</v>
      </c>
      <c r="T90" s="102" t="s">
        <v>1174</v>
      </c>
      <c r="U90" s="98">
        <f>SUMIFS('caseload data'!E:E,'caseload data'!$D:$D,"SPO",'caseload data'!$C:$C,'divisional &amp; regional caseload'!$T$64)</f>
        <v>0</v>
      </c>
      <c r="V90" s="98">
        <f>SUMIFS('caseload data'!F:F,'caseload data'!$D:$D,"SPO",'caseload data'!$C:$C,'divisional &amp; regional caseload'!$T$64)</f>
        <v>0</v>
      </c>
      <c r="W90" s="98">
        <f>SUMIFS('caseload data'!G:G,'caseload data'!$D:$D,"SPO",'caseload data'!$C:$C,'divisional &amp; regional caseload'!$T$64)</f>
        <v>0</v>
      </c>
      <c r="X90" s="98">
        <f>SUMIFS('caseload data'!H:H,'caseload data'!$D:$D,"SPO",'caseload data'!$C:$C,'divisional &amp; regional caseload'!$T$64)</f>
        <v>0</v>
      </c>
      <c r="Y90" s="98">
        <f>SUMIFS('caseload data'!I:I,'caseload data'!$D:$D,"SPO",'caseload data'!$C:$C,'divisional &amp; regional caseload'!$T$64)</f>
        <v>0</v>
      </c>
      <c r="Z90" s="98">
        <f>SUMIFS('caseload data'!J:J,'caseload data'!$D:$D,"SPO",'caseload data'!$C:$C,'divisional &amp; regional caseload'!$T$64)</f>
        <v>0</v>
      </c>
      <c r="AA90" s="98">
        <f>SUMIFS('caseload data'!K:K,'caseload data'!$D:$D,"SPO",'caseload data'!$C:$C,'divisional &amp; regional caseload'!$T$64)</f>
        <v>0</v>
      </c>
      <c r="AB90" s="98">
        <f>SUMIFS('caseload data'!L:L,'caseload data'!$D:$D,"SPO",'caseload data'!$C:$C,'divisional &amp; regional caseload'!$T$64)</f>
        <v>0</v>
      </c>
      <c r="AC90" s="98">
        <f>SUMIFS('caseload data'!M:M,'caseload data'!$D:$D,"SPO",'caseload data'!$C:$C,'divisional &amp; regional caseload'!$T$64)</f>
        <v>0</v>
      </c>
      <c r="AD90" s="98">
        <f>SUMIFS('caseload data'!N:N,'caseload data'!$D:$D,"SPO",'caseload data'!$C:$C,'divisional &amp; regional caseload'!$T$64)</f>
        <v>0</v>
      </c>
      <c r="AE90" s="98">
        <f>SUMIFS('caseload data'!O:O,'caseload data'!$D:$D,"SPO",'caseload data'!$C:$C,'divisional &amp; regional caseload'!$T$64)</f>
        <v>0</v>
      </c>
      <c r="AF90" s="98">
        <f>SUMIFS('caseload data'!P:P,'caseload data'!$D:$D,"SPO",'caseload data'!$C:$C,'divisional &amp; regional caseload'!$T$64)</f>
        <v>0</v>
      </c>
      <c r="AG90" s="98">
        <f>SUMIFS('caseload data'!Q:Q,'caseload data'!$D:$D,"SPO",'caseload data'!$C:$C,'divisional &amp; regional caseload'!$T$64)</f>
        <v>0</v>
      </c>
      <c r="AH90" s="98">
        <f>SUMIFS('caseload data'!R:R,'caseload data'!$D:$D,"SPO",'caseload data'!$C:$C,'divisional &amp; regional caseload'!$T$64)</f>
        <v>0</v>
      </c>
      <c r="AI90" s="98">
        <f>SUMIFS('caseload data'!S:S,'caseload data'!$D:$D,"SPO",'caseload data'!$C:$C,'divisional &amp; regional caseload'!$T$64)</f>
        <v>0</v>
      </c>
      <c r="AJ90" s="98">
        <f>SUMIFS('caseload data'!T:T,'caseload data'!$D:$D,"SPO",'caseload data'!$C:$C,'divisional &amp; regional caseload'!$T$64)</f>
        <v>0</v>
      </c>
    </row>
    <row r="92" spans="2:36" ht="30.75" customHeight="1" x14ac:dyDescent="0.15">
      <c r="B92" s="150">
        <f>HLOOKUP($B$5,Region_Table,26,0)</f>
        <v>0</v>
      </c>
      <c r="C92" s="459" t="s">
        <v>1271</v>
      </c>
      <c r="D92" s="460"/>
      <c r="E92" s="460"/>
      <c r="F92" s="460"/>
      <c r="G92" s="460"/>
      <c r="H92" s="460"/>
      <c r="I92" s="460"/>
      <c r="J92" s="460"/>
      <c r="K92" s="460"/>
      <c r="L92" s="460"/>
      <c r="M92" s="470"/>
      <c r="N92" s="470"/>
      <c r="O92" s="471"/>
      <c r="P92" s="462">
        <f>SUMIF('caseload data'!$C:$C,'divisional &amp; regional caseload'!B92,'caseload data'!V:V)</f>
        <v>0</v>
      </c>
      <c r="Q92" s="463"/>
      <c r="R92" s="464"/>
      <c r="T92" s="150">
        <f>HLOOKUP($B$5,Region_Table,27,0)</f>
        <v>0</v>
      </c>
      <c r="U92" s="459" t="s">
        <v>1271</v>
      </c>
      <c r="V92" s="460"/>
      <c r="W92" s="460"/>
      <c r="X92" s="460"/>
      <c r="Y92" s="460"/>
      <c r="Z92" s="460"/>
      <c r="AA92" s="460"/>
      <c r="AB92" s="460"/>
      <c r="AC92" s="460"/>
      <c r="AD92" s="460"/>
      <c r="AE92" s="460"/>
      <c r="AF92" s="460"/>
      <c r="AG92" s="461"/>
      <c r="AH92" s="462">
        <f>SUMIF('caseload data'!$C:$C,'divisional &amp; regional caseload'!T92,'caseload data'!V:V)</f>
        <v>0</v>
      </c>
      <c r="AI92" s="465"/>
      <c r="AJ92" s="466"/>
    </row>
    <row r="93" spans="2:36" x14ac:dyDescent="0.15">
      <c r="B93" s="99" t="s">
        <v>1170</v>
      </c>
      <c r="C93" s="40" t="s">
        <v>1022</v>
      </c>
      <c r="D93" s="40" t="s">
        <v>1023</v>
      </c>
      <c r="E93" s="40" t="s">
        <v>1024</v>
      </c>
      <c r="F93" s="40" t="s">
        <v>1025</v>
      </c>
      <c r="G93" s="40" t="s">
        <v>1026</v>
      </c>
      <c r="H93" s="40" t="s">
        <v>1027</v>
      </c>
      <c r="I93" s="40" t="s">
        <v>1028</v>
      </c>
      <c r="J93" s="40" t="s">
        <v>1029</v>
      </c>
      <c r="K93" s="40" t="s">
        <v>1030</v>
      </c>
      <c r="L93" s="40" t="s">
        <v>1031</v>
      </c>
      <c r="M93" s="40" t="s">
        <v>1032</v>
      </c>
      <c r="N93" s="40" t="s">
        <v>1033</v>
      </c>
      <c r="O93" s="40" t="s">
        <v>1034</v>
      </c>
      <c r="P93" s="40" t="s">
        <v>1035</v>
      </c>
      <c r="Q93" s="40" t="s">
        <v>1036</v>
      </c>
      <c r="R93" s="40" t="s">
        <v>1037</v>
      </c>
      <c r="T93" s="99" t="s">
        <v>1170</v>
      </c>
      <c r="U93" s="40" t="s">
        <v>1022</v>
      </c>
      <c r="V93" s="40" t="s">
        <v>1023</v>
      </c>
      <c r="W93" s="40" t="s">
        <v>1024</v>
      </c>
      <c r="X93" s="40" t="s">
        <v>1025</v>
      </c>
      <c r="Y93" s="40" t="s">
        <v>1026</v>
      </c>
      <c r="Z93" s="40" t="s">
        <v>1027</v>
      </c>
      <c r="AA93" s="40" t="s">
        <v>1028</v>
      </c>
      <c r="AB93" s="40" t="s">
        <v>1029</v>
      </c>
      <c r="AC93" s="40" t="s">
        <v>1030</v>
      </c>
      <c r="AD93" s="40" t="s">
        <v>1031</v>
      </c>
      <c r="AE93" s="40" t="s">
        <v>1032</v>
      </c>
      <c r="AF93" s="40" t="s">
        <v>1033</v>
      </c>
      <c r="AG93" s="40" t="s">
        <v>1034</v>
      </c>
      <c r="AH93" s="40" t="s">
        <v>1035</v>
      </c>
      <c r="AI93" s="40" t="s">
        <v>1036</v>
      </c>
      <c r="AJ93" s="40" t="s">
        <v>1037</v>
      </c>
    </row>
    <row r="94" spans="2:36" x14ac:dyDescent="0.15">
      <c r="B94" s="100" t="s">
        <v>1166</v>
      </c>
      <c r="C94" s="98">
        <f>SUMIFS('caseload data'!E:E,'caseload data'!$D:$D,"PO",'caseload data'!$C:$C,'divisional &amp; regional caseload'!$B$92)</f>
        <v>0</v>
      </c>
      <c r="D94" s="98">
        <f>SUMIFS('caseload data'!F:F,'caseload data'!$D:$D,"PO",'caseload data'!$C:$C,'divisional &amp; regional caseload'!$B$92)</f>
        <v>0</v>
      </c>
      <c r="E94" s="98">
        <f>SUMIFS('caseload data'!G:G,'caseload data'!$D:$D,"PO",'caseload data'!$C:$C,'divisional &amp; regional caseload'!$B$92)</f>
        <v>0</v>
      </c>
      <c r="F94" s="98">
        <f>SUMIFS('caseload data'!H:H,'caseload data'!$D:$D,"PO",'caseload data'!$C:$C,'divisional &amp; regional caseload'!$B$92)</f>
        <v>0</v>
      </c>
      <c r="G94" s="98">
        <f>SUMIFS('caseload data'!I:I,'caseload data'!$D:$D,"PO",'caseload data'!$C:$C,'divisional &amp; regional caseload'!$B$92)</f>
        <v>0</v>
      </c>
      <c r="H94" s="98">
        <f>SUMIFS('caseload data'!J:J,'caseload data'!$D:$D,"PO",'caseload data'!$C:$C,'divisional &amp; regional caseload'!$B$92)</f>
        <v>0</v>
      </c>
      <c r="I94" s="98">
        <f>SUMIFS('caseload data'!K:K,'caseload data'!$D:$D,"PO",'caseload data'!$C:$C,'divisional &amp; regional caseload'!$B$92)</f>
        <v>0</v>
      </c>
      <c r="J94" s="98">
        <f>SUMIFS('caseload data'!L:L,'caseload data'!$D:$D,"PO",'caseload data'!$C:$C,'divisional &amp; regional caseload'!$B$92)</f>
        <v>0</v>
      </c>
      <c r="K94" s="98">
        <f>SUMIFS('caseload data'!M:M,'caseload data'!$D:$D,"PO",'caseload data'!$C:$C,'divisional &amp; regional caseload'!$B$92)</f>
        <v>0</v>
      </c>
      <c r="L94" s="98">
        <f>SUMIFS('caseload data'!N:N,'caseload data'!$D:$D,"PO",'caseload data'!$C:$C,'divisional &amp; regional caseload'!$B$92)</f>
        <v>0</v>
      </c>
      <c r="M94" s="98">
        <f>SUMIFS('caseload data'!O:O,'caseload data'!$D:$D,"PO",'caseload data'!$C:$C,'divisional &amp; regional caseload'!$B$92)</f>
        <v>0</v>
      </c>
      <c r="N94" s="98">
        <f>SUMIFS('caseload data'!P:P,'caseload data'!$D:$D,"PO",'caseload data'!$C:$C,'divisional &amp; regional caseload'!$B$92)</f>
        <v>0</v>
      </c>
      <c r="O94" s="98">
        <f>SUMIFS('caseload data'!Q:Q,'caseload data'!$D:$D,"PO",'caseload data'!$C:$C,'divisional &amp; regional caseload'!$B$92)</f>
        <v>0</v>
      </c>
      <c r="P94" s="98">
        <f>SUMIFS('caseload data'!R:R,'caseload data'!$D:$D,"PO",'caseload data'!$C:$C,'divisional &amp; regional caseload'!$B$92)</f>
        <v>0</v>
      </c>
      <c r="Q94" s="98">
        <f>SUMIFS('caseload data'!S:S,'caseload data'!$D:$D,"PO",'caseload data'!$C:$C,'divisional &amp; regional caseload'!$B$92)</f>
        <v>0</v>
      </c>
      <c r="R94" s="98">
        <f>SUMIFS('caseload data'!T:T,'caseload data'!$D:$D,"PO",'caseload data'!$C:$C,'divisional &amp; regional caseload'!$B$92)</f>
        <v>0</v>
      </c>
      <c r="T94" s="100" t="s">
        <v>1166</v>
      </c>
      <c r="U94" s="98">
        <f>SUMIFS('caseload data'!E:E,'caseload data'!$D:$D,"PO",'caseload data'!$C:$C,'divisional &amp; regional caseload'!$T$64)</f>
        <v>0</v>
      </c>
      <c r="V94" s="98">
        <f>SUMIFS('caseload data'!F:F,'caseload data'!$D:$D,"PO",'caseload data'!$C:$C,'divisional &amp; regional caseload'!$T$64)</f>
        <v>0</v>
      </c>
      <c r="W94" s="98">
        <f>SUMIFS('caseload data'!G:G,'caseload data'!$D:$D,"PO",'caseload data'!$C:$C,'divisional &amp; regional caseload'!$T$64)</f>
        <v>0</v>
      </c>
      <c r="X94" s="98">
        <f>SUMIFS('caseload data'!H:H,'caseload data'!$D:$D,"PO",'caseload data'!$C:$C,'divisional &amp; regional caseload'!$T$64)</f>
        <v>0</v>
      </c>
      <c r="Y94" s="98">
        <f>SUMIFS('caseload data'!I:I,'caseload data'!$D:$D,"PO",'caseload data'!$C:$C,'divisional &amp; regional caseload'!$T$64)</f>
        <v>0</v>
      </c>
      <c r="Z94" s="98">
        <f>SUMIFS('caseload data'!J:J,'caseload data'!$D:$D,"PO",'caseload data'!$C:$C,'divisional &amp; regional caseload'!$T$64)</f>
        <v>0</v>
      </c>
      <c r="AA94" s="98">
        <f>SUMIFS('caseload data'!K:K,'caseload data'!$D:$D,"PO",'caseload data'!$C:$C,'divisional &amp; regional caseload'!$T$64)</f>
        <v>0</v>
      </c>
      <c r="AB94" s="98">
        <f>SUMIFS('caseload data'!L:L,'caseload data'!$D:$D,"PO",'caseload data'!$C:$C,'divisional &amp; regional caseload'!$T$64)</f>
        <v>0</v>
      </c>
      <c r="AC94" s="98">
        <f>SUMIFS('caseload data'!M:M,'caseload data'!$D:$D,"PO",'caseload data'!$C:$C,'divisional &amp; regional caseload'!$T$64)</f>
        <v>0</v>
      </c>
      <c r="AD94" s="98">
        <f>SUMIFS('caseload data'!N:N,'caseload data'!$D:$D,"PO",'caseload data'!$C:$C,'divisional &amp; regional caseload'!$T$64)</f>
        <v>0</v>
      </c>
      <c r="AE94" s="98">
        <f>SUMIFS('caseload data'!O:O,'caseload data'!$D:$D,"PO",'caseload data'!$C:$C,'divisional &amp; regional caseload'!$T$64)</f>
        <v>0</v>
      </c>
      <c r="AF94" s="98">
        <f>SUMIFS('caseload data'!P:P,'caseload data'!$D:$D,"PO",'caseload data'!$C:$C,'divisional &amp; regional caseload'!$T$64)</f>
        <v>0</v>
      </c>
      <c r="AG94" s="98">
        <f>SUMIFS('caseload data'!Q:Q,'caseload data'!$D:$D,"PO",'caseload data'!$C:$C,'divisional &amp; regional caseload'!$T$64)</f>
        <v>0</v>
      </c>
      <c r="AH94" s="98">
        <f>SUMIFS('caseload data'!R:R,'caseload data'!$D:$D,"PO",'caseload data'!$C:$C,'divisional &amp; regional caseload'!$T$64)</f>
        <v>0</v>
      </c>
      <c r="AI94" s="98">
        <f>SUMIFS('caseload data'!S:S,'caseload data'!$D:$D,"PO",'caseload data'!$C:$C,'divisional &amp; regional caseload'!$T$64)</f>
        <v>0</v>
      </c>
      <c r="AJ94" s="98">
        <f>SUMIFS('caseload data'!T:T,'caseload data'!$D:$D,"PO",'caseload data'!$C:$C,'divisional &amp; regional caseload'!$T$64)</f>
        <v>0</v>
      </c>
    </row>
    <row r="95" spans="2:36" x14ac:dyDescent="0.15">
      <c r="B95" s="101" t="s">
        <v>1172</v>
      </c>
      <c r="C95" s="98">
        <f>SUMIFS('caseload data'!E:E,'caseload data'!$D:$D,"PSO",'caseload data'!$C:$C,'divisional &amp; regional caseload'!$B$92)</f>
        <v>0</v>
      </c>
      <c r="D95" s="98">
        <f>SUMIFS('caseload data'!F:F,'caseload data'!$D:$D,"PSO",'caseload data'!$C:$C,'divisional &amp; regional caseload'!$B$92)</f>
        <v>0</v>
      </c>
      <c r="E95" s="98">
        <f>SUMIFS('caseload data'!G:G,'caseload data'!$D:$D,"PSO",'caseload data'!$C:$C,'divisional &amp; regional caseload'!$B$92)</f>
        <v>0</v>
      </c>
      <c r="F95" s="98">
        <f>SUMIFS('caseload data'!H:H,'caseload data'!$D:$D,"PSO",'caseload data'!$C:$C,'divisional &amp; regional caseload'!$B$92)</f>
        <v>0</v>
      </c>
      <c r="G95" s="98">
        <f>SUMIFS('caseload data'!I:I,'caseload data'!$D:$D,"PSO",'caseload data'!$C:$C,'divisional &amp; regional caseload'!$B$92)</f>
        <v>0</v>
      </c>
      <c r="H95" s="98">
        <f>SUMIFS('caseload data'!J:J,'caseload data'!$D:$D,"PSO",'caseload data'!$C:$C,'divisional &amp; regional caseload'!$B$92)</f>
        <v>0</v>
      </c>
      <c r="I95" s="98">
        <f>SUMIFS('caseload data'!K:K,'caseload data'!$D:$D,"PSO",'caseload data'!$C:$C,'divisional &amp; regional caseload'!$B$92)</f>
        <v>0</v>
      </c>
      <c r="J95" s="98">
        <f>SUMIFS('caseload data'!L:L,'caseload data'!$D:$D,"PSO",'caseload data'!$C:$C,'divisional &amp; regional caseload'!$B$92)</f>
        <v>0</v>
      </c>
      <c r="K95" s="98">
        <f>SUMIFS('caseload data'!M:M,'caseload data'!$D:$D,"PSO",'caseload data'!$C:$C,'divisional &amp; regional caseload'!$B$92)</f>
        <v>0</v>
      </c>
      <c r="L95" s="98">
        <f>SUMIFS('caseload data'!N:N,'caseload data'!$D:$D,"PSO",'caseload data'!$C:$C,'divisional &amp; regional caseload'!$B$92)</f>
        <v>0</v>
      </c>
      <c r="M95" s="98">
        <f>SUMIFS('caseload data'!O:O,'caseload data'!$D:$D,"PSO",'caseload data'!$C:$C,'divisional &amp; regional caseload'!$B$92)</f>
        <v>0</v>
      </c>
      <c r="N95" s="98">
        <f>SUMIFS('caseload data'!P:P,'caseload data'!$D:$D,"PSO",'caseload data'!$C:$C,'divisional &amp; regional caseload'!$B$92)</f>
        <v>0</v>
      </c>
      <c r="O95" s="98">
        <f>SUMIFS('caseload data'!Q:Q,'caseload data'!$D:$D,"PSO",'caseload data'!$C:$C,'divisional &amp; regional caseload'!$B$92)</f>
        <v>0</v>
      </c>
      <c r="P95" s="98">
        <f>SUMIFS('caseload data'!R:R,'caseload data'!$D:$D,"PSO",'caseload data'!$C:$C,'divisional &amp; regional caseload'!$B$92)</f>
        <v>0</v>
      </c>
      <c r="Q95" s="98">
        <f>SUMIFS('caseload data'!S:S,'caseload data'!$D:$D,"PSO",'caseload data'!$C:$C,'divisional &amp; regional caseload'!$B$92)</f>
        <v>0</v>
      </c>
      <c r="R95" s="98">
        <f>SUMIFS('caseload data'!T:T,'caseload data'!$D:$D,"PSO",'caseload data'!$C:$C,'divisional &amp; regional caseload'!$B$92)</f>
        <v>0</v>
      </c>
      <c r="T95" s="101" t="s">
        <v>1172</v>
      </c>
      <c r="U95" s="98">
        <f>SUMIFS('caseload data'!E:E,'caseload data'!$D:$D,"PSO",'caseload data'!$C:$C,'divisional &amp; regional caseload'!$T$64)</f>
        <v>0</v>
      </c>
      <c r="V95" s="98">
        <f>SUMIFS('caseload data'!F:F,'caseload data'!$D:$D,"PSO",'caseload data'!$C:$C,'divisional &amp; regional caseload'!$T$64)</f>
        <v>0</v>
      </c>
      <c r="W95" s="98">
        <f>SUMIFS('caseload data'!G:G,'caseload data'!$D:$D,"PSO",'caseload data'!$C:$C,'divisional &amp; regional caseload'!$T$64)</f>
        <v>0</v>
      </c>
      <c r="X95" s="98">
        <f>SUMIFS('caseload data'!H:H,'caseload data'!$D:$D,"PSO",'caseload data'!$C:$C,'divisional &amp; regional caseload'!$T$64)</f>
        <v>0</v>
      </c>
      <c r="Y95" s="98">
        <f>SUMIFS('caseload data'!I:I,'caseload data'!$D:$D,"PSO",'caseload data'!$C:$C,'divisional &amp; regional caseload'!$T$64)</f>
        <v>0</v>
      </c>
      <c r="Z95" s="98">
        <f>SUMIFS('caseload data'!J:J,'caseload data'!$D:$D,"PSO",'caseload data'!$C:$C,'divisional &amp; regional caseload'!$T$64)</f>
        <v>0</v>
      </c>
      <c r="AA95" s="98">
        <f>SUMIFS('caseload data'!K:K,'caseload data'!$D:$D,"PSO",'caseload data'!$C:$C,'divisional &amp; regional caseload'!$T$64)</f>
        <v>0</v>
      </c>
      <c r="AB95" s="98">
        <f>SUMIFS('caseload data'!L:L,'caseload data'!$D:$D,"PSO",'caseload data'!$C:$C,'divisional &amp; regional caseload'!$T$64)</f>
        <v>0</v>
      </c>
      <c r="AC95" s="98">
        <f>SUMIFS('caseload data'!M:M,'caseload data'!$D:$D,"PSO",'caseload data'!$C:$C,'divisional &amp; regional caseload'!$T$64)</f>
        <v>0</v>
      </c>
      <c r="AD95" s="98">
        <f>SUMIFS('caseload data'!N:N,'caseload data'!$D:$D,"PSO",'caseload data'!$C:$C,'divisional &amp; regional caseload'!$T$64)</f>
        <v>0</v>
      </c>
      <c r="AE95" s="98">
        <f>SUMIFS('caseload data'!O:O,'caseload data'!$D:$D,"PSO",'caseload data'!$C:$C,'divisional &amp; regional caseload'!$T$64)</f>
        <v>0</v>
      </c>
      <c r="AF95" s="98">
        <f>SUMIFS('caseload data'!P:P,'caseload data'!$D:$D,"PSO",'caseload data'!$C:$C,'divisional &amp; regional caseload'!$T$64)</f>
        <v>0</v>
      </c>
      <c r="AG95" s="98">
        <f>SUMIFS('caseload data'!Q:Q,'caseload data'!$D:$D,"PSO",'caseload data'!$C:$C,'divisional &amp; regional caseload'!$T$64)</f>
        <v>0</v>
      </c>
      <c r="AH95" s="98">
        <f>SUMIFS('caseload data'!R:R,'caseload data'!$D:$D,"PSO",'caseload data'!$C:$C,'divisional &amp; regional caseload'!$T$64)</f>
        <v>0</v>
      </c>
      <c r="AI95" s="98">
        <f>SUMIFS('caseload data'!S:S,'caseload data'!$D:$D,"PSO",'caseload data'!$C:$C,'divisional &amp; regional caseload'!$T$64)</f>
        <v>0</v>
      </c>
      <c r="AJ95" s="98">
        <f>SUMIFS('caseload data'!T:T,'caseload data'!$D:$D,"PSO",'caseload data'!$C:$C,'divisional &amp; regional caseload'!$T$64)</f>
        <v>0</v>
      </c>
    </row>
    <row r="96" spans="2:36" x14ac:dyDescent="0.15">
      <c r="B96" s="101" t="s">
        <v>1173</v>
      </c>
      <c r="C96" s="98">
        <f>SUMIFS('caseload data'!E:E,'caseload data'!$D:$D,"TPO",'caseload data'!$C:$C,'divisional &amp; regional caseload'!$B$92)</f>
        <v>0</v>
      </c>
      <c r="D96" s="98">
        <f>SUMIFS('caseload data'!F:F,'caseload data'!$D:$D,"TPO",'caseload data'!$C:$C,'divisional &amp; regional caseload'!$B$92)</f>
        <v>0</v>
      </c>
      <c r="E96" s="98">
        <f>SUMIFS('caseload data'!G:G,'caseload data'!$D:$D,"TPO",'caseload data'!$C:$C,'divisional &amp; regional caseload'!$B$92)</f>
        <v>0</v>
      </c>
      <c r="F96" s="98">
        <f>SUMIFS('caseload data'!H:H,'caseload data'!$D:$D,"TPO",'caseload data'!$C:$C,'divisional &amp; regional caseload'!$B$92)</f>
        <v>0</v>
      </c>
      <c r="G96" s="98">
        <f>SUMIFS('caseload data'!I:I,'caseload data'!$D:$D,"TPO",'caseload data'!$C:$C,'divisional &amp; regional caseload'!$B$92)</f>
        <v>0</v>
      </c>
      <c r="H96" s="98">
        <f>SUMIFS('caseload data'!J:J,'caseload data'!$D:$D,"TPO",'caseload data'!$C:$C,'divisional &amp; regional caseload'!$B$92)</f>
        <v>0</v>
      </c>
      <c r="I96" s="98">
        <f>SUMIFS('caseload data'!K:K,'caseload data'!$D:$D,"TPO",'caseload data'!$C:$C,'divisional &amp; regional caseload'!$B$92)</f>
        <v>0</v>
      </c>
      <c r="J96" s="98">
        <f>SUMIFS('caseload data'!L:L,'caseload data'!$D:$D,"TPO",'caseload data'!$C:$C,'divisional &amp; regional caseload'!$B$92)</f>
        <v>0</v>
      </c>
      <c r="K96" s="98">
        <f>SUMIFS('caseload data'!M:M,'caseload data'!$D:$D,"TPO",'caseload data'!$C:$C,'divisional &amp; regional caseload'!$B$92)</f>
        <v>0</v>
      </c>
      <c r="L96" s="98">
        <f>SUMIFS('caseload data'!N:N,'caseload data'!$D:$D,"TPO",'caseload data'!$C:$C,'divisional &amp; regional caseload'!$B$92)</f>
        <v>0</v>
      </c>
      <c r="M96" s="98">
        <f>SUMIFS('caseload data'!O:O,'caseload data'!$D:$D,"TPO",'caseload data'!$C:$C,'divisional &amp; regional caseload'!$B$92)</f>
        <v>0</v>
      </c>
      <c r="N96" s="98">
        <f>SUMIFS('caseload data'!P:P,'caseload data'!$D:$D,"TPO",'caseload data'!$C:$C,'divisional &amp; regional caseload'!$B$92)</f>
        <v>0</v>
      </c>
      <c r="O96" s="98">
        <f>SUMIFS('caseload data'!Q:Q,'caseload data'!$D:$D,"TPO",'caseload data'!$C:$C,'divisional &amp; regional caseload'!$B$92)</f>
        <v>0</v>
      </c>
      <c r="P96" s="98">
        <f>SUMIFS('caseload data'!R:R,'caseload data'!$D:$D,"TPO",'caseload data'!$C:$C,'divisional &amp; regional caseload'!$B$92)</f>
        <v>0</v>
      </c>
      <c r="Q96" s="98">
        <f>SUMIFS('caseload data'!S:S,'caseload data'!$D:$D,"TPO",'caseload data'!$C:$C,'divisional &amp; regional caseload'!$B$92)</f>
        <v>0</v>
      </c>
      <c r="R96" s="98">
        <f>SUMIFS('caseload data'!T:T,'caseload data'!$D:$D,"TPO",'caseload data'!$C:$C,'divisional &amp; regional caseload'!$B$92)</f>
        <v>0</v>
      </c>
      <c r="T96" s="101" t="s">
        <v>1173</v>
      </c>
      <c r="U96" s="98">
        <f>SUMIFS('caseload data'!E:E,'caseload data'!$D:$D,"TPO",'caseload data'!$C:$C,'divisional &amp; regional caseload'!$T$64)</f>
        <v>0</v>
      </c>
      <c r="V96" s="98">
        <f>SUMIFS('caseload data'!F:F,'caseload data'!$D:$D,"TPO",'caseload data'!$C:$C,'divisional &amp; regional caseload'!$T$64)</f>
        <v>0</v>
      </c>
      <c r="W96" s="98">
        <f>SUMIFS('caseload data'!G:G,'caseload data'!$D:$D,"TPO",'caseload data'!$C:$C,'divisional &amp; regional caseload'!$T$64)</f>
        <v>0</v>
      </c>
      <c r="X96" s="98">
        <f>SUMIFS('caseload data'!H:H,'caseload data'!$D:$D,"TPO",'caseload data'!$C:$C,'divisional &amp; regional caseload'!$T$64)</f>
        <v>0</v>
      </c>
      <c r="Y96" s="98">
        <f>SUMIFS('caseload data'!I:I,'caseload data'!$D:$D,"TPO",'caseload data'!$C:$C,'divisional &amp; regional caseload'!$T$64)</f>
        <v>0</v>
      </c>
      <c r="Z96" s="98">
        <f>SUMIFS('caseload data'!J:J,'caseload data'!$D:$D,"TPO",'caseload data'!$C:$C,'divisional &amp; regional caseload'!$T$64)</f>
        <v>0</v>
      </c>
      <c r="AA96" s="98">
        <f>SUMIFS('caseload data'!K:K,'caseload data'!$D:$D,"TPO",'caseload data'!$C:$C,'divisional &amp; regional caseload'!$T$64)</f>
        <v>0</v>
      </c>
      <c r="AB96" s="98">
        <f>SUMIFS('caseload data'!L:L,'caseload data'!$D:$D,"TPO",'caseload data'!$C:$C,'divisional &amp; regional caseload'!$T$64)</f>
        <v>0</v>
      </c>
      <c r="AC96" s="98">
        <f>SUMIFS('caseload data'!M:M,'caseload data'!$D:$D,"TPO",'caseload data'!$C:$C,'divisional &amp; regional caseload'!$T$64)</f>
        <v>0</v>
      </c>
      <c r="AD96" s="98">
        <f>SUMIFS('caseload data'!N:N,'caseload data'!$D:$D,"TPO",'caseload data'!$C:$C,'divisional &amp; regional caseload'!$T$64)</f>
        <v>0</v>
      </c>
      <c r="AE96" s="98">
        <f>SUMIFS('caseload data'!O:O,'caseload data'!$D:$D,"TPO",'caseload data'!$C:$C,'divisional &amp; regional caseload'!$T$64)</f>
        <v>0</v>
      </c>
      <c r="AF96" s="98">
        <f>SUMIFS('caseload data'!P:P,'caseload data'!$D:$D,"TPO",'caseload data'!$C:$C,'divisional &amp; regional caseload'!$T$64)</f>
        <v>0</v>
      </c>
      <c r="AG96" s="98">
        <f>SUMIFS('caseload data'!Q:Q,'caseload data'!$D:$D,"TPO",'caseload data'!$C:$C,'divisional &amp; regional caseload'!$T$64)</f>
        <v>0</v>
      </c>
      <c r="AH96" s="98">
        <f>SUMIFS('caseload data'!R:R,'caseload data'!$D:$D,"TPO",'caseload data'!$C:$C,'divisional &amp; regional caseload'!$T$64)</f>
        <v>0</v>
      </c>
      <c r="AI96" s="98">
        <f>SUMIFS('caseload data'!S:S,'caseload data'!$D:$D,"TPO",'caseload data'!$C:$C,'divisional &amp; regional caseload'!$T$64)</f>
        <v>0</v>
      </c>
      <c r="AJ96" s="98">
        <f>SUMIFS('caseload data'!T:T,'caseload data'!$D:$D,"TPO",'caseload data'!$C:$C,'divisional &amp; regional caseload'!$T$64)</f>
        <v>0</v>
      </c>
    </row>
    <row r="97" spans="2:36" x14ac:dyDescent="0.15">
      <c r="B97" s="102" t="s">
        <v>1174</v>
      </c>
      <c r="C97" s="98">
        <f>SUMIFS('caseload data'!E:E,'caseload data'!$D:$D,"SPO",'caseload data'!$C:$C,'divisional &amp; regional caseload'!$B$92)</f>
        <v>0</v>
      </c>
      <c r="D97" s="98">
        <f>SUMIFS('caseload data'!F:F,'caseload data'!$D:$D,"SPO",'caseload data'!$C:$C,'divisional &amp; regional caseload'!$B$92)</f>
        <v>0</v>
      </c>
      <c r="E97" s="98">
        <f>SUMIFS('caseload data'!G:G,'caseload data'!$D:$D,"SPO",'caseload data'!$C:$C,'divisional &amp; regional caseload'!$B$92)</f>
        <v>0</v>
      </c>
      <c r="F97" s="98">
        <f>SUMIFS('caseload data'!H:H,'caseload data'!$D:$D,"SPO",'caseload data'!$C:$C,'divisional &amp; regional caseload'!$B$92)</f>
        <v>0</v>
      </c>
      <c r="G97" s="98">
        <f>SUMIFS('caseload data'!I:I,'caseload data'!$D:$D,"SPO",'caseload data'!$C:$C,'divisional &amp; regional caseload'!$B$92)</f>
        <v>0</v>
      </c>
      <c r="H97" s="98">
        <f>SUMIFS('caseload data'!J:J,'caseload data'!$D:$D,"SPO",'caseload data'!$C:$C,'divisional &amp; regional caseload'!$B$92)</f>
        <v>0</v>
      </c>
      <c r="I97" s="98">
        <f>SUMIFS('caseload data'!K:K,'caseload data'!$D:$D,"SPO",'caseload data'!$C:$C,'divisional &amp; regional caseload'!$B$92)</f>
        <v>0</v>
      </c>
      <c r="J97" s="98">
        <f>SUMIFS('caseload data'!L:L,'caseload data'!$D:$D,"SPO",'caseload data'!$C:$C,'divisional &amp; regional caseload'!$B$92)</f>
        <v>0</v>
      </c>
      <c r="K97" s="98">
        <f>SUMIFS('caseload data'!M:M,'caseload data'!$D:$D,"SPO",'caseload data'!$C:$C,'divisional &amp; regional caseload'!$B$92)</f>
        <v>0</v>
      </c>
      <c r="L97" s="98">
        <f>SUMIFS('caseload data'!N:N,'caseload data'!$D:$D,"SPO",'caseload data'!$C:$C,'divisional &amp; regional caseload'!$B$92)</f>
        <v>0</v>
      </c>
      <c r="M97" s="98">
        <f>SUMIFS('caseload data'!O:O,'caseload data'!$D:$D,"SPO",'caseload data'!$C:$C,'divisional &amp; regional caseload'!$B$92)</f>
        <v>0</v>
      </c>
      <c r="N97" s="98">
        <f>SUMIFS('caseload data'!P:P,'caseload data'!$D:$D,"SPO",'caseload data'!$C:$C,'divisional &amp; regional caseload'!$B$92)</f>
        <v>0</v>
      </c>
      <c r="O97" s="98">
        <f>SUMIFS('caseload data'!Q:Q,'caseload data'!$D:$D,"SPO",'caseload data'!$C:$C,'divisional &amp; regional caseload'!$B$92)</f>
        <v>0</v>
      </c>
      <c r="P97" s="98">
        <f>SUMIFS('caseload data'!R:R,'caseload data'!$D:$D,"SPO",'caseload data'!$C:$C,'divisional &amp; regional caseload'!$B$92)</f>
        <v>0</v>
      </c>
      <c r="Q97" s="98">
        <f>SUMIFS('caseload data'!S:S,'caseload data'!$D:$D,"SPO",'caseload data'!$C:$C,'divisional &amp; regional caseload'!$B$92)</f>
        <v>0</v>
      </c>
      <c r="R97" s="98">
        <f>SUMIFS('caseload data'!T:T,'caseload data'!$D:$D,"SPO",'caseload data'!$C:$C,'divisional &amp; regional caseload'!$B$92)</f>
        <v>0</v>
      </c>
      <c r="T97" s="102" t="s">
        <v>1174</v>
      </c>
      <c r="U97" s="98">
        <f>SUMIFS('caseload data'!E:E,'caseload data'!$D:$D,"SPO",'caseload data'!$C:$C,'divisional &amp; regional caseload'!$T$64)</f>
        <v>0</v>
      </c>
      <c r="V97" s="98">
        <f>SUMIFS('caseload data'!F:F,'caseload data'!$D:$D,"SPO",'caseload data'!$C:$C,'divisional &amp; regional caseload'!$T$64)</f>
        <v>0</v>
      </c>
      <c r="W97" s="98">
        <f>SUMIFS('caseload data'!G:G,'caseload data'!$D:$D,"SPO",'caseload data'!$C:$C,'divisional &amp; regional caseload'!$T$64)</f>
        <v>0</v>
      </c>
      <c r="X97" s="98">
        <f>SUMIFS('caseload data'!H:H,'caseload data'!$D:$D,"SPO",'caseload data'!$C:$C,'divisional &amp; regional caseload'!$T$64)</f>
        <v>0</v>
      </c>
      <c r="Y97" s="98">
        <f>SUMIFS('caseload data'!I:I,'caseload data'!$D:$D,"SPO",'caseload data'!$C:$C,'divisional &amp; regional caseload'!$T$64)</f>
        <v>0</v>
      </c>
      <c r="Z97" s="98">
        <f>SUMIFS('caseload data'!J:J,'caseload data'!$D:$D,"SPO",'caseload data'!$C:$C,'divisional &amp; regional caseload'!$T$64)</f>
        <v>0</v>
      </c>
      <c r="AA97" s="98">
        <f>SUMIFS('caseload data'!K:K,'caseload data'!$D:$D,"SPO",'caseload data'!$C:$C,'divisional &amp; regional caseload'!$T$64)</f>
        <v>0</v>
      </c>
      <c r="AB97" s="98">
        <f>SUMIFS('caseload data'!L:L,'caseload data'!$D:$D,"SPO",'caseload data'!$C:$C,'divisional &amp; regional caseload'!$T$64)</f>
        <v>0</v>
      </c>
      <c r="AC97" s="98">
        <f>SUMIFS('caseload data'!M:M,'caseload data'!$D:$D,"SPO",'caseload data'!$C:$C,'divisional &amp; regional caseload'!$T$64)</f>
        <v>0</v>
      </c>
      <c r="AD97" s="98">
        <f>SUMIFS('caseload data'!N:N,'caseload data'!$D:$D,"SPO",'caseload data'!$C:$C,'divisional &amp; regional caseload'!$T$64)</f>
        <v>0</v>
      </c>
      <c r="AE97" s="98">
        <f>SUMIFS('caseload data'!O:O,'caseload data'!$D:$D,"SPO",'caseload data'!$C:$C,'divisional &amp; regional caseload'!$T$64)</f>
        <v>0</v>
      </c>
      <c r="AF97" s="98">
        <f>SUMIFS('caseload data'!P:P,'caseload data'!$D:$D,"SPO",'caseload data'!$C:$C,'divisional &amp; regional caseload'!$T$64)</f>
        <v>0</v>
      </c>
      <c r="AG97" s="98">
        <f>SUMIFS('caseload data'!Q:Q,'caseload data'!$D:$D,"SPO",'caseload data'!$C:$C,'divisional &amp; regional caseload'!$T$64)</f>
        <v>0</v>
      </c>
      <c r="AH97" s="98">
        <f>SUMIFS('caseload data'!R:R,'caseload data'!$D:$D,"SPO",'caseload data'!$C:$C,'divisional &amp; regional caseload'!$T$64)</f>
        <v>0</v>
      </c>
      <c r="AI97" s="98">
        <f>SUMIFS('caseload data'!S:S,'caseload data'!$D:$D,"SPO",'caseload data'!$C:$C,'divisional &amp; regional caseload'!$T$64)</f>
        <v>0</v>
      </c>
      <c r="AJ97" s="98">
        <f>SUMIFS('caseload data'!T:T,'caseload data'!$D:$D,"SPO",'caseload data'!$C:$C,'divisional &amp; regional caseload'!$T$64)</f>
        <v>0</v>
      </c>
    </row>
    <row r="99" spans="2:36" ht="31.5" customHeight="1" x14ac:dyDescent="0.15">
      <c r="B99" s="150">
        <f>HLOOKUP($B$5,Region_Table,28,0)</f>
        <v>0</v>
      </c>
      <c r="C99" s="459" t="s">
        <v>1271</v>
      </c>
      <c r="D99" s="460"/>
      <c r="E99" s="460"/>
      <c r="F99" s="460"/>
      <c r="G99" s="460"/>
      <c r="H99" s="460"/>
      <c r="I99" s="460"/>
      <c r="J99" s="460"/>
      <c r="K99" s="460"/>
      <c r="L99" s="460"/>
      <c r="M99" s="470"/>
      <c r="N99" s="470"/>
      <c r="O99" s="471"/>
      <c r="P99" s="462">
        <f>SUMIF('caseload data'!$C:$C,'divisional &amp; regional caseload'!B99,'caseload data'!V:V)</f>
        <v>0</v>
      </c>
      <c r="Q99" s="463"/>
      <c r="R99" s="464"/>
      <c r="T99" s="150">
        <f>HLOOKUP($B$5,Region_Table,29,0)</f>
        <v>0</v>
      </c>
      <c r="U99" s="459" t="s">
        <v>1271</v>
      </c>
      <c r="V99" s="460"/>
      <c r="W99" s="460"/>
      <c r="X99" s="460"/>
      <c r="Y99" s="460"/>
      <c r="Z99" s="460"/>
      <c r="AA99" s="460"/>
      <c r="AB99" s="460"/>
      <c r="AC99" s="460"/>
      <c r="AD99" s="460"/>
      <c r="AE99" s="460"/>
      <c r="AF99" s="460"/>
      <c r="AG99" s="461"/>
      <c r="AH99" s="462">
        <f>SUMIF('caseload data'!$C:$C,'divisional &amp; regional caseload'!T99,'caseload data'!V:V)</f>
        <v>0</v>
      </c>
      <c r="AI99" s="465"/>
      <c r="AJ99" s="466"/>
    </row>
    <row r="100" spans="2:36" x14ac:dyDescent="0.15">
      <c r="B100" s="99" t="s">
        <v>1170</v>
      </c>
      <c r="C100" s="40" t="s">
        <v>1022</v>
      </c>
      <c r="D100" s="40" t="s">
        <v>1023</v>
      </c>
      <c r="E100" s="40" t="s">
        <v>1024</v>
      </c>
      <c r="F100" s="40" t="s">
        <v>1025</v>
      </c>
      <c r="G100" s="40" t="s">
        <v>1026</v>
      </c>
      <c r="H100" s="40" t="s">
        <v>1027</v>
      </c>
      <c r="I100" s="40" t="s">
        <v>1028</v>
      </c>
      <c r="J100" s="40" t="s">
        <v>1029</v>
      </c>
      <c r="K100" s="40" t="s">
        <v>1030</v>
      </c>
      <c r="L100" s="40" t="s">
        <v>1031</v>
      </c>
      <c r="M100" s="40" t="s">
        <v>1032</v>
      </c>
      <c r="N100" s="40" t="s">
        <v>1033</v>
      </c>
      <c r="O100" s="40" t="s">
        <v>1034</v>
      </c>
      <c r="P100" s="40" t="s">
        <v>1035</v>
      </c>
      <c r="Q100" s="40" t="s">
        <v>1036</v>
      </c>
      <c r="R100" s="40" t="s">
        <v>1037</v>
      </c>
      <c r="T100" s="99" t="s">
        <v>1170</v>
      </c>
      <c r="U100" s="40" t="s">
        <v>1022</v>
      </c>
      <c r="V100" s="40" t="s">
        <v>1023</v>
      </c>
      <c r="W100" s="40" t="s">
        <v>1024</v>
      </c>
      <c r="X100" s="40" t="s">
        <v>1025</v>
      </c>
      <c r="Y100" s="40" t="s">
        <v>1026</v>
      </c>
      <c r="Z100" s="40" t="s">
        <v>1027</v>
      </c>
      <c r="AA100" s="40" t="s">
        <v>1028</v>
      </c>
      <c r="AB100" s="40" t="s">
        <v>1029</v>
      </c>
      <c r="AC100" s="40" t="s">
        <v>1030</v>
      </c>
      <c r="AD100" s="40" t="s">
        <v>1031</v>
      </c>
      <c r="AE100" s="40" t="s">
        <v>1032</v>
      </c>
      <c r="AF100" s="40" t="s">
        <v>1033</v>
      </c>
      <c r="AG100" s="40" t="s">
        <v>1034</v>
      </c>
      <c r="AH100" s="40" t="s">
        <v>1035</v>
      </c>
      <c r="AI100" s="40" t="s">
        <v>1036</v>
      </c>
      <c r="AJ100" s="40" t="s">
        <v>1037</v>
      </c>
    </row>
    <row r="101" spans="2:36" x14ac:dyDescent="0.15">
      <c r="B101" s="100" t="s">
        <v>1166</v>
      </c>
      <c r="C101" s="98">
        <f>SUMIFS('caseload data'!E:E,'caseload data'!$D:$D,"PO",'caseload data'!$C:$C,'divisional &amp; regional caseload'!$B$71)</f>
        <v>0</v>
      </c>
      <c r="D101" s="98">
        <f>SUMIFS('caseload data'!F:F,'caseload data'!$D:$D,"PO",'caseload data'!$C:$C,'divisional &amp; regional caseload'!$B$71)</f>
        <v>0</v>
      </c>
      <c r="E101" s="98">
        <f>SUMIFS('caseload data'!G:G,'caseload data'!$D:$D,"PO",'caseload data'!$C:$C,'divisional &amp; regional caseload'!$B$71)</f>
        <v>0</v>
      </c>
      <c r="F101" s="98">
        <f>SUMIFS('caseload data'!H:H,'caseload data'!$D:$D,"PO",'caseload data'!$C:$C,'divisional &amp; regional caseload'!$B$71)</f>
        <v>0</v>
      </c>
      <c r="G101" s="98">
        <f>SUMIFS('caseload data'!I:I,'caseload data'!$D:$D,"PO",'caseload data'!$C:$C,'divisional &amp; regional caseload'!$B$71)</f>
        <v>0</v>
      </c>
      <c r="H101" s="98">
        <f>SUMIFS('caseload data'!J:J,'caseload data'!$D:$D,"PO",'caseload data'!$C:$C,'divisional &amp; regional caseload'!$B$71)</f>
        <v>0</v>
      </c>
      <c r="I101" s="98">
        <f>SUMIFS('caseload data'!K:K,'caseload data'!$D:$D,"PO",'caseload data'!$C:$C,'divisional &amp; regional caseload'!$B$71)</f>
        <v>0</v>
      </c>
      <c r="J101" s="98">
        <f>SUMIFS('caseload data'!L:L,'caseload data'!$D:$D,"PO",'caseload data'!$C:$C,'divisional &amp; regional caseload'!$B$71)</f>
        <v>0</v>
      </c>
      <c r="K101" s="98">
        <f>SUMIFS('caseload data'!M:M,'caseload data'!$D:$D,"PO",'caseload data'!$C:$C,'divisional &amp; regional caseload'!$B$71)</f>
        <v>0</v>
      </c>
      <c r="L101" s="98">
        <f>SUMIFS('caseload data'!N:N,'caseload data'!$D:$D,"PO",'caseload data'!$C:$C,'divisional &amp; regional caseload'!$B$71)</f>
        <v>0</v>
      </c>
      <c r="M101" s="98">
        <f>SUMIFS('caseload data'!O:O,'caseload data'!$D:$D,"PO",'caseload data'!$C:$C,'divisional &amp; regional caseload'!$B$71)</f>
        <v>0</v>
      </c>
      <c r="N101" s="98">
        <f>SUMIFS('caseload data'!P:P,'caseload data'!$D:$D,"PO",'caseload data'!$C:$C,'divisional &amp; regional caseload'!$B$71)</f>
        <v>0</v>
      </c>
      <c r="O101" s="98">
        <f>SUMIFS('caseload data'!Q:Q,'caseload data'!$D:$D,"PO",'caseload data'!$C:$C,'divisional &amp; regional caseload'!$B$71)</f>
        <v>0</v>
      </c>
      <c r="P101" s="98">
        <f>SUMIFS('caseload data'!R:R,'caseload data'!$D:$D,"PO",'caseload data'!$C:$C,'divisional &amp; regional caseload'!$B$71)</f>
        <v>0</v>
      </c>
      <c r="Q101" s="98">
        <f>SUMIFS('caseload data'!S:S,'caseload data'!$D:$D,"PO",'caseload data'!$C:$C,'divisional &amp; regional caseload'!$B$71)</f>
        <v>0</v>
      </c>
      <c r="R101" s="98">
        <f>SUMIFS('caseload data'!T:T,'caseload data'!$D:$D,"PO",'caseload data'!$C:$C,'divisional &amp; regional caseload'!$B$71)</f>
        <v>0</v>
      </c>
      <c r="T101" s="100" t="s">
        <v>1166</v>
      </c>
      <c r="U101" s="98">
        <f>SUMIFS('caseload data'!E:E,'caseload data'!$D:$D,"PO",'caseload data'!$C:$C,'divisional &amp; regional caseload'!$T$99)</f>
        <v>0</v>
      </c>
      <c r="V101" s="98">
        <f>SUMIFS('caseload data'!F:F,'caseload data'!$D:$D,"PO",'caseload data'!$C:$C,'divisional &amp; regional caseload'!$T$99)</f>
        <v>0</v>
      </c>
      <c r="W101" s="98">
        <f>SUMIFS('caseload data'!G:G,'caseload data'!$D:$D,"PO",'caseload data'!$C:$C,'divisional &amp; regional caseload'!$T$99)</f>
        <v>0</v>
      </c>
      <c r="X101" s="98">
        <f>SUMIFS('caseload data'!H:H,'caseload data'!$D:$D,"PO",'caseload data'!$C:$C,'divisional &amp; regional caseload'!$T$99)</f>
        <v>0</v>
      </c>
      <c r="Y101" s="98">
        <f>SUMIFS('caseload data'!I:I,'caseload data'!$D:$D,"PO",'caseload data'!$C:$C,'divisional &amp; regional caseload'!$T$99)</f>
        <v>0</v>
      </c>
      <c r="Z101" s="98">
        <f>SUMIFS('caseload data'!J:J,'caseload data'!$D:$D,"PO",'caseload data'!$C:$C,'divisional &amp; regional caseload'!$T$99)</f>
        <v>0</v>
      </c>
      <c r="AA101" s="98">
        <f>SUMIFS('caseload data'!K:K,'caseload data'!$D:$D,"PO",'caseload data'!$C:$C,'divisional &amp; regional caseload'!$T$99)</f>
        <v>0</v>
      </c>
      <c r="AB101" s="98">
        <f>SUMIFS('caseload data'!L:L,'caseload data'!$D:$D,"PO",'caseload data'!$C:$C,'divisional &amp; regional caseload'!$T$99)</f>
        <v>0</v>
      </c>
      <c r="AC101" s="98">
        <f>SUMIFS('caseload data'!M:M,'caseload data'!$D:$D,"PO",'caseload data'!$C:$C,'divisional &amp; regional caseload'!$T$99)</f>
        <v>0</v>
      </c>
      <c r="AD101" s="98">
        <f>SUMIFS('caseload data'!N:N,'caseload data'!$D:$D,"PO",'caseload data'!$C:$C,'divisional &amp; regional caseload'!$T$99)</f>
        <v>0</v>
      </c>
      <c r="AE101" s="98">
        <f>SUMIFS('caseload data'!O:O,'caseload data'!$D:$D,"PO",'caseload data'!$C:$C,'divisional &amp; regional caseload'!$T$99)</f>
        <v>0</v>
      </c>
      <c r="AF101" s="98">
        <f>SUMIFS('caseload data'!P:P,'caseload data'!$D:$D,"PO",'caseload data'!$C:$C,'divisional &amp; regional caseload'!$T$99)</f>
        <v>0</v>
      </c>
      <c r="AG101" s="98">
        <f>SUMIFS('caseload data'!Q:Q,'caseload data'!$D:$D,"PO",'caseload data'!$C:$C,'divisional &amp; regional caseload'!$T$99)</f>
        <v>0</v>
      </c>
      <c r="AH101" s="98">
        <f>SUMIFS('caseload data'!R:R,'caseload data'!$D:$D,"PO",'caseload data'!$C:$C,'divisional &amp; regional caseload'!$T$99)</f>
        <v>0</v>
      </c>
      <c r="AI101" s="98">
        <f>SUMIFS('caseload data'!S:S,'caseload data'!$D:$D,"PO",'caseload data'!$C:$C,'divisional &amp; regional caseload'!$T$99)</f>
        <v>0</v>
      </c>
      <c r="AJ101" s="98">
        <f>SUMIFS('caseload data'!T:T,'caseload data'!$D:$D,"PO",'caseload data'!$C:$C,'divisional &amp; regional caseload'!$T$99)</f>
        <v>0</v>
      </c>
    </row>
    <row r="102" spans="2:36" x14ac:dyDescent="0.15">
      <c r="B102" s="101" t="s">
        <v>1172</v>
      </c>
      <c r="C102" s="98">
        <f>SUMIFS('caseload data'!E:E,'caseload data'!$D:$D,"PSO",'caseload data'!$C:$C,'divisional &amp; regional caseload'!$B$71)</f>
        <v>0</v>
      </c>
      <c r="D102" s="98">
        <f>SUMIFS('caseload data'!F:F,'caseload data'!$D:$D,"PSO",'caseload data'!$C:$C,'divisional &amp; regional caseload'!$B$71)</f>
        <v>0</v>
      </c>
      <c r="E102" s="98">
        <f>SUMIFS('caseload data'!G:G,'caseload data'!$D:$D,"PSO",'caseload data'!$C:$C,'divisional &amp; regional caseload'!$B$71)</f>
        <v>0</v>
      </c>
      <c r="F102" s="98">
        <f>SUMIFS('caseload data'!H:H,'caseload data'!$D:$D,"PSO",'caseload data'!$C:$C,'divisional &amp; regional caseload'!$B$71)</f>
        <v>0</v>
      </c>
      <c r="G102" s="98">
        <f>SUMIFS('caseload data'!I:I,'caseload data'!$D:$D,"PSO",'caseload data'!$C:$C,'divisional &amp; regional caseload'!$B$71)</f>
        <v>0</v>
      </c>
      <c r="H102" s="98">
        <f>SUMIFS('caseload data'!J:J,'caseload data'!$D:$D,"PSO",'caseload data'!$C:$C,'divisional &amp; regional caseload'!$B$71)</f>
        <v>0</v>
      </c>
      <c r="I102" s="98">
        <f>SUMIFS('caseload data'!K:K,'caseload data'!$D:$D,"PSO",'caseload data'!$C:$C,'divisional &amp; regional caseload'!$B$71)</f>
        <v>0</v>
      </c>
      <c r="J102" s="98">
        <f>SUMIFS('caseload data'!L:L,'caseload data'!$D:$D,"PSO",'caseload data'!$C:$C,'divisional &amp; regional caseload'!$B$71)</f>
        <v>0</v>
      </c>
      <c r="K102" s="98">
        <f>SUMIFS('caseload data'!M:M,'caseload data'!$D:$D,"PSO",'caseload data'!$C:$C,'divisional &amp; regional caseload'!$B$71)</f>
        <v>0</v>
      </c>
      <c r="L102" s="98">
        <f>SUMIFS('caseload data'!N:N,'caseload data'!$D:$D,"PSO",'caseload data'!$C:$C,'divisional &amp; regional caseload'!$B$71)</f>
        <v>0</v>
      </c>
      <c r="M102" s="98">
        <f>SUMIFS('caseload data'!O:O,'caseload data'!$D:$D,"PSO",'caseload data'!$C:$C,'divisional &amp; regional caseload'!$B$71)</f>
        <v>0</v>
      </c>
      <c r="N102" s="98">
        <f>SUMIFS('caseload data'!P:P,'caseload data'!$D:$D,"PSO",'caseload data'!$C:$C,'divisional &amp; regional caseload'!$B$71)</f>
        <v>0</v>
      </c>
      <c r="O102" s="98">
        <f>SUMIFS('caseload data'!Q:Q,'caseload data'!$D:$D,"PSO",'caseload data'!$C:$C,'divisional &amp; regional caseload'!$B$71)</f>
        <v>0</v>
      </c>
      <c r="P102" s="98">
        <f>SUMIFS('caseload data'!R:R,'caseload data'!$D:$D,"PSO",'caseload data'!$C:$C,'divisional &amp; regional caseload'!$B$71)</f>
        <v>0</v>
      </c>
      <c r="Q102" s="98">
        <f>SUMIFS('caseload data'!S:S,'caseload data'!$D:$D,"PSO",'caseload data'!$C:$C,'divisional &amp; regional caseload'!$B$71)</f>
        <v>0</v>
      </c>
      <c r="R102" s="98">
        <f>SUMIFS('caseload data'!T:T,'caseload data'!$D:$D,"PSO",'caseload data'!$C:$C,'divisional &amp; regional caseload'!$B$71)</f>
        <v>0</v>
      </c>
      <c r="T102" s="101" t="s">
        <v>1172</v>
      </c>
      <c r="U102" s="98">
        <f>SUMIFS('caseload data'!E:E,'caseload data'!$D:$D,"PSO",'caseload data'!$C:$C,'divisional &amp; regional caseload'!$T$99)</f>
        <v>0</v>
      </c>
      <c r="V102" s="98">
        <f>SUMIFS('caseload data'!F:F,'caseload data'!$D:$D,"PSO",'caseload data'!$C:$C,'divisional &amp; regional caseload'!$T$99)</f>
        <v>0</v>
      </c>
      <c r="W102" s="98">
        <f>SUMIFS('caseload data'!G:G,'caseload data'!$D:$D,"PSO",'caseload data'!$C:$C,'divisional &amp; regional caseload'!$T$99)</f>
        <v>0</v>
      </c>
      <c r="X102" s="98">
        <f>SUMIFS('caseload data'!H:H,'caseload data'!$D:$D,"PSO",'caseload data'!$C:$C,'divisional &amp; regional caseload'!$T$99)</f>
        <v>0</v>
      </c>
      <c r="Y102" s="98">
        <f>SUMIFS('caseload data'!I:I,'caseload data'!$D:$D,"PSO",'caseload data'!$C:$C,'divisional &amp; regional caseload'!$T$99)</f>
        <v>0</v>
      </c>
      <c r="Z102" s="98">
        <f>SUMIFS('caseload data'!J:J,'caseload data'!$D:$D,"PSO",'caseload data'!$C:$C,'divisional &amp; regional caseload'!$T$99)</f>
        <v>0</v>
      </c>
      <c r="AA102" s="98">
        <f>SUMIFS('caseload data'!K:K,'caseload data'!$D:$D,"PSO",'caseload data'!$C:$C,'divisional &amp; regional caseload'!$T$99)</f>
        <v>0</v>
      </c>
      <c r="AB102" s="98">
        <f>SUMIFS('caseload data'!L:L,'caseload data'!$D:$D,"PSO",'caseload data'!$C:$C,'divisional &amp; regional caseload'!$T$99)</f>
        <v>0</v>
      </c>
      <c r="AC102" s="98">
        <f>SUMIFS('caseload data'!M:M,'caseload data'!$D:$D,"PSO",'caseload data'!$C:$C,'divisional &amp; regional caseload'!$T$99)</f>
        <v>0</v>
      </c>
      <c r="AD102" s="98">
        <f>SUMIFS('caseload data'!N:N,'caseload data'!$D:$D,"PSO",'caseload data'!$C:$C,'divisional &amp; regional caseload'!$T$99)</f>
        <v>0</v>
      </c>
      <c r="AE102" s="98">
        <f>SUMIFS('caseload data'!O:O,'caseload data'!$D:$D,"PSO",'caseload data'!$C:$C,'divisional &amp; regional caseload'!$T$99)</f>
        <v>0</v>
      </c>
      <c r="AF102" s="98">
        <f>SUMIFS('caseload data'!P:P,'caseload data'!$D:$D,"PSO",'caseload data'!$C:$C,'divisional &amp; regional caseload'!$T$99)</f>
        <v>0</v>
      </c>
      <c r="AG102" s="98">
        <f>SUMIFS('caseload data'!Q:Q,'caseload data'!$D:$D,"PSO",'caseload data'!$C:$C,'divisional &amp; regional caseload'!$T$99)</f>
        <v>0</v>
      </c>
      <c r="AH102" s="98">
        <f>SUMIFS('caseload data'!R:R,'caseload data'!$D:$D,"PSO",'caseload data'!$C:$C,'divisional &amp; regional caseload'!$T$99)</f>
        <v>0</v>
      </c>
      <c r="AI102" s="98">
        <f>SUMIFS('caseload data'!S:S,'caseload data'!$D:$D,"PSO",'caseload data'!$C:$C,'divisional &amp; regional caseload'!$T$99)</f>
        <v>0</v>
      </c>
      <c r="AJ102" s="98">
        <f>SUMIFS('caseload data'!T:T,'caseload data'!$D:$D,"PSO",'caseload data'!$C:$C,'divisional &amp; regional caseload'!$T$99)</f>
        <v>0</v>
      </c>
    </row>
    <row r="103" spans="2:36" x14ac:dyDescent="0.15">
      <c r="B103" s="101" t="s">
        <v>1173</v>
      </c>
      <c r="C103" s="98">
        <f>SUMIFS('caseload data'!E:E,'caseload data'!$D:$D,"TPO",'caseload data'!$C:$C,'divisional &amp; regional caseload'!$B$71)</f>
        <v>0</v>
      </c>
      <c r="D103" s="98">
        <f>SUMIFS('caseload data'!F:F,'caseload data'!$D:$D,"TPO",'caseload data'!$C:$C,'divisional &amp; regional caseload'!$B$71)</f>
        <v>0</v>
      </c>
      <c r="E103" s="98">
        <f>SUMIFS('caseload data'!G:G,'caseload data'!$D:$D,"TPO",'caseload data'!$C:$C,'divisional &amp; regional caseload'!$B$71)</f>
        <v>0</v>
      </c>
      <c r="F103" s="98">
        <f>SUMIFS('caseload data'!H:H,'caseload data'!$D:$D,"TPO",'caseload data'!$C:$C,'divisional &amp; regional caseload'!$B$71)</f>
        <v>0</v>
      </c>
      <c r="G103" s="98">
        <f>SUMIFS('caseload data'!I:I,'caseload data'!$D:$D,"TPO",'caseload data'!$C:$C,'divisional &amp; regional caseload'!$B$71)</f>
        <v>0</v>
      </c>
      <c r="H103" s="98">
        <f>SUMIFS('caseload data'!J:J,'caseload data'!$D:$D,"TPO",'caseload data'!$C:$C,'divisional &amp; regional caseload'!$B$71)</f>
        <v>0</v>
      </c>
      <c r="I103" s="98">
        <f>SUMIFS('caseload data'!K:K,'caseload data'!$D:$D,"TPO",'caseload data'!$C:$C,'divisional &amp; regional caseload'!$B$71)</f>
        <v>0</v>
      </c>
      <c r="J103" s="98">
        <f>SUMIFS('caseload data'!L:L,'caseload data'!$D:$D,"TPO",'caseload data'!$C:$C,'divisional &amp; regional caseload'!$B$71)</f>
        <v>0</v>
      </c>
      <c r="K103" s="98">
        <f>SUMIFS('caseload data'!M:M,'caseload data'!$D:$D,"TPO",'caseload data'!$C:$C,'divisional &amp; regional caseload'!$B$71)</f>
        <v>0</v>
      </c>
      <c r="L103" s="98">
        <f>SUMIFS('caseload data'!N:N,'caseload data'!$D:$D,"TPO",'caseload data'!$C:$C,'divisional &amp; regional caseload'!$B$71)</f>
        <v>0</v>
      </c>
      <c r="M103" s="98">
        <f>SUMIFS('caseload data'!O:O,'caseload data'!$D:$D,"TPO",'caseload data'!$C:$C,'divisional &amp; regional caseload'!$B$71)</f>
        <v>0</v>
      </c>
      <c r="N103" s="98">
        <f>SUMIFS('caseload data'!P:P,'caseload data'!$D:$D,"TPO",'caseload data'!$C:$C,'divisional &amp; regional caseload'!$B$71)</f>
        <v>0</v>
      </c>
      <c r="O103" s="98">
        <f>SUMIFS('caseload data'!Q:Q,'caseload data'!$D:$D,"TPO",'caseload data'!$C:$C,'divisional &amp; regional caseload'!$B$71)</f>
        <v>0</v>
      </c>
      <c r="P103" s="98">
        <f>SUMIFS('caseload data'!R:R,'caseload data'!$D:$D,"TPO",'caseload data'!$C:$C,'divisional &amp; regional caseload'!$B$71)</f>
        <v>0</v>
      </c>
      <c r="Q103" s="98">
        <f>SUMIFS('caseload data'!S:S,'caseload data'!$D:$D,"TPO",'caseload data'!$C:$C,'divisional &amp; regional caseload'!$B$71)</f>
        <v>0</v>
      </c>
      <c r="R103" s="98">
        <f>SUMIFS('caseload data'!T:T,'caseload data'!$D:$D,"TPO",'caseload data'!$C:$C,'divisional &amp; regional caseload'!$B$71)</f>
        <v>0</v>
      </c>
      <c r="T103" s="101" t="s">
        <v>1173</v>
      </c>
      <c r="U103" s="98">
        <f>SUMIFS('caseload data'!E:E,'caseload data'!$D:$D,"TPO",'caseload data'!$C:$C,'divisional &amp; regional caseload'!$T$99)</f>
        <v>0</v>
      </c>
      <c r="V103" s="98">
        <f>SUMIFS('caseload data'!F:F,'caseload data'!$D:$D,"TPO",'caseload data'!$C:$C,'divisional &amp; regional caseload'!$T$99)</f>
        <v>0</v>
      </c>
      <c r="W103" s="98">
        <f>SUMIFS('caseload data'!G:G,'caseload data'!$D:$D,"TPO",'caseload data'!$C:$C,'divisional &amp; regional caseload'!$T$99)</f>
        <v>0</v>
      </c>
      <c r="X103" s="98">
        <f>SUMIFS('caseload data'!H:H,'caseload data'!$D:$D,"TPO",'caseload data'!$C:$C,'divisional &amp; regional caseload'!$T$99)</f>
        <v>0</v>
      </c>
      <c r="Y103" s="98">
        <f>SUMIFS('caseload data'!I:I,'caseload data'!$D:$D,"TPO",'caseload data'!$C:$C,'divisional &amp; regional caseload'!$T$99)</f>
        <v>0</v>
      </c>
      <c r="Z103" s="98">
        <f>SUMIFS('caseload data'!J:J,'caseload data'!$D:$D,"TPO",'caseload data'!$C:$C,'divisional &amp; regional caseload'!$T$99)</f>
        <v>0</v>
      </c>
      <c r="AA103" s="98">
        <f>SUMIFS('caseload data'!K:K,'caseload data'!$D:$D,"TPO",'caseload data'!$C:$C,'divisional &amp; regional caseload'!$T$99)</f>
        <v>0</v>
      </c>
      <c r="AB103" s="98">
        <f>SUMIFS('caseload data'!L:L,'caseload data'!$D:$D,"TPO",'caseload data'!$C:$C,'divisional &amp; regional caseload'!$T$99)</f>
        <v>0</v>
      </c>
      <c r="AC103" s="98">
        <f>SUMIFS('caseload data'!M:M,'caseload data'!$D:$D,"TPO",'caseload data'!$C:$C,'divisional &amp; regional caseload'!$T$99)</f>
        <v>0</v>
      </c>
      <c r="AD103" s="98">
        <f>SUMIFS('caseload data'!N:N,'caseload data'!$D:$D,"TPO",'caseload data'!$C:$C,'divisional &amp; regional caseload'!$T$99)</f>
        <v>0</v>
      </c>
      <c r="AE103" s="98">
        <f>SUMIFS('caseload data'!O:O,'caseload data'!$D:$D,"TPO",'caseload data'!$C:$C,'divisional &amp; regional caseload'!$T$99)</f>
        <v>0</v>
      </c>
      <c r="AF103" s="98">
        <f>SUMIFS('caseload data'!P:P,'caseload data'!$D:$D,"TPO",'caseload data'!$C:$C,'divisional &amp; regional caseload'!$T$99)</f>
        <v>0</v>
      </c>
      <c r="AG103" s="98">
        <f>SUMIFS('caseload data'!Q:Q,'caseload data'!$D:$D,"TPO",'caseload data'!$C:$C,'divisional &amp; regional caseload'!$T$99)</f>
        <v>0</v>
      </c>
      <c r="AH103" s="98">
        <f>SUMIFS('caseload data'!R:R,'caseload data'!$D:$D,"TPO",'caseload data'!$C:$C,'divisional &amp; regional caseload'!$T$99)</f>
        <v>0</v>
      </c>
      <c r="AI103" s="98">
        <f>SUMIFS('caseload data'!S:S,'caseload data'!$D:$D,"TPO",'caseload data'!$C:$C,'divisional &amp; regional caseload'!$T$99)</f>
        <v>0</v>
      </c>
      <c r="AJ103" s="98">
        <f>SUMIFS('caseload data'!T:T,'caseload data'!$D:$D,"TPO",'caseload data'!$C:$C,'divisional &amp; regional caseload'!$T$99)</f>
        <v>0</v>
      </c>
    </row>
    <row r="104" spans="2:36" x14ac:dyDescent="0.15">
      <c r="B104" s="102" t="s">
        <v>1174</v>
      </c>
      <c r="C104" s="98">
        <f>SUMIFS('caseload data'!E:E,'caseload data'!$D:$D,"SPO",'caseload data'!$C:$C,'divisional &amp; regional caseload'!$B$71)</f>
        <v>0</v>
      </c>
      <c r="D104" s="98">
        <f>SUMIFS('caseload data'!F:F,'caseload data'!$D:$D,"SPO",'caseload data'!$C:$C,'divisional &amp; regional caseload'!$B$71)</f>
        <v>0</v>
      </c>
      <c r="E104" s="98">
        <f>SUMIFS('caseload data'!G:G,'caseload data'!$D:$D,"SPO",'caseload data'!$C:$C,'divisional &amp; regional caseload'!$B$71)</f>
        <v>0</v>
      </c>
      <c r="F104" s="98">
        <f>SUMIFS('caseload data'!H:H,'caseload data'!$D:$D,"SPO",'caseload data'!$C:$C,'divisional &amp; regional caseload'!$B$71)</f>
        <v>0</v>
      </c>
      <c r="G104" s="98">
        <f>SUMIFS('caseload data'!I:I,'caseload data'!$D:$D,"SPO",'caseload data'!$C:$C,'divisional &amp; regional caseload'!$B$71)</f>
        <v>0</v>
      </c>
      <c r="H104" s="98">
        <f>SUMIFS('caseload data'!J:J,'caseload data'!$D:$D,"SPO",'caseload data'!$C:$C,'divisional &amp; regional caseload'!$B$71)</f>
        <v>0</v>
      </c>
      <c r="I104" s="98">
        <f>SUMIFS('caseload data'!K:K,'caseload data'!$D:$D,"SPO",'caseload data'!$C:$C,'divisional &amp; regional caseload'!$B$71)</f>
        <v>0</v>
      </c>
      <c r="J104" s="98">
        <f>SUMIFS('caseload data'!L:L,'caseload data'!$D:$D,"SPO",'caseload data'!$C:$C,'divisional &amp; regional caseload'!$B$71)</f>
        <v>0</v>
      </c>
      <c r="K104" s="98">
        <f>SUMIFS('caseload data'!M:M,'caseload data'!$D:$D,"SPO",'caseload data'!$C:$C,'divisional &amp; regional caseload'!$B$71)</f>
        <v>0</v>
      </c>
      <c r="L104" s="98">
        <f>SUMIFS('caseload data'!N:N,'caseload data'!$D:$D,"SPO",'caseload data'!$C:$C,'divisional &amp; regional caseload'!$B$71)</f>
        <v>0</v>
      </c>
      <c r="M104" s="98">
        <f>SUMIFS('caseload data'!O:O,'caseload data'!$D:$D,"SPO",'caseload data'!$C:$C,'divisional &amp; regional caseload'!$B$71)</f>
        <v>0</v>
      </c>
      <c r="N104" s="98">
        <f>SUMIFS('caseload data'!P:P,'caseload data'!$D:$D,"SPO",'caseload data'!$C:$C,'divisional &amp; regional caseload'!$B$71)</f>
        <v>0</v>
      </c>
      <c r="O104" s="98">
        <f>SUMIFS('caseload data'!Q:Q,'caseload data'!$D:$D,"SPO",'caseload data'!$C:$C,'divisional &amp; regional caseload'!$B$71)</f>
        <v>0</v>
      </c>
      <c r="P104" s="98">
        <f>SUMIFS('caseload data'!R:R,'caseload data'!$D:$D,"SPO",'caseload data'!$C:$C,'divisional &amp; regional caseload'!$B$71)</f>
        <v>0</v>
      </c>
      <c r="Q104" s="98">
        <f>SUMIFS('caseload data'!S:S,'caseload data'!$D:$D,"SPO",'caseload data'!$C:$C,'divisional &amp; regional caseload'!$B$71)</f>
        <v>0</v>
      </c>
      <c r="R104" s="98">
        <f>SUMIFS('caseload data'!T:T,'caseload data'!$D:$D,"SPO",'caseload data'!$C:$C,'divisional &amp; regional caseload'!$B$71)</f>
        <v>0</v>
      </c>
      <c r="T104" s="102" t="s">
        <v>1174</v>
      </c>
      <c r="U104" s="98">
        <f>SUMIFS('caseload data'!E:E,'caseload data'!$D:$D,"SPO",'caseload data'!$C:$C,'divisional &amp; regional caseload'!$T$99)</f>
        <v>0</v>
      </c>
      <c r="V104" s="98">
        <f>SUMIFS('caseload data'!F:F,'caseload data'!$D:$D,"SPO",'caseload data'!$C:$C,'divisional &amp; regional caseload'!$T$99)</f>
        <v>0</v>
      </c>
      <c r="W104" s="98">
        <f>SUMIFS('caseload data'!G:G,'caseload data'!$D:$D,"SPO",'caseload data'!$C:$C,'divisional &amp; regional caseload'!$T$99)</f>
        <v>0</v>
      </c>
      <c r="X104" s="98">
        <f>SUMIFS('caseload data'!H:H,'caseload data'!$D:$D,"SPO",'caseload data'!$C:$C,'divisional &amp; regional caseload'!$T$99)</f>
        <v>0</v>
      </c>
      <c r="Y104" s="98">
        <f>SUMIFS('caseload data'!I:I,'caseload data'!$D:$D,"SPO",'caseload data'!$C:$C,'divisional &amp; regional caseload'!$T$99)</f>
        <v>0</v>
      </c>
      <c r="Z104" s="98">
        <f>SUMIFS('caseload data'!J:J,'caseload data'!$D:$D,"SPO",'caseload data'!$C:$C,'divisional &amp; regional caseload'!$T$99)</f>
        <v>0</v>
      </c>
      <c r="AA104" s="98">
        <f>SUMIFS('caseload data'!K:K,'caseload data'!$D:$D,"SPO",'caseload data'!$C:$C,'divisional &amp; regional caseload'!$T$99)</f>
        <v>0</v>
      </c>
      <c r="AB104" s="98">
        <f>SUMIFS('caseload data'!L:L,'caseload data'!$D:$D,"SPO",'caseload data'!$C:$C,'divisional &amp; regional caseload'!$T$99)</f>
        <v>0</v>
      </c>
      <c r="AC104" s="98">
        <f>SUMIFS('caseload data'!M:M,'caseload data'!$D:$D,"SPO",'caseload data'!$C:$C,'divisional &amp; regional caseload'!$T$99)</f>
        <v>0</v>
      </c>
      <c r="AD104" s="98">
        <f>SUMIFS('caseload data'!N:N,'caseload data'!$D:$D,"SPO",'caseload data'!$C:$C,'divisional &amp; regional caseload'!$T$99)</f>
        <v>0</v>
      </c>
      <c r="AE104" s="98">
        <f>SUMIFS('caseload data'!O:O,'caseload data'!$D:$D,"SPO",'caseload data'!$C:$C,'divisional &amp; regional caseload'!$T$99)</f>
        <v>0</v>
      </c>
      <c r="AF104" s="98">
        <f>SUMIFS('caseload data'!P:P,'caseload data'!$D:$D,"SPO",'caseload data'!$C:$C,'divisional &amp; regional caseload'!$T$99)</f>
        <v>0</v>
      </c>
      <c r="AG104" s="98">
        <f>SUMIFS('caseload data'!Q:Q,'caseload data'!$D:$D,"SPO",'caseload data'!$C:$C,'divisional &amp; regional caseload'!$T$99)</f>
        <v>0</v>
      </c>
      <c r="AH104" s="98">
        <f>SUMIFS('caseload data'!R:R,'caseload data'!$D:$D,"SPO",'caseload data'!$C:$C,'divisional &amp; regional caseload'!$T$99)</f>
        <v>0</v>
      </c>
      <c r="AI104" s="98">
        <f>SUMIFS('caseload data'!S:S,'caseload data'!$D:$D,"SPO",'caseload data'!$C:$C,'divisional &amp; regional caseload'!$T$99)</f>
        <v>0</v>
      </c>
      <c r="AJ104" s="98">
        <f>SUMIFS('caseload data'!T:T,'caseload data'!$D:$D,"SPO",'caseload data'!$C:$C,'divisional &amp; regional caseload'!$T$99)</f>
        <v>0</v>
      </c>
    </row>
  </sheetData>
  <mergeCells count="59">
    <mergeCell ref="A2:AO2"/>
    <mergeCell ref="C8:O8"/>
    <mergeCell ref="P8:R8"/>
    <mergeCell ref="C15:O15"/>
    <mergeCell ref="P15:R15"/>
    <mergeCell ref="AH8:AJ8"/>
    <mergeCell ref="AH15:AJ15"/>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U85:AG85"/>
    <mergeCell ref="AH50:AJ50"/>
    <mergeCell ref="AH99:AJ99"/>
    <mergeCell ref="U92:AG92"/>
    <mergeCell ref="U99:AG99"/>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topLeftCell="B1" zoomScale="85" zoomScaleNormal="85" workbookViewId="0">
      <selection activeCell="B5" sqref="B5"/>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421" t="s">
        <v>1274</v>
      </c>
      <c r="B1" s="421"/>
      <c r="C1" s="421"/>
      <c r="D1" s="421"/>
      <c r="E1" s="421"/>
      <c r="F1" s="421"/>
      <c r="G1" s="421"/>
      <c r="H1" s="421"/>
      <c r="I1" s="421"/>
      <c r="J1" s="421"/>
      <c r="K1" s="421"/>
      <c r="L1" s="421"/>
      <c r="M1" s="421"/>
      <c r="N1" s="421"/>
      <c r="O1" s="421"/>
      <c r="P1" s="421"/>
      <c r="Q1" s="421"/>
      <c r="R1" s="421"/>
      <c r="S1" s="421"/>
      <c r="T1" s="421"/>
      <c r="U1" s="421"/>
      <c r="V1" s="421"/>
      <c r="W1" s="421"/>
      <c r="X1" s="421"/>
      <c r="Y1" s="421"/>
      <c r="Z1" s="421"/>
      <c r="AA1" s="421"/>
      <c r="AB1" s="421"/>
      <c r="AC1" s="421"/>
      <c r="AD1" s="421"/>
      <c r="AE1" s="421"/>
      <c r="AF1" s="421"/>
      <c r="AG1" s="421"/>
      <c r="AH1" s="421"/>
      <c r="AI1" s="421"/>
      <c r="AJ1" s="421"/>
      <c r="AK1" s="269"/>
      <c r="AL1" s="269"/>
      <c r="AM1" s="269"/>
      <c r="AN1" s="269"/>
      <c r="AO1" s="269"/>
      <c r="AP1" s="269"/>
      <c r="AQ1" s="269"/>
      <c r="AR1" s="269"/>
      <c r="AS1" s="269"/>
      <c r="AT1" s="269"/>
      <c r="AU1" s="269"/>
      <c r="AV1" s="269"/>
      <c r="AW1" s="269"/>
      <c r="AX1" s="269"/>
    </row>
    <row r="2" spans="1:50" ht="48" customHeight="1" x14ac:dyDescent="0.15">
      <c r="A2" s="374"/>
      <c r="B2" s="374"/>
      <c r="C2" s="374"/>
      <c r="D2" s="374"/>
      <c r="E2" s="374"/>
      <c r="F2" s="374"/>
      <c r="G2" s="374"/>
      <c r="H2" s="374"/>
      <c r="I2" s="374"/>
      <c r="J2" s="374"/>
      <c r="K2" s="374"/>
      <c r="L2" s="374"/>
      <c r="M2" s="374"/>
      <c r="N2" s="374"/>
      <c r="O2" s="374"/>
      <c r="P2" s="374"/>
      <c r="Q2" s="374"/>
      <c r="R2" s="374"/>
      <c r="S2" s="374"/>
      <c r="T2" s="374"/>
      <c r="U2" s="374"/>
      <c r="V2" s="374"/>
      <c r="W2" s="374"/>
      <c r="X2" s="374"/>
      <c r="Y2" s="374"/>
      <c r="Z2" s="374"/>
      <c r="AA2" s="374"/>
      <c r="AB2" s="374"/>
      <c r="AC2" s="374"/>
      <c r="AD2" s="374"/>
      <c r="AE2" s="374"/>
      <c r="AF2" s="374"/>
      <c r="AG2" s="374"/>
      <c r="AH2" s="374"/>
      <c r="AI2" s="374"/>
      <c r="AJ2" s="374"/>
      <c r="AK2" s="274"/>
      <c r="AL2" s="274"/>
      <c r="AM2" s="274"/>
      <c r="AN2" s="274"/>
      <c r="AO2" s="274"/>
      <c r="AP2" s="274"/>
      <c r="AQ2" s="274"/>
      <c r="AR2" s="274"/>
      <c r="AS2" s="274"/>
      <c r="AT2" s="274"/>
      <c r="AU2" s="274"/>
      <c r="AV2" s="274"/>
      <c r="AW2" s="274"/>
      <c r="AX2" s="274"/>
    </row>
    <row r="3" spans="1:50" s="51" customFormat="1" ht="16" x14ac:dyDescent="0.15">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row>
    <row r="4" spans="1:50" ht="30" x14ac:dyDescent="0.15">
      <c r="B4" s="38" t="s">
        <v>1103</v>
      </c>
    </row>
    <row r="5" spans="1:50" ht="27" customHeight="1" x14ac:dyDescent="0.15">
      <c r="B5" s="251" t="s">
        <v>32</v>
      </c>
      <c r="P5" s="42"/>
    </row>
    <row r="6" spans="1:50" x14ac:dyDescent="0.15">
      <c r="B6" s="49"/>
    </row>
    <row r="8" spans="1:50" ht="28.5" customHeight="1" x14ac:dyDescent="0.15">
      <c r="B8" s="302" t="str">
        <f>HLOOKUP($B$5,Region_Table,2,0)</f>
        <v>Cardiff and Vale - N03</v>
      </c>
      <c r="C8" s="475" t="s">
        <v>1275</v>
      </c>
      <c r="D8" s="476"/>
      <c r="E8" s="476"/>
      <c r="F8" s="476"/>
      <c r="G8" s="476"/>
      <c r="H8" s="476"/>
      <c r="I8" s="476"/>
      <c r="J8" s="476"/>
      <c r="K8" s="476"/>
      <c r="L8" s="476"/>
      <c r="M8" s="477"/>
      <c r="N8" s="477"/>
      <c r="O8" s="478"/>
      <c r="P8" s="462">
        <f>SUMIF('caseload data'!C:C,'divisional &amp; regional caseload%'!B8,'caseload data'!V:V)</f>
        <v>0</v>
      </c>
      <c r="Q8" s="479"/>
      <c r="R8" s="480"/>
      <c r="S8" s="68"/>
      <c r="T8" s="302" t="str">
        <f>HLOOKUP($B$5,Region_Table,3,0)</f>
        <v>Cwm Taf Morgannwg</v>
      </c>
      <c r="U8" s="475" t="s">
        <v>1275</v>
      </c>
      <c r="V8" s="476"/>
      <c r="W8" s="476"/>
      <c r="X8" s="476"/>
      <c r="Y8" s="476"/>
      <c r="Z8" s="476"/>
      <c r="AA8" s="476"/>
      <c r="AB8" s="476"/>
      <c r="AC8" s="476"/>
      <c r="AD8" s="476"/>
      <c r="AE8" s="477"/>
      <c r="AF8" s="477"/>
      <c r="AG8" s="478"/>
      <c r="AH8" s="462">
        <f>SUMIF('caseload data'!C:C,'divisional &amp; regional caseload%'!T8,'caseload data'!V:V)</f>
        <v>0</v>
      </c>
      <c r="AI8" s="479"/>
      <c r="AJ8" s="480"/>
    </row>
    <row r="9" spans="1:50" x14ac:dyDescent="0.15">
      <c r="B9" s="99" t="s">
        <v>1171</v>
      </c>
      <c r="C9" s="40" t="s">
        <v>1022</v>
      </c>
      <c r="D9" s="40" t="s">
        <v>1023</v>
      </c>
      <c r="E9" s="40" t="s">
        <v>1024</v>
      </c>
      <c r="F9" s="40" t="s">
        <v>1025</v>
      </c>
      <c r="G9" s="40" t="s">
        <v>1026</v>
      </c>
      <c r="H9" s="40" t="s">
        <v>1027</v>
      </c>
      <c r="I9" s="40" t="s">
        <v>1028</v>
      </c>
      <c r="J9" s="40" t="s">
        <v>1029</v>
      </c>
      <c r="K9" s="40" t="s">
        <v>1030</v>
      </c>
      <c r="L9" s="40" t="s">
        <v>1031</v>
      </c>
      <c r="M9" s="40" t="s">
        <v>1032</v>
      </c>
      <c r="N9" s="40" t="s">
        <v>1033</v>
      </c>
      <c r="O9" s="40" t="s">
        <v>1034</v>
      </c>
      <c r="P9" s="40" t="s">
        <v>1035</v>
      </c>
      <c r="Q9" s="40" t="s">
        <v>1036</v>
      </c>
      <c r="R9" s="40" t="s">
        <v>1037</v>
      </c>
      <c r="S9" s="68"/>
      <c r="T9" s="99" t="s">
        <v>1171</v>
      </c>
      <c r="U9" s="40" t="s">
        <v>1022</v>
      </c>
      <c r="V9" s="40" t="s">
        <v>1023</v>
      </c>
      <c r="W9" s="40" t="s">
        <v>1024</v>
      </c>
      <c r="X9" s="40" t="s">
        <v>1025</v>
      </c>
      <c r="Y9" s="40" t="s">
        <v>1026</v>
      </c>
      <c r="Z9" s="40" t="s">
        <v>1027</v>
      </c>
      <c r="AA9" s="40" t="s">
        <v>1028</v>
      </c>
      <c r="AB9" s="40" t="s">
        <v>1029</v>
      </c>
      <c r="AC9" s="40" t="s">
        <v>1030</v>
      </c>
      <c r="AD9" s="40" t="s">
        <v>1031</v>
      </c>
      <c r="AE9" s="40" t="s">
        <v>1032</v>
      </c>
      <c r="AF9" s="40" t="s">
        <v>1033</v>
      </c>
      <c r="AG9" s="40" t="s">
        <v>1034</v>
      </c>
      <c r="AH9" s="40" t="s">
        <v>1035</v>
      </c>
      <c r="AI9" s="40" t="s">
        <v>1036</v>
      </c>
      <c r="AJ9" s="40" t="s">
        <v>1037</v>
      </c>
    </row>
    <row r="10" spans="1:50" x14ac:dyDescent="0.15">
      <c r="B10" s="100" t="s">
        <v>1166</v>
      </c>
      <c r="C10" s="175" t="e">
        <f>SUMIFS('caseload data'!E:E,'caseload data'!$C:$C,'divisional &amp; regional caseload%'!$B$8,'caseload data'!$D:$D,"PO")/SUMIF('caseload data'!$C:$C,'divisional &amp; regional caseload%'!$B$8,'caseload data'!E:E)</f>
        <v>#DIV/0!</v>
      </c>
      <c r="D10" s="175" t="e">
        <f>SUMIFS('caseload data'!F:F,'caseload data'!$C:$C,'divisional &amp; regional caseload%'!$B$8,'caseload data'!$D:$D,"PO")/SUMIF('caseload data'!$C:$C,'divisional &amp; regional caseload%'!$B$8,'caseload data'!F:F)</f>
        <v>#DIV/0!</v>
      </c>
      <c r="E10" s="175" t="e">
        <f>SUMIFS('caseload data'!G:G,'caseload data'!$C:$C,'divisional &amp; regional caseload%'!$B$8,'caseload data'!$D:$D,"PO")/SUMIF('caseload data'!$C:$C,'divisional &amp; regional caseload%'!$B$8,'caseload data'!G:G)</f>
        <v>#DIV/0!</v>
      </c>
      <c r="F10" s="175" t="e">
        <f>SUMIFS('caseload data'!H:H,'caseload data'!$C:$C,'divisional &amp; regional caseload%'!$B$8,'caseload data'!$D:$D,"PO")/SUMIF('caseload data'!$C:$C,'divisional &amp; regional caseload%'!$B$8,'caseload data'!H:H)</f>
        <v>#DIV/0!</v>
      </c>
      <c r="G10" s="175" t="e">
        <f>SUMIFS('caseload data'!I:I,'caseload data'!$C:$C,'divisional &amp; regional caseload%'!$B$8,'caseload data'!$D:$D,"PO")/SUMIF('caseload data'!$C:$C,'divisional &amp; regional caseload%'!$B$8,'caseload data'!I:I)</f>
        <v>#DIV/0!</v>
      </c>
      <c r="H10" s="175" t="e">
        <f>SUMIFS('caseload data'!J:J,'caseload data'!$C:$C,'divisional &amp; regional caseload%'!$B$8,'caseload data'!$D:$D,"PO")/SUMIF('caseload data'!$C:$C,'divisional &amp; regional caseload%'!$B$8,'caseload data'!J:J)</f>
        <v>#DIV/0!</v>
      </c>
      <c r="I10" s="175" t="e">
        <f>SUMIFS('caseload data'!K:K,'caseload data'!$C:$C,'divisional &amp; regional caseload%'!$B$8,'caseload data'!$D:$D,"PO")/SUMIF('caseload data'!$C:$C,'divisional &amp; regional caseload%'!$B$8,'caseload data'!K:K)</f>
        <v>#DIV/0!</v>
      </c>
      <c r="J10" s="175" t="e">
        <f>SUMIFS('caseload data'!L:L,'caseload data'!$C:$C,'divisional &amp; regional caseload%'!$B$8,'caseload data'!$D:$D,"PO")/SUMIF('caseload data'!$C:$C,'divisional &amp; regional caseload%'!$B$8,'caseload data'!L:L)</f>
        <v>#DIV/0!</v>
      </c>
      <c r="K10" s="175" t="e">
        <f>SUMIFS('caseload data'!M:M,'caseload data'!$C:$C,'divisional &amp; regional caseload%'!$B$8,'caseload data'!$D:$D,"PO")/SUMIF('caseload data'!$C:$C,'divisional &amp; regional caseload%'!$B$8,'caseload data'!M:M)</f>
        <v>#DIV/0!</v>
      </c>
      <c r="L10" s="175" t="e">
        <f>SUMIFS('caseload data'!N:N,'caseload data'!$C:$C,'divisional &amp; regional caseload%'!$B$8,'caseload data'!$D:$D,"PO")/SUMIF('caseload data'!$C:$C,'divisional &amp; regional caseload%'!$B$8,'caseload data'!N:N)</f>
        <v>#DIV/0!</v>
      </c>
      <c r="M10" s="175" t="e">
        <f>SUMIFS('caseload data'!O:O,'caseload data'!$C:$C,'divisional &amp; regional caseload%'!$B$8,'caseload data'!$D:$D,"PO")/SUMIF('caseload data'!$C:$C,'divisional &amp; regional caseload%'!$B$8,'caseload data'!O:O)</f>
        <v>#DIV/0!</v>
      </c>
      <c r="N10" s="175" t="e">
        <f>SUMIFS('caseload data'!P:P,'caseload data'!$C:$C,'divisional &amp; regional caseload%'!$B$8,'caseload data'!$D:$D,"PO")/SUMIF('caseload data'!$C:$C,'divisional &amp; regional caseload%'!$B$8,'caseload data'!P:P)</f>
        <v>#DIV/0!</v>
      </c>
      <c r="O10" s="175" t="e">
        <f>SUMIFS('caseload data'!Q:Q,'caseload data'!$C:$C,'divisional &amp; regional caseload%'!$B$8,'caseload data'!$D:$D,"PO")/SUMIF('caseload data'!$C:$C,'divisional &amp; regional caseload%'!$B$8,'caseload data'!Q:Q)</f>
        <v>#DIV/0!</v>
      </c>
      <c r="P10" s="175" t="e">
        <f>SUMIFS('caseload data'!R:R,'caseload data'!$C:$C,'divisional &amp; regional caseload%'!$B$8,'caseload data'!$D:$D,"PO")/SUMIF('caseload data'!$C:$C,'divisional &amp; regional caseload%'!$B$8,'caseload data'!R:R)</f>
        <v>#DIV/0!</v>
      </c>
      <c r="Q10" s="175" t="e">
        <f>SUMIFS('caseload data'!S:S,'caseload data'!$C:$C,'divisional &amp; regional caseload%'!$B$8,'caseload data'!$D:$D,"PO")/SUMIF('caseload data'!$C:$C,'divisional &amp; regional caseload%'!$B$8,'caseload data'!S:S)</f>
        <v>#DIV/0!</v>
      </c>
      <c r="R10" s="175" t="e">
        <f>SUMIFS('caseload data'!T:T,'caseload data'!$C:$C,'divisional &amp; regional caseload%'!$B$8,'caseload data'!$D:$D,"PO")/SUMIF('caseload data'!$C:$C,'divisional &amp; regional caseload%'!$B$8,'caseload data'!T:T)</f>
        <v>#DIV/0!</v>
      </c>
      <c r="S10" s="68"/>
      <c r="T10" s="100" t="s">
        <v>1166</v>
      </c>
      <c r="U10" s="175" t="e">
        <f>SUMIFS('caseload data'!E:E,'caseload data'!$C:$C,'divisional &amp; regional caseload%'!$T$8,'caseload data'!$D:$D,"PO")/SUMIF('caseload data'!$C:$C,'divisional &amp; regional caseload%'!$T$8,'caseload data'!E:E)</f>
        <v>#DIV/0!</v>
      </c>
      <c r="V10" s="175" t="e">
        <f>SUMIFS('caseload data'!F:F,'caseload data'!$C:$C,'divisional &amp; regional caseload%'!$T$8,'caseload data'!$D:$D,"PO")/SUMIF('caseload data'!$C:$C,'divisional &amp; regional caseload%'!$T$8,'caseload data'!F:F)</f>
        <v>#DIV/0!</v>
      </c>
      <c r="W10" s="175" t="e">
        <f>SUMIFS('caseload data'!G:G,'caseload data'!$C:$C,'divisional &amp; regional caseload%'!$T$8,'caseload data'!$D:$D,"PO")/SUMIF('caseload data'!$C:$C,'divisional &amp; regional caseload%'!$T$8,'caseload data'!G:G)</f>
        <v>#DIV/0!</v>
      </c>
      <c r="X10" s="175" t="e">
        <f>SUMIFS('caseload data'!H:H,'caseload data'!$C:$C,'divisional &amp; regional caseload%'!$T$8,'caseload data'!$D:$D,"PO")/SUMIF('caseload data'!$C:$C,'divisional &amp; regional caseload%'!$T$8,'caseload data'!H:H)</f>
        <v>#DIV/0!</v>
      </c>
      <c r="Y10" s="175" t="e">
        <f>SUMIFS('caseload data'!I:I,'caseload data'!$C:$C,'divisional &amp; regional caseload%'!$T$8,'caseload data'!$D:$D,"PO")/SUMIF('caseload data'!$C:$C,'divisional &amp; regional caseload%'!$T$8,'caseload data'!I:I)</f>
        <v>#DIV/0!</v>
      </c>
      <c r="Z10" s="175" t="e">
        <f>SUMIFS('caseload data'!J:J,'caseload data'!$C:$C,'divisional &amp; regional caseload%'!$T$8,'caseload data'!$D:$D,"PO")/SUMIF('caseload data'!$C:$C,'divisional &amp; regional caseload%'!$T$8,'caseload data'!J:J)</f>
        <v>#DIV/0!</v>
      </c>
      <c r="AA10" s="175" t="e">
        <f>SUMIFS('caseload data'!K:K,'caseload data'!$C:$C,'divisional &amp; regional caseload%'!$T$8,'caseload data'!$D:$D,"PO")/SUMIF('caseload data'!$C:$C,'divisional &amp; regional caseload%'!$T$8,'caseload data'!K:K)</f>
        <v>#DIV/0!</v>
      </c>
      <c r="AB10" s="175" t="e">
        <f>SUMIFS('caseload data'!L:L,'caseload data'!$C:$C,'divisional &amp; regional caseload%'!$T$8,'caseload data'!$D:$D,"PO")/SUMIF('caseload data'!$C:$C,'divisional &amp; regional caseload%'!$T$8,'caseload data'!L:L)</f>
        <v>#DIV/0!</v>
      </c>
      <c r="AC10" s="175" t="e">
        <f>SUMIFS('caseload data'!M:M,'caseload data'!$C:$C,'divisional &amp; regional caseload%'!$T$8,'caseload data'!$D:$D,"PO")/SUMIF('caseload data'!$C:$C,'divisional &amp; regional caseload%'!$T$8,'caseload data'!M:M)</f>
        <v>#DIV/0!</v>
      </c>
      <c r="AD10" s="175" t="e">
        <f>SUMIFS('caseload data'!N:N,'caseload data'!$C:$C,'divisional &amp; regional caseload%'!$T$8,'caseload data'!$D:$D,"PO")/SUMIF('caseload data'!$C:$C,'divisional &amp; regional caseload%'!$T$8,'caseload data'!N:N)</f>
        <v>#DIV/0!</v>
      </c>
      <c r="AE10" s="175" t="e">
        <f>SUMIFS('caseload data'!O:O,'caseload data'!$C:$C,'divisional &amp; regional caseload%'!$T$8,'caseload data'!$D:$D,"PO")/SUMIF('caseload data'!$C:$C,'divisional &amp; regional caseload%'!$T$8,'caseload data'!O:O)</f>
        <v>#DIV/0!</v>
      </c>
      <c r="AF10" s="175" t="e">
        <f>SUMIFS('caseload data'!P:P,'caseload data'!$C:$C,'divisional &amp; regional caseload%'!$T$8,'caseload data'!$D:$D,"PO")/SUMIF('caseload data'!$C:$C,'divisional &amp; regional caseload%'!$T$8,'caseload data'!P:P)</f>
        <v>#DIV/0!</v>
      </c>
      <c r="AG10" s="175" t="e">
        <f>SUMIFS('caseload data'!Q:Q,'caseload data'!$C:$C,'divisional &amp; regional caseload%'!$T$8,'caseload data'!$D:$D,"PO")/SUMIF('caseload data'!$C:$C,'divisional &amp; regional caseload%'!$T$8,'caseload data'!Q:Q)</f>
        <v>#DIV/0!</v>
      </c>
      <c r="AH10" s="175" t="e">
        <f>SUMIFS('caseload data'!R:R,'caseload data'!$C:$C,'divisional &amp; regional caseload%'!$T$8,'caseload data'!$D:$D,"PO")/SUMIF('caseload data'!$C:$C,'divisional &amp; regional caseload%'!$T$8,'caseload data'!R:R)</f>
        <v>#DIV/0!</v>
      </c>
      <c r="AI10" s="175" t="e">
        <f>SUMIFS('caseload data'!S:S,'caseload data'!$C:$C,'divisional &amp; regional caseload%'!$T$8,'caseload data'!$D:$D,"PO")/SUMIF('caseload data'!$C:$C,'divisional &amp; regional caseload%'!$T$8,'caseload data'!S:S)</f>
        <v>#DIV/0!</v>
      </c>
      <c r="AJ10" s="175" t="e">
        <f>SUMIFS('caseload data'!T:T,'caseload data'!$C:$C,'divisional &amp; regional caseload%'!$T$8,'caseload data'!$D:$D,"PO")/SUMIF('caseload data'!$C:$C,'divisional &amp; regional caseload%'!$T$8,'caseload data'!T:T)</f>
        <v>#DIV/0!</v>
      </c>
    </row>
    <row r="11" spans="1:50" x14ac:dyDescent="0.15">
      <c r="B11" s="101" t="s">
        <v>1172</v>
      </c>
      <c r="C11" s="175" t="e">
        <f>SUMIFS('caseload data'!E:E,'caseload data'!$C:$C,'divisional &amp; regional caseload%'!$B$8,'caseload data'!$D:$D,"PSO")/SUMIF('caseload data'!$C:$C,'divisional &amp; regional caseload%'!$B$8,'caseload data'!E:E)</f>
        <v>#DIV/0!</v>
      </c>
      <c r="D11" s="175" t="e">
        <f>SUMIFS('caseload data'!F:F,'caseload data'!$C:$C,'divisional &amp; regional caseload%'!$B$8,'caseload data'!$D:$D,"PSO")/SUMIF('caseload data'!$C:$C,'divisional &amp; regional caseload%'!$B$8,'caseload data'!F:F)</f>
        <v>#DIV/0!</v>
      </c>
      <c r="E11" s="175" t="e">
        <f>SUMIFS('caseload data'!G:G,'caseload data'!$C:$C,'divisional &amp; regional caseload%'!$B$8,'caseload data'!$D:$D,"PSO")/SUMIF('caseload data'!$C:$C,'divisional &amp; regional caseload%'!$B$8,'caseload data'!G:G)</f>
        <v>#DIV/0!</v>
      </c>
      <c r="F11" s="175" t="e">
        <f>SUMIFS('caseload data'!H:H,'caseload data'!$C:$C,'divisional &amp; regional caseload%'!$B$8,'caseload data'!$D:$D,"PSO")/SUMIF('caseload data'!$C:$C,'divisional &amp; regional caseload%'!$B$8,'caseload data'!H:H)</f>
        <v>#DIV/0!</v>
      </c>
      <c r="G11" s="175" t="e">
        <f>SUMIFS('caseload data'!I:I,'caseload data'!$C:$C,'divisional &amp; regional caseload%'!$B$8,'caseload data'!$D:$D,"PSO")/SUMIF('caseload data'!$C:$C,'divisional &amp; regional caseload%'!$B$8,'caseload data'!I:I)</f>
        <v>#DIV/0!</v>
      </c>
      <c r="H11" s="175" t="e">
        <f>SUMIFS('caseload data'!J:J,'caseload data'!$C:$C,'divisional &amp; regional caseload%'!$B$8,'caseload data'!$D:$D,"PSO")/SUMIF('caseload data'!$C:$C,'divisional &amp; regional caseload%'!$B$8,'caseload data'!J:J)</f>
        <v>#DIV/0!</v>
      </c>
      <c r="I11" s="175" t="e">
        <f>SUMIFS('caseload data'!K:K,'caseload data'!$C:$C,'divisional &amp; regional caseload%'!$B$8,'caseload data'!$D:$D,"PSO")/SUMIF('caseload data'!$C:$C,'divisional &amp; regional caseload%'!$B$8,'caseload data'!K:K)</f>
        <v>#DIV/0!</v>
      </c>
      <c r="J11" s="175" t="e">
        <f>SUMIFS('caseload data'!L:L,'caseload data'!$C:$C,'divisional &amp; regional caseload%'!$B$8,'caseload data'!$D:$D,"PSO")/SUMIF('caseload data'!$C:$C,'divisional &amp; regional caseload%'!$B$8,'caseload data'!L:L)</f>
        <v>#DIV/0!</v>
      </c>
      <c r="K11" s="175" t="e">
        <f>SUMIFS('caseload data'!M:M,'caseload data'!$C:$C,'divisional &amp; regional caseload%'!$B$8,'caseload data'!$D:$D,"PSO")/SUMIF('caseload data'!$C:$C,'divisional &amp; regional caseload%'!$B$8,'caseload data'!M:M)</f>
        <v>#DIV/0!</v>
      </c>
      <c r="L11" s="175" t="e">
        <f>SUMIFS('caseload data'!N:N,'caseload data'!$C:$C,'divisional &amp; regional caseload%'!$B$8,'caseload data'!$D:$D,"PSO")/SUMIF('caseload data'!$C:$C,'divisional &amp; regional caseload%'!$B$8,'caseload data'!N:N)</f>
        <v>#DIV/0!</v>
      </c>
      <c r="M11" s="175" t="e">
        <f>SUMIFS('caseload data'!O:O,'caseload data'!$C:$C,'divisional &amp; regional caseload%'!$B$8,'caseload data'!$D:$D,"PSO")/SUMIF('caseload data'!$C:$C,'divisional &amp; regional caseload%'!$B$8,'caseload data'!O:O)</f>
        <v>#DIV/0!</v>
      </c>
      <c r="N11" s="175" t="e">
        <f>SUMIFS('caseload data'!P:P,'caseload data'!$C:$C,'divisional &amp; regional caseload%'!$B$8,'caseload data'!$D:$D,"PSO")/SUMIF('caseload data'!$C:$C,'divisional &amp; regional caseload%'!$B$8,'caseload data'!P:P)</f>
        <v>#DIV/0!</v>
      </c>
      <c r="O11" s="175" t="e">
        <f>SUMIFS('caseload data'!Q:Q,'caseload data'!$C:$C,'divisional &amp; regional caseload%'!$B$8,'caseload data'!$D:$D,"PSO")/SUMIF('caseload data'!$C:$C,'divisional &amp; regional caseload%'!$B$8,'caseload data'!Q:Q)</f>
        <v>#DIV/0!</v>
      </c>
      <c r="P11" s="175" t="e">
        <f>SUMIFS('caseload data'!R:R,'caseload data'!$C:$C,'divisional &amp; regional caseload%'!$B$8,'caseload data'!$D:$D,"PSO")/SUMIF('caseload data'!$C:$C,'divisional &amp; regional caseload%'!$B$8,'caseload data'!R:R)</f>
        <v>#DIV/0!</v>
      </c>
      <c r="Q11" s="175" t="e">
        <f>SUMIFS('caseload data'!S:S,'caseload data'!$C:$C,'divisional &amp; regional caseload%'!$B$8,'caseload data'!$D:$D,"PSO")/SUMIF('caseload data'!$C:$C,'divisional &amp; regional caseload%'!$B$8,'caseload data'!S:S)</f>
        <v>#DIV/0!</v>
      </c>
      <c r="R11" s="175" t="e">
        <f>SUMIFS('caseload data'!T:T,'caseload data'!$C:$C,'divisional &amp; regional caseload%'!$B$8,'caseload data'!$D:$D,"PSO")/SUMIF('caseload data'!$C:$C,'divisional &amp; regional caseload%'!$B$8,'caseload data'!T:T)</f>
        <v>#DIV/0!</v>
      </c>
      <c r="S11" s="68"/>
      <c r="T11" s="101" t="s">
        <v>1172</v>
      </c>
      <c r="U11" s="175" t="e">
        <f>SUMIFS('caseload data'!E:E,'caseload data'!$C:$C,'divisional &amp; regional caseload%'!$T$8,'caseload data'!$D:$D,"PSO")/SUMIF('caseload data'!$C:$C,'divisional &amp; regional caseload%'!$T$8,'caseload data'!E:E)</f>
        <v>#DIV/0!</v>
      </c>
      <c r="V11" s="175" t="e">
        <f>SUMIFS('caseload data'!F:F,'caseload data'!$C:$C,'divisional &amp; regional caseload%'!$T$8,'caseload data'!$D:$D,"PSO")/SUMIF('caseload data'!$C:$C,'divisional &amp; regional caseload%'!$T$8,'caseload data'!F:F)</f>
        <v>#DIV/0!</v>
      </c>
      <c r="W11" s="175" t="e">
        <f>SUMIFS('caseload data'!G:G,'caseload data'!$C:$C,'divisional &amp; regional caseload%'!$T$8,'caseload data'!$D:$D,"PSO")/SUMIF('caseload data'!$C:$C,'divisional &amp; regional caseload%'!$T$8,'caseload data'!G:G)</f>
        <v>#DIV/0!</v>
      </c>
      <c r="X11" s="175" t="e">
        <f>SUMIFS('caseload data'!H:H,'caseload data'!$C:$C,'divisional &amp; regional caseload%'!$T$8,'caseload data'!$D:$D,"PSO")/SUMIF('caseload data'!$C:$C,'divisional &amp; regional caseload%'!$T$8,'caseload data'!H:H)</f>
        <v>#DIV/0!</v>
      </c>
      <c r="Y11" s="175" t="e">
        <f>SUMIFS('caseload data'!I:I,'caseload data'!$C:$C,'divisional &amp; regional caseload%'!$T$8,'caseload data'!$D:$D,"PSO")/SUMIF('caseload data'!$C:$C,'divisional &amp; regional caseload%'!$T$8,'caseload data'!I:I)</f>
        <v>#DIV/0!</v>
      </c>
      <c r="Z11" s="175" t="e">
        <f>SUMIFS('caseload data'!J:J,'caseload data'!$C:$C,'divisional &amp; regional caseload%'!$T$8,'caseload data'!$D:$D,"PSO")/SUMIF('caseload data'!$C:$C,'divisional &amp; regional caseload%'!$T$8,'caseload data'!J:J)</f>
        <v>#DIV/0!</v>
      </c>
      <c r="AA11" s="175" t="e">
        <f>SUMIFS('caseload data'!K:K,'caseload data'!$C:$C,'divisional &amp; regional caseload%'!$T$8,'caseload data'!$D:$D,"PSO")/SUMIF('caseload data'!$C:$C,'divisional &amp; regional caseload%'!$T$8,'caseload data'!K:K)</f>
        <v>#DIV/0!</v>
      </c>
      <c r="AB11" s="175" t="e">
        <f>SUMIFS('caseload data'!L:L,'caseload data'!$C:$C,'divisional &amp; regional caseload%'!$T$8,'caseload data'!$D:$D,"PSO")/SUMIF('caseload data'!$C:$C,'divisional &amp; regional caseload%'!$T$8,'caseload data'!L:L)</f>
        <v>#DIV/0!</v>
      </c>
      <c r="AC11" s="175" t="e">
        <f>SUMIFS('caseload data'!M:M,'caseload data'!$C:$C,'divisional &amp; regional caseload%'!$T$8,'caseload data'!$D:$D,"PSO")/SUMIF('caseload data'!$C:$C,'divisional &amp; regional caseload%'!$T$8,'caseload data'!M:M)</f>
        <v>#DIV/0!</v>
      </c>
      <c r="AD11" s="175" t="e">
        <f>SUMIFS('caseload data'!N:N,'caseload data'!$C:$C,'divisional &amp; regional caseload%'!$T$8,'caseload data'!$D:$D,"PSO")/SUMIF('caseload data'!$C:$C,'divisional &amp; regional caseload%'!$T$8,'caseload data'!N:N)</f>
        <v>#DIV/0!</v>
      </c>
      <c r="AE11" s="175" t="e">
        <f>SUMIFS('caseload data'!O:O,'caseload data'!$C:$C,'divisional &amp; regional caseload%'!$T$8,'caseload data'!$D:$D,"PSO")/SUMIF('caseload data'!$C:$C,'divisional &amp; regional caseload%'!$T$8,'caseload data'!O:O)</f>
        <v>#DIV/0!</v>
      </c>
      <c r="AF11" s="175" t="e">
        <f>SUMIFS('caseload data'!P:P,'caseload data'!$C:$C,'divisional &amp; regional caseload%'!$T$8,'caseload data'!$D:$D,"PSO")/SUMIF('caseload data'!$C:$C,'divisional &amp; regional caseload%'!$T$8,'caseload data'!P:P)</f>
        <v>#DIV/0!</v>
      </c>
      <c r="AG11" s="175" t="e">
        <f>SUMIFS('caseload data'!Q:Q,'caseload data'!$C:$C,'divisional &amp; regional caseload%'!$T$8,'caseload data'!$D:$D,"PSO")/SUMIF('caseload data'!$C:$C,'divisional &amp; regional caseload%'!$T$8,'caseload data'!Q:Q)</f>
        <v>#DIV/0!</v>
      </c>
      <c r="AH11" s="175" t="e">
        <f>SUMIFS('caseload data'!R:R,'caseload data'!$C:$C,'divisional &amp; regional caseload%'!$T$8,'caseload data'!$D:$D,"PSO")/SUMIF('caseload data'!$C:$C,'divisional &amp; regional caseload%'!$T$8,'caseload data'!R:R)</f>
        <v>#DIV/0!</v>
      </c>
      <c r="AI11" s="175" t="e">
        <f>SUMIFS('caseload data'!S:S,'caseload data'!$C:$C,'divisional &amp; regional caseload%'!$T$8,'caseload data'!$D:$D,"PSO")/SUMIF('caseload data'!$C:$C,'divisional &amp; regional caseload%'!$T$8,'caseload data'!S:S)</f>
        <v>#DIV/0!</v>
      </c>
      <c r="AJ11" s="175" t="e">
        <f>SUMIFS('caseload data'!T:T,'caseload data'!$C:$C,'divisional &amp; regional caseload%'!$T$8,'caseload data'!$D:$D,"PSO")/SUMIF('caseload data'!$C:$C,'divisional &amp; regional caseload%'!$T$8,'caseload data'!T:T)</f>
        <v>#DIV/0!</v>
      </c>
    </row>
    <row r="12" spans="1:50" x14ac:dyDescent="0.15">
      <c r="B12" s="101" t="s">
        <v>1173</v>
      </c>
      <c r="C12" s="175" t="e">
        <f>SUMIFS('caseload data'!E:E,'caseload data'!$C:$C,'divisional &amp; regional caseload%'!$B$8,'caseload data'!$D:$D,"TPO")/SUMIF('caseload data'!$C:$C,'divisional &amp; regional caseload%'!$B$8,'caseload data'!E:E)</f>
        <v>#DIV/0!</v>
      </c>
      <c r="D12" s="175" t="e">
        <f>SUMIFS('caseload data'!F:F,'caseload data'!$C:$C,'divisional &amp; regional caseload%'!$B$8,'caseload data'!$D:$D,"TPO")/SUMIF('caseload data'!$C:$C,'divisional &amp; regional caseload%'!$B$8,'caseload data'!F:F)</f>
        <v>#DIV/0!</v>
      </c>
      <c r="E12" s="175" t="e">
        <f>SUMIFS('caseload data'!G:G,'caseload data'!$C:$C,'divisional &amp; regional caseload%'!$B$8,'caseload data'!$D:$D,"TPO")/SUMIF('caseload data'!$C:$C,'divisional &amp; regional caseload%'!$B$8,'caseload data'!G:G)</f>
        <v>#DIV/0!</v>
      </c>
      <c r="F12" s="175" t="e">
        <f>SUMIFS('caseload data'!H:H,'caseload data'!$C:$C,'divisional &amp; regional caseload%'!$B$8,'caseload data'!$D:$D,"TPO")/SUMIF('caseload data'!$C:$C,'divisional &amp; regional caseload%'!$B$8,'caseload data'!H:H)</f>
        <v>#DIV/0!</v>
      </c>
      <c r="G12" s="175" t="e">
        <f>SUMIFS('caseload data'!I:I,'caseload data'!$C:$C,'divisional &amp; regional caseload%'!$B$8,'caseload data'!$D:$D,"TPO")/SUMIF('caseload data'!$C:$C,'divisional &amp; regional caseload%'!$B$8,'caseload data'!I:I)</f>
        <v>#DIV/0!</v>
      </c>
      <c r="H12" s="175" t="e">
        <f>SUMIFS('caseload data'!J:J,'caseload data'!$C:$C,'divisional &amp; regional caseload%'!$B$8,'caseload data'!$D:$D,"TPO")/SUMIF('caseload data'!$C:$C,'divisional &amp; regional caseload%'!$B$8,'caseload data'!J:J)</f>
        <v>#DIV/0!</v>
      </c>
      <c r="I12" s="175" t="e">
        <f>SUMIFS('caseload data'!K:K,'caseload data'!$C:$C,'divisional &amp; regional caseload%'!$B$8,'caseload data'!$D:$D,"TPO")/SUMIF('caseload data'!$C:$C,'divisional &amp; regional caseload%'!$B$8,'caseload data'!K:K)</f>
        <v>#DIV/0!</v>
      </c>
      <c r="J12" s="175" t="e">
        <f>SUMIFS('caseload data'!L:L,'caseload data'!$C:$C,'divisional &amp; regional caseload%'!$B$8,'caseload data'!$D:$D,"TPO")/SUMIF('caseload data'!$C:$C,'divisional &amp; regional caseload%'!$B$8,'caseload data'!L:L)</f>
        <v>#DIV/0!</v>
      </c>
      <c r="K12" s="175" t="e">
        <f>SUMIFS('caseload data'!M:M,'caseload data'!$C:$C,'divisional &amp; regional caseload%'!$B$8,'caseload data'!$D:$D,"TPO")/SUMIF('caseload data'!$C:$C,'divisional &amp; regional caseload%'!$B$8,'caseload data'!M:M)</f>
        <v>#DIV/0!</v>
      </c>
      <c r="L12" s="175" t="e">
        <f>SUMIFS('caseload data'!N:N,'caseload data'!$C:$C,'divisional &amp; regional caseload%'!$B$8,'caseload data'!$D:$D,"TPO")/SUMIF('caseload data'!$C:$C,'divisional &amp; regional caseload%'!$B$8,'caseload data'!N:N)</f>
        <v>#DIV/0!</v>
      </c>
      <c r="M12" s="175" t="e">
        <f>SUMIFS('caseload data'!O:O,'caseload data'!$C:$C,'divisional &amp; regional caseload%'!$B$8,'caseload data'!$D:$D,"TPO")/SUMIF('caseload data'!$C:$C,'divisional &amp; regional caseload%'!$B$8,'caseload data'!O:O)</f>
        <v>#DIV/0!</v>
      </c>
      <c r="N12" s="175" t="e">
        <f>SUMIFS('caseload data'!P:P,'caseload data'!$C:$C,'divisional &amp; regional caseload%'!$B$8,'caseload data'!$D:$D,"TPO")/SUMIF('caseload data'!$C:$C,'divisional &amp; regional caseload%'!$B$8,'caseload data'!P:P)</f>
        <v>#DIV/0!</v>
      </c>
      <c r="O12" s="175" t="e">
        <f>SUMIFS('caseload data'!Q:Q,'caseload data'!$C:$C,'divisional &amp; regional caseload%'!$B$8,'caseload data'!$D:$D,"TPO")/SUMIF('caseload data'!$C:$C,'divisional &amp; regional caseload%'!$B$8,'caseload data'!Q:Q)</f>
        <v>#DIV/0!</v>
      </c>
      <c r="P12" s="175" t="e">
        <f>SUMIFS('caseload data'!R:R,'caseload data'!$C:$C,'divisional &amp; regional caseload%'!$B$8,'caseload data'!$D:$D,"TPO")/SUMIF('caseload data'!$C:$C,'divisional &amp; regional caseload%'!$B$8,'caseload data'!R:R)</f>
        <v>#DIV/0!</v>
      </c>
      <c r="Q12" s="175" t="e">
        <f>SUMIFS('caseload data'!S:S,'caseload data'!$C:$C,'divisional &amp; regional caseload%'!$B$8,'caseload data'!$D:$D,"TPO")/SUMIF('caseload data'!$C:$C,'divisional &amp; regional caseload%'!$B$8,'caseload data'!S:S)</f>
        <v>#DIV/0!</v>
      </c>
      <c r="R12" s="175" t="e">
        <f>SUMIFS('caseload data'!T:T,'caseload data'!$C:$C,'divisional &amp; regional caseload%'!$B$8,'caseload data'!$D:$D,"TPO")/SUMIF('caseload data'!$C:$C,'divisional &amp; regional caseload%'!$B$8,'caseload data'!T:T)</f>
        <v>#DIV/0!</v>
      </c>
      <c r="S12" s="68"/>
      <c r="T12" s="101" t="s">
        <v>1173</v>
      </c>
      <c r="U12" s="175" t="e">
        <f>SUMIFS('caseload data'!E:E,'caseload data'!$C:$C,'divisional &amp; regional caseload%'!$T$8,'caseload data'!$D:$D,"TPO")/SUMIF('caseload data'!$C:$C,'divisional &amp; regional caseload%'!$T$8,'caseload data'!E:E)</f>
        <v>#DIV/0!</v>
      </c>
      <c r="V12" s="175" t="e">
        <f>SUMIFS('caseload data'!F:F,'caseload data'!$C:$C,'divisional &amp; regional caseload%'!$T$8,'caseload data'!$D:$D,"TPO")/SUMIF('caseload data'!$C:$C,'divisional &amp; regional caseload%'!$T$8,'caseload data'!F:F)</f>
        <v>#DIV/0!</v>
      </c>
      <c r="W12" s="175" t="e">
        <f>SUMIFS('caseload data'!G:G,'caseload data'!$C:$C,'divisional &amp; regional caseload%'!$T$8,'caseload data'!$D:$D,"TPO")/SUMIF('caseload data'!$C:$C,'divisional &amp; regional caseload%'!$T$8,'caseload data'!G:G)</f>
        <v>#DIV/0!</v>
      </c>
      <c r="X12" s="175" t="e">
        <f>SUMIFS('caseload data'!H:H,'caseload data'!$C:$C,'divisional &amp; regional caseload%'!$T$8,'caseload data'!$D:$D,"TPO")/SUMIF('caseload data'!$C:$C,'divisional &amp; regional caseload%'!$T$8,'caseload data'!H:H)</f>
        <v>#DIV/0!</v>
      </c>
      <c r="Y12" s="175" t="e">
        <f>SUMIFS('caseload data'!I:I,'caseload data'!$C:$C,'divisional &amp; regional caseload%'!$T$8,'caseload data'!$D:$D,"TPO")/SUMIF('caseload data'!$C:$C,'divisional &amp; regional caseload%'!$T$8,'caseload data'!I:I)</f>
        <v>#DIV/0!</v>
      </c>
      <c r="Z12" s="175" t="e">
        <f>SUMIFS('caseload data'!J:J,'caseload data'!$C:$C,'divisional &amp; regional caseload%'!$T$8,'caseload data'!$D:$D,"TPO")/SUMIF('caseload data'!$C:$C,'divisional &amp; regional caseload%'!$T$8,'caseload data'!J:J)</f>
        <v>#DIV/0!</v>
      </c>
      <c r="AA12" s="175" t="e">
        <f>SUMIFS('caseload data'!K:K,'caseload data'!$C:$C,'divisional &amp; regional caseload%'!$T$8,'caseload data'!$D:$D,"TPO")/SUMIF('caseload data'!$C:$C,'divisional &amp; regional caseload%'!$T$8,'caseload data'!K:K)</f>
        <v>#DIV/0!</v>
      </c>
      <c r="AB12" s="175" t="e">
        <f>SUMIFS('caseload data'!L:L,'caseload data'!$C:$C,'divisional &amp; regional caseload%'!$T$8,'caseload data'!$D:$D,"TPO")/SUMIF('caseload data'!$C:$C,'divisional &amp; regional caseload%'!$T$8,'caseload data'!L:L)</f>
        <v>#DIV/0!</v>
      </c>
      <c r="AC12" s="175" t="e">
        <f>SUMIFS('caseload data'!M:M,'caseload data'!$C:$C,'divisional &amp; regional caseload%'!$T$8,'caseload data'!$D:$D,"TPO")/SUMIF('caseload data'!$C:$C,'divisional &amp; regional caseload%'!$T$8,'caseload data'!M:M)</f>
        <v>#DIV/0!</v>
      </c>
      <c r="AD12" s="175" t="e">
        <f>SUMIFS('caseload data'!N:N,'caseload data'!$C:$C,'divisional &amp; regional caseload%'!$T$8,'caseload data'!$D:$D,"TPO")/SUMIF('caseload data'!$C:$C,'divisional &amp; regional caseload%'!$T$8,'caseload data'!N:N)</f>
        <v>#DIV/0!</v>
      </c>
      <c r="AE12" s="175" t="e">
        <f>SUMIFS('caseload data'!O:O,'caseload data'!$C:$C,'divisional &amp; regional caseload%'!$T$8,'caseload data'!$D:$D,"TPO")/SUMIF('caseload data'!$C:$C,'divisional &amp; regional caseload%'!$T$8,'caseload data'!O:O)</f>
        <v>#DIV/0!</v>
      </c>
      <c r="AF12" s="175" t="e">
        <f>SUMIFS('caseload data'!P:P,'caseload data'!$C:$C,'divisional &amp; regional caseload%'!$T$8,'caseload data'!$D:$D,"TPO")/SUMIF('caseload data'!$C:$C,'divisional &amp; regional caseload%'!$T$8,'caseload data'!P:P)</f>
        <v>#DIV/0!</v>
      </c>
      <c r="AG12" s="175" t="e">
        <f>SUMIFS('caseload data'!Q:Q,'caseload data'!$C:$C,'divisional &amp; regional caseload%'!$T$8,'caseload data'!$D:$D,"TPO")/SUMIF('caseload data'!$C:$C,'divisional &amp; regional caseload%'!$T$8,'caseload data'!Q:Q)</f>
        <v>#DIV/0!</v>
      </c>
      <c r="AH12" s="175" t="e">
        <f>SUMIFS('caseload data'!R:R,'caseload data'!$C:$C,'divisional &amp; regional caseload%'!$T$8,'caseload data'!$D:$D,"TPO")/SUMIF('caseload data'!$C:$C,'divisional &amp; regional caseload%'!$T$8,'caseload data'!R:R)</f>
        <v>#DIV/0!</v>
      </c>
      <c r="AI12" s="175" t="e">
        <f>SUMIFS('caseload data'!S:S,'caseload data'!$C:$C,'divisional &amp; regional caseload%'!$T$8,'caseload data'!$D:$D,"TPO")/SUMIF('caseload data'!$C:$C,'divisional &amp; regional caseload%'!$T$8,'caseload data'!S:S)</f>
        <v>#DIV/0!</v>
      </c>
      <c r="AJ12" s="175" t="e">
        <f>SUMIFS('caseload data'!T:T,'caseload data'!$C:$C,'divisional &amp; regional caseload%'!$T$8,'caseload data'!$D:$D,"TPO")/SUMIF('caseload data'!$C:$C,'divisional &amp; regional caseload%'!$T$8,'caseload data'!T:T)</f>
        <v>#DIV/0!</v>
      </c>
    </row>
    <row r="13" spans="1:50" x14ac:dyDescent="0.15">
      <c r="B13" s="102" t="s">
        <v>1174</v>
      </c>
      <c r="C13" s="175" t="e">
        <f>SUMIFS('caseload data'!E:E,'caseload data'!$C:$C,'divisional &amp; regional caseload%'!$B$8,'caseload data'!$D:$D,"SPO")/SUMIF('caseload data'!$C:$C,'divisional &amp; regional caseload%'!$B$8,'caseload data'!E:E)</f>
        <v>#DIV/0!</v>
      </c>
      <c r="D13" s="175" t="e">
        <f>SUMIFS('caseload data'!F:F,'caseload data'!$C:$C,'divisional &amp; regional caseload%'!$B$8,'caseload data'!$D:$D,"SPO")/SUMIF('caseload data'!$C:$C,'divisional &amp; regional caseload%'!$B$8,'caseload data'!F:F)</f>
        <v>#DIV/0!</v>
      </c>
      <c r="E13" s="175" t="e">
        <f>SUMIFS('caseload data'!G:G,'caseload data'!$C:$C,'divisional &amp; regional caseload%'!$B$8,'caseload data'!$D:$D,"SPO")/SUMIF('caseload data'!$C:$C,'divisional &amp; regional caseload%'!$B$8,'caseload data'!G:G)</f>
        <v>#DIV/0!</v>
      </c>
      <c r="F13" s="175" t="e">
        <f>SUMIFS('caseload data'!H:H,'caseload data'!$C:$C,'divisional &amp; regional caseload%'!$B$8,'caseload data'!$D:$D,"SPO")/SUMIF('caseload data'!$C:$C,'divisional &amp; regional caseload%'!$B$8,'caseload data'!H:H)</f>
        <v>#DIV/0!</v>
      </c>
      <c r="G13" s="175" t="e">
        <f>SUMIFS('caseload data'!I:I,'caseload data'!$C:$C,'divisional &amp; regional caseload%'!$B$8,'caseload data'!$D:$D,"SPO")/SUMIF('caseload data'!$C:$C,'divisional &amp; regional caseload%'!$B$8,'caseload data'!I:I)</f>
        <v>#DIV/0!</v>
      </c>
      <c r="H13" s="175" t="e">
        <f>SUMIFS('caseload data'!J:J,'caseload data'!$C:$C,'divisional &amp; regional caseload%'!$B$8,'caseload data'!$D:$D,"SPO")/SUMIF('caseload data'!$C:$C,'divisional &amp; regional caseload%'!$B$8,'caseload data'!J:J)</f>
        <v>#DIV/0!</v>
      </c>
      <c r="I13" s="175" t="e">
        <f>SUMIFS('caseload data'!K:K,'caseload data'!$C:$C,'divisional &amp; regional caseload%'!$B$8,'caseload data'!$D:$D,"SPO")/SUMIF('caseload data'!$C:$C,'divisional &amp; regional caseload%'!$B$8,'caseload data'!K:K)</f>
        <v>#DIV/0!</v>
      </c>
      <c r="J13" s="175" t="e">
        <f>SUMIFS('caseload data'!L:L,'caseload data'!$C:$C,'divisional &amp; regional caseload%'!$B$8,'caseload data'!$D:$D,"SPO")/SUMIF('caseload data'!$C:$C,'divisional &amp; regional caseload%'!$B$8,'caseload data'!L:L)</f>
        <v>#DIV/0!</v>
      </c>
      <c r="K13" s="175" t="e">
        <f>SUMIFS('caseload data'!M:M,'caseload data'!$C:$C,'divisional &amp; regional caseload%'!$B$8,'caseload data'!$D:$D,"SPO")/SUMIF('caseload data'!$C:$C,'divisional &amp; regional caseload%'!$B$8,'caseload data'!M:M)</f>
        <v>#DIV/0!</v>
      </c>
      <c r="L13" s="175" t="e">
        <f>SUMIFS('caseload data'!N:N,'caseload data'!$C:$C,'divisional &amp; regional caseload%'!$B$8,'caseload data'!$D:$D,"SPO")/SUMIF('caseload data'!$C:$C,'divisional &amp; regional caseload%'!$B$8,'caseload data'!N:N)</f>
        <v>#DIV/0!</v>
      </c>
      <c r="M13" s="175" t="e">
        <f>SUMIFS('caseload data'!O:O,'caseload data'!$C:$C,'divisional &amp; regional caseload%'!$B$8,'caseload data'!$D:$D,"SPO")/SUMIF('caseload data'!$C:$C,'divisional &amp; regional caseload%'!$B$8,'caseload data'!O:O)</f>
        <v>#DIV/0!</v>
      </c>
      <c r="N13" s="175" t="e">
        <f>SUMIFS('caseload data'!P:P,'caseload data'!$C:$C,'divisional &amp; regional caseload%'!$B$8,'caseload data'!$D:$D,"SPO")/SUMIF('caseload data'!$C:$C,'divisional &amp; regional caseload%'!$B$8,'caseload data'!P:P)</f>
        <v>#DIV/0!</v>
      </c>
      <c r="O13" s="175" t="e">
        <f>SUMIFS('caseload data'!Q:Q,'caseload data'!$C:$C,'divisional &amp; regional caseload%'!$B$8,'caseload data'!$D:$D,"SPO")/SUMIF('caseload data'!$C:$C,'divisional &amp; regional caseload%'!$B$8,'caseload data'!Q:Q)</f>
        <v>#DIV/0!</v>
      </c>
      <c r="P13" s="175" t="e">
        <f>SUMIFS('caseload data'!R:R,'caseload data'!$C:$C,'divisional &amp; regional caseload%'!$B$8,'caseload data'!$D:$D,"SPO")/SUMIF('caseload data'!$C:$C,'divisional &amp; regional caseload%'!$B$8,'caseload data'!R:R)</f>
        <v>#DIV/0!</v>
      </c>
      <c r="Q13" s="175" t="e">
        <f>SUMIFS('caseload data'!S:S,'caseload data'!$C:$C,'divisional &amp; regional caseload%'!$B$8,'caseload data'!$D:$D,"SPO")/SUMIF('caseload data'!$C:$C,'divisional &amp; regional caseload%'!$B$8,'caseload data'!S:S)</f>
        <v>#DIV/0!</v>
      </c>
      <c r="R13" s="175" t="e">
        <f>SUMIFS('caseload data'!T:T,'caseload data'!$C:$C,'divisional &amp; regional caseload%'!$B$8,'caseload data'!$D:$D,"SPO")/SUMIF('caseload data'!$C:$C,'divisional &amp; regional caseload%'!$B$8,'caseload data'!T:T)</f>
        <v>#DIV/0!</v>
      </c>
      <c r="S13" s="68"/>
      <c r="T13" s="102" t="s">
        <v>1174</v>
      </c>
      <c r="U13" s="175" t="e">
        <f>SUMIFS('caseload data'!E:E,'caseload data'!$C:$C,'divisional &amp; regional caseload%'!$T$8,'caseload data'!$D:$D,"SPO")/SUMIF('caseload data'!$C:$C,'divisional &amp; regional caseload%'!$T$8,'caseload data'!E:E)</f>
        <v>#DIV/0!</v>
      </c>
      <c r="V13" s="175" t="e">
        <f>SUMIFS('caseload data'!F:F,'caseload data'!$C:$C,'divisional &amp; regional caseload%'!$T$8,'caseload data'!$D:$D,"SPO")/SUMIF('caseload data'!$C:$C,'divisional &amp; regional caseload%'!$T$8,'caseload data'!F:F)</f>
        <v>#DIV/0!</v>
      </c>
      <c r="W13" s="175" t="e">
        <f>SUMIFS('caseload data'!G:G,'caseload data'!$C:$C,'divisional &amp; regional caseload%'!$T$8,'caseload data'!$D:$D,"SPO")/SUMIF('caseload data'!$C:$C,'divisional &amp; regional caseload%'!$T$8,'caseload data'!G:G)</f>
        <v>#DIV/0!</v>
      </c>
      <c r="X13" s="175" t="e">
        <f>SUMIFS('caseload data'!H:H,'caseload data'!$C:$C,'divisional &amp; regional caseload%'!$T$8,'caseload data'!$D:$D,"SPO")/SUMIF('caseload data'!$C:$C,'divisional &amp; regional caseload%'!$T$8,'caseload data'!H:H)</f>
        <v>#DIV/0!</v>
      </c>
      <c r="Y13" s="175" t="e">
        <f>SUMIFS('caseload data'!I:I,'caseload data'!$C:$C,'divisional &amp; regional caseload%'!$T$8,'caseload data'!$D:$D,"SPO")/SUMIF('caseload data'!$C:$C,'divisional &amp; regional caseload%'!$T$8,'caseload data'!I:I)</f>
        <v>#DIV/0!</v>
      </c>
      <c r="Z13" s="175" t="e">
        <f>SUMIFS('caseload data'!J:J,'caseload data'!$C:$C,'divisional &amp; regional caseload%'!$T$8,'caseload data'!$D:$D,"SPO")/SUMIF('caseload data'!$C:$C,'divisional &amp; regional caseload%'!$T$8,'caseload data'!J:J)</f>
        <v>#DIV/0!</v>
      </c>
      <c r="AA13" s="175" t="e">
        <f>SUMIFS('caseload data'!K:K,'caseload data'!$C:$C,'divisional &amp; regional caseload%'!$T$8,'caseload data'!$D:$D,"SPO")/SUMIF('caseload data'!$C:$C,'divisional &amp; regional caseload%'!$T$8,'caseload data'!K:K)</f>
        <v>#DIV/0!</v>
      </c>
      <c r="AB13" s="175" t="e">
        <f>SUMIFS('caseload data'!L:L,'caseload data'!$C:$C,'divisional &amp; regional caseload%'!$T$8,'caseload data'!$D:$D,"SPO")/SUMIF('caseload data'!$C:$C,'divisional &amp; regional caseload%'!$T$8,'caseload data'!L:L)</f>
        <v>#DIV/0!</v>
      </c>
      <c r="AC13" s="175" t="e">
        <f>SUMIFS('caseload data'!M:M,'caseload data'!$C:$C,'divisional &amp; regional caseload%'!$T$8,'caseload data'!$D:$D,"SPO")/SUMIF('caseload data'!$C:$C,'divisional &amp; regional caseload%'!$T$8,'caseload data'!M:M)</f>
        <v>#DIV/0!</v>
      </c>
      <c r="AD13" s="175" t="e">
        <f>SUMIFS('caseload data'!N:N,'caseload data'!$C:$C,'divisional &amp; regional caseload%'!$T$8,'caseload data'!$D:$D,"SPO")/SUMIF('caseload data'!$C:$C,'divisional &amp; regional caseload%'!$T$8,'caseload data'!N:N)</f>
        <v>#DIV/0!</v>
      </c>
      <c r="AE13" s="175" t="e">
        <f>SUMIFS('caseload data'!O:O,'caseload data'!$C:$C,'divisional &amp; regional caseload%'!$T$8,'caseload data'!$D:$D,"SPO")/SUMIF('caseload data'!$C:$C,'divisional &amp; regional caseload%'!$T$8,'caseload data'!O:O)</f>
        <v>#DIV/0!</v>
      </c>
      <c r="AF13" s="175" t="e">
        <f>SUMIFS('caseload data'!P:P,'caseload data'!$C:$C,'divisional &amp; regional caseload%'!$T$8,'caseload data'!$D:$D,"SPO")/SUMIF('caseload data'!$C:$C,'divisional &amp; regional caseload%'!$T$8,'caseload data'!P:P)</f>
        <v>#DIV/0!</v>
      </c>
      <c r="AG13" s="175" t="e">
        <f>SUMIFS('caseload data'!Q:Q,'caseload data'!$C:$C,'divisional &amp; regional caseload%'!$T$8,'caseload data'!$D:$D,"SPO")/SUMIF('caseload data'!$C:$C,'divisional &amp; regional caseload%'!$T$8,'caseload data'!Q:Q)</f>
        <v>#DIV/0!</v>
      </c>
      <c r="AH13" s="175" t="e">
        <f>SUMIFS('caseload data'!R:R,'caseload data'!$C:$C,'divisional &amp; regional caseload%'!$T$8,'caseload data'!$D:$D,"SPO")/SUMIF('caseload data'!$C:$C,'divisional &amp; regional caseload%'!$T$8,'caseload data'!R:R)</f>
        <v>#DIV/0!</v>
      </c>
      <c r="AI13" s="175" t="e">
        <f>SUMIFS('caseload data'!S:S,'caseload data'!$C:$C,'divisional &amp; regional caseload%'!$T$8,'caseload data'!$D:$D,"SPO")/SUMIF('caseload data'!$C:$C,'divisional &amp; regional caseload%'!$T$8,'caseload data'!S:S)</f>
        <v>#DIV/0!</v>
      </c>
      <c r="AJ13" s="175" t="e">
        <f>SUMIFS('caseload data'!T:T,'caseload data'!$C:$C,'divisional &amp; regional caseload%'!$T$8,'caseload data'!$D:$D,"SPO")/SUMIF('caseload data'!$C:$C,'divisional &amp; regional caseload%'!$T$8,'caseload data'!T:T)</f>
        <v>#DIV/0!</v>
      </c>
    </row>
    <row r="14" spans="1:50" x14ac:dyDescent="0.15">
      <c r="B14" s="95"/>
      <c r="C14" s="68"/>
      <c r="D14" s="68"/>
      <c r="E14" s="68"/>
      <c r="F14" s="68"/>
      <c r="G14" s="68"/>
      <c r="H14" s="68"/>
      <c r="I14" s="68"/>
      <c r="J14" s="68"/>
      <c r="K14" s="68"/>
      <c r="L14" s="68"/>
      <c r="M14" s="68"/>
      <c r="N14" s="68"/>
      <c r="O14" s="68"/>
      <c r="P14" s="68"/>
      <c r="Q14" s="68"/>
      <c r="R14" s="68"/>
      <c r="S14" s="68"/>
      <c r="T14" s="95"/>
      <c r="U14" s="68"/>
      <c r="V14" s="68"/>
      <c r="W14" s="68"/>
      <c r="X14" s="68"/>
      <c r="Y14" s="68"/>
      <c r="Z14" s="68"/>
      <c r="AA14" s="68"/>
      <c r="AB14" s="68"/>
      <c r="AC14" s="68"/>
      <c r="AD14" s="68"/>
      <c r="AE14" s="68"/>
      <c r="AF14" s="68"/>
      <c r="AG14" s="68"/>
      <c r="AH14" s="68"/>
      <c r="AI14" s="68"/>
      <c r="AJ14" s="68"/>
    </row>
    <row r="15" spans="1:50" ht="30" customHeight="1" x14ac:dyDescent="0.15">
      <c r="B15" s="302" t="str">
        <f>HLOOKUP($B$5,Region_Table,4,0)</f>
        <v>Dyfed Powys</v>
      </c>
      <c r="C15" s="475" t="s">
        <v>1275</v>
      </c>
      <c r="D15" s="476"/>
      <c r="E15" s="476"/>
      <c r="F15" s="476"/>
      <c r="G15" s="476"/>
      <c r="H15" s="476"/>
      <c r="I15" s="476"/>
      <c r="J15" s="476"/>
      <c r="K15" s="476"/>
      <c r="L15" s="476"/>
      <c r="M15" s="477"/>
      <c r="N15" s="477"/>
      <c r="O15" s="478"/>
      <c r="P15" s="462">
        <f>SUMIF('caseload data'!$C:$C,'divisional &amp; regional caseload%'!B15,'caseload data'!V:V)</f>
        <v>0</v>
      </c>
      <c r="Q15" s="479"/>
      <c r="R15" s="480"/>
      <c r="S15" s="68"/>
      <c r="T15" s="302" t="str">
        <f>HLOOKUP($B$5,Region_Table,5,0)</f>
        <v>Gwent</v>
      </c>
      <c r="U15" s="475" t="s">
        <v>1275</v>
      </c>
      <c r="V15" s="476"/>
      <c r="W15" s="476"/>
      <c r="X15" s="476"/>
      <c r="Y15" s="476"/>
      <c r="Z15" s="476"/>
      <c r="AA15" s="476"/>
      <c r="AB15" s="476"/>
      <c r="AC15" s="476"/>
      <c r="AD15" s="476"/>
      <c r="AE15" s="477"/>
      <c r="AF15" s="477"/>
      <c r="AG15" s="478"/>
      <c r="AH15" s="462">
        <f>SUMIF('caseload data'!$C:$C,'divisional &amp; regional caseload%'!T15,'caseload data'!V:V)</f>
        <v>0</v>
      </c>
      <c r="AI15" s="479"/>
      <c r="AJ15" s="480"/>
    </row>
    <row r="16" spans="1:50" x14ac:dyDescent="0.15">
      <c r="B16" s="99" t="s">
        <v>1171</v>
      </c>
      <c r="C16" s="40" t="s">
        <v>1022</v>
      </c>
      <c r="D16" s="40" t="s">
        <v>1023</v>
      </c>
      <c r="E16" s="40" t="s">
        <v>1024</v>
      </c>
      <c r="F16" s="40" t="s">
        <v>1025</v>
      </c>
      <c r="G16" s="40" t="s">
        <v>1026</v>
      </c>
      <c r="H16" s="40" t="s">
        <v>1027</v>
      </c>
      <c r="I16" s="40" t="s">
        <v>1028</v>
      </c>
      <c r="J16" s="40" t="s">
        <v>1029</v>
      </c>
      <c r="K16" s="40" t="s">
        <v>1030</v>
      </c>
      <c r="L16" s="40" t="s">
        <v>1031</v>
      </c>
      <c r="M16" s="40" t="s">
        <v>1032</v>
      </c>
      <c r="N16" s="40" t="s">
        <v>1033</v>
      </c>
      <c r="O16" s="40" t="s">
        <v>1034</v>
      </c>
      <c r="P16" s="40" t="s">
        <v>1035</v>
      </c>
      <c r="Q16" s="40" t="s">
        <v>1036</v>
      </c>
      <c r="R16" s="40" t="s">
        <v>1037</v>
      </c>
      <c r="S16" s="68"/>
      <c r="T16" s="99" t="s">
        <v>1171</v>
      </c>
      <c r="U16" s="40" t="s">
        <v>1022</v>
      </c>
      <c r="V16" s="40" t="s">
        <v>1023</v>
      </c>
      <c r="W16" s="40" t="s">
        <v>1024</v>
      </c>
      <c r="X16" s="40" t="s">
        <v>1025</v>
      </c>
      <c r="Y16" s="40" t="s">
        <v>1026</v>
      </c>
      <c r="Z16" s="40" t="s">
        <v>1027</v>
      </c>
      <c r="AA16" s="40" t="s">
        <v>1028</v>
      </c>
      <c r="AB16" s="40" t="s">
        <v>1029</v>
      </c>
      <c r="AC16" s="40" t="s">
        <v>1030</v>
      </c>
      <c r="AD16" s="40" t="s">
        <v>1031</v>
      </c>
      <c r="AE16" s="40" t="s">
        <v>1032</v>
      </c>
      <c r="AF16" s="40" t="s">
        <v>1033</v>
      </c>
      <c r="AG16" s="40" t="s">
        <v>1034</v>
      </c>
      <c r="AH16" s="40" t="s">
        <v>1035</v>
      </c>
      <c r="AI16" s="40" t="s">
        <v>1036</v>
      </c>
      <c r="AJ16" s="40" t="s">
        <v>1037</v>
      </c>
    </row>
    <row r="17" spans="2:36" x14ac:dyDescent="0.15">
      <c r="B17" s="100" t="s">
        <v>1166</v>
      </c>
      <c r="C17" s="175" t="e">
        <f>SUMIFS('caseload data'!E:E,'caseload data'!$C:$C,'divisional &amp; regional caseload%'!$B$15,'caseload data'!$D:$D,"PO")/SUMIF('caseload data'!$C:$C,'divisional &amp; regional caseload%'!$B$15,'caseload data'!E:E)</f>
        <v>#DIV/0!</v>
      </c>
      <c r="D17" s="175" t="e">
        <f>SUMIFS('caseload data'!F:F,'caseload data'!$C:$C,'divisional &amp; regional caseload%'!$B$15,'caseload data'!$D:$D,"PO")/SUMIF('caseload data'!$C:$C,'divisional &amp; regional caseload%'!$B$15,'caseload data'!F:F)</f>
        <v>#DIV/0!</v>
      </c>
      <c r="E17" s="175" t="e">
        <f>SUMIFS('caseload data'!G:G,'caseload data'!$C:$C,'divisional &amp; regional caseload%'!$B$15,'caseload data'!$D:$D,"PO")/SUMIF('caseload data'!$C:$C,'divisional &amp; regional caseload%'!$B$15,'caseload data'!G:G)</f>
        <v>#DIV/0!</v>
      </c>
      <c r="F17" s="175" t="e">
        <f>SUMIFS('caseload data'!H:H,'caseload data'!$C:$C,'divisional &amp; regional caseload%'!$B$15,'caseload data'!$D:$D,"PO")/SUMIF('caseload data'!$C:$C,'divisional &amp; regional caseload%'!$B$15,'caseload data'!H:H)</f>
        <v>#DIV/0!</v>
      </c>
      <c r="G17" s="175" t="e">
        <f>SUMIFS('caseload data'!I:I,'caseload data'!$C:$C,'divisional &amp; regional caseload%'!$B$15,'caseload data'!$D:$D,"PO")/SUMIF('caseload data'!$C:$C,'divisional &amp; regional caseload%'!$B$15,'caseload data'!I:I)</f>
        <v>#DIV/0!</v>
      </c>
      <c r="H17" s="175" t="e">
        <f>SUMIFS('caseload data'!J:J,'caseload data'!$C:$C,'divisional &amp; regional caseload%'!$B$15,'caseload data'!$D:$D,"PO")/SUMIF('caseload data'!$C:$C,'divisional &amp; regional caseload%'!$B$15,'caseload data'!J:J)</f>
        <v>#DIV/0!</v>
      </c>
      <c r="I17" s="175" t="e">
        <f>SUMIFS('caseload data'!K:K,'caseload data'!$C:$C,'divisional &amp; regional caseload%'!$B$15,'caseload data'!$D:$D,"PO")/SUMIF('caseload data'!$C:$C,'divisional &amp; regional caseload%'!$B$15,'caseload data'!K:K)</f>
        <v>#DIV/0!</v>
      </c>
      <c r="J17" s="175" t="e">
        <f>SUMIFS('caseload data'!L:L,'caseload data'!$C:$C,'divisional &amp; regional caseload%'!$B$15,'caseload data'!$D:$D,"PO")/SUMIF('caseload data'!$C:$C,'divisional &amp; regional caseload%'!$B$15,'caseload data'!L:L)</f>
        <v>#DIV/0!</v>
      </c>
      <c r="K17" s="175" t="e">
        <f>SUMIFS('caseload data'!M:M,'caseload data'!$C:$C,'divisional &amp; regional caseload%'!$B$15,'caseload data'!$D:$D,"PO")/SUMIF('caseload data'!$C:$C,'divisional &amp; regional caseload%'!$B$15,'caseload data'!M:M)</f>
        <v>#DIV/0!</v>
      </c>
      <c r="L17" s="175" t="e">
        <f>SUMIFS('caseload data'!N:N,'caseload data'!$C:$C,'divisional &amp; regional caseload%'!$B$15,'caseload data'!$D:$D,"PO")/SUMIF('caseload data'!$C:$C,'divisional &amp; regional caseload%'!$B$15,'caseload data'!N:N)</f>
        <v>#DIV/0!</v>
      </c>
      <c r="M17" s="175" t="e">
        <f>SUMIFS('caseload data'!O:O,'caseload data'!$C:$C,'divisional &amp; regional caseload%'!$B$15,'caseload data'!$D:$D,"PO")/SUMIF('caseload data'!$C:$C,'divisional &amp; regional caseload%'!$B$15,'caseload data'!O:O)</f>
        <v>#DIV/0!</v>
      </c>
      <c r="N17" s="175" t="e">
        <f>SUMIFS('caseload data'!P:P,'caseload data'!$C:$C,'divisional &amp; regional caseload%'!$B$15,'caseload data'!$D:$D,"PO")/SUMIF('caseload data'!$C:$C,'divisional &amp; regional caseload%'!$B$15,'caseload data'!P:P)</f>
        <v>#DIV/0!</v>
      </c>
      <c r="O17" s="175" t="e">
        <f>SUMIFS('caseload data'!Q:Q,'caseload data'!$C:$C,'divisional &amp; regional caseload%'!$B$15,'caseload data'!$D:$D,"PO")/SUMIF('caseload data'!$C:$C,'divisional &amp; regional caseload%'!$B$15,'caseload data'!Q:Q)</f>
        <v>#DIV/0!</v>
      </c>
      <c r="P17" s="175" t="e">
        <f>SUMIFS('caseload data'!R:R,'caseload data'!$C:$C,'divisional &amp; regional caseload%'!$B$15,'caseload data'!$D:$D,"PO")/SUMIF('caseload data'!$C:$C,'divisional &amp; regional caseload%'!$B$15,'caseload data'!R:R)</f>
        <v>#DIV/0!</v>
      </c>
      <c r="Q17" s="175" t="e">
        <f>SUMIFS('caseload data'!S:S,'caseload data'!$C:$C,'divisional &amp; regional caseload%'!$B$15,'caseload data'!$D:$D,"PO")/SUMIF('caseload data'!$C:$C,'divisional &amp; regional caseload%'!$B$15,'caseload data'!S:S)</f>
        <v>#DIV/0!</v>
      </c>
      <c r="R17" s="175" t="e">
        <f>SUMIFS('caseload data'!T:T,'caseload data'!$C:$C,'divisional &amp; regional caseload%'!$B$15,'caseload data'!$D:$D,"PO")/SUMIF('caseload data'!$C:$C,'divisional &amp; regional caseload%'!$B$15,'caseload data'!T:T)</f>
        <v>#DIV/0!</v>
      </c>
      <c r="S17" s="68"/>
      <c r="T17" s="100" t="s">
        <v>1166</v>
      </c>
      <c r="U17" s="175" t="e">
        <f>SUMIFS('caseload data'!E:E,'caseload data'!$C:$C,'divisional &amp; regional caseload%'!$T$15,'caseload data'!$D:$D,"PO")/SUMIF('caseload data'!$C:$C,'divisional &amp; regional caseload%'!$T$15,'caseload data'!E:E)</f>
        <v>#DIV/0!</v>
      </c>
      <c r="V17" s="175" t="e">
        <f>SUMIFS('caseload data'!F:F,'caseload data'!$C:$C,'divisional &amp; regional caseload%'!$T$15,'caseload data'!$D:$D,"PO")/SUMIF('caseload data'!$C:$C,'divisional &amp; regional caseload%'!$T$15,'caseload data'!F:F)</f>
        <v>#DIV/0!</v>
      </c>
      <c r="W17" s="175" t="e">
        <f>SUMIFS('caseload data'!G:G,'caseload data'!$C:$C,'divisional &amp; regional caseload%'!$T$15,'caseload data'!$D:$D,"PO")/SUMIF('caseload data'!$C:$C,'divisional &amp; regional caseload%'!$T$15,'caseload data'!G:G)</f>
        <v>#DIV/0!</v>
      </c>
      <c r="X17" s="175" t="e">
        <f>SUMIFS('caseload data'!H:H,'caseload data'!$C:$C,'divisional &amp; regional caseload%'!$T$15,'caseload data'!$D:$D,"PO")/SUMIF('caseload data'!$C:$C,'divisional &amp; regional caseload%'!$T$15,'caseload data'!H:H)</f>
        <v>#DIV/0!</v>
      </c>
      <c r="Y17" s="175" t="e">
        <f>SUMIFS('caseload data'!I:I,'caseload data'!$C:$C,'divisional &amp; regional caseload%'!$T$15,'caseload data'!$D:$D,"PO")/SUMIF('caseload data'!$C:$C,'divisional &amp; regional caseload%'!$T$15,'caseload data'!I:I)</f>
        <v>#DIV/0!</v>
      </c>
      <c r="Z17" s="175" t="e">
        <f>SUMIFS('caseload data'!J:J,'caseload data'!$C:$C,'divisional &amp; regional caseload%'!$T$15,'caseload data'!$D:$D,"PO")/SUMIF('caseload data'!$C:$C,'divisional &amp; regional caseload%'!$T$15,'caseload data'!J:J)</f>
        <v>#DIV/0!</v>
      </c>
      <c r="AA17" s="175" t="e">
        <f>SUMIFS('caseload data'!K:K,'caseload data'!$C:$C,'divisional &amp; regional caseload%'!$T$15,'caseload data'!$D:$D,"PO")/SUMIF('caseload data'!$C:$C,'divisional &amp; regional caseload%'!$T$15,'caseload data'!K:K)</f>
        <v>#DIV/0!</v>
      </c>
      <c r="AB17" s="175" t="e">
        <f>SUMIFS('caseload data'!L:L,'caseload data'!$C:$C,'divisional &amp; regional caseload%'!$T$15,'caseload data'!$D:$D,"PO")/SUMIF('caseload data'!$C:$C,'divisional &amp; regional caseload%'!$T$15,'caseload data'!L:L)</f>
        <v>#DIV/0!</v>
      </c>
      <c r="AC17" s="175" t="e">
        <f>SUMIFS('caseload data'!M:M,'caseload data'!$C:$C,'divisional &amp; regional caseload%'!$T$15,'caseload data'!$D:$D,"PO")/SUMIF('caseload data'!$C:$C,'divisional &amp; regional caseload%'!$T$15,'caseload data'!M:M)</f>
        <v>#DIV/0!</v>
      </c>
      <c r="AD17" s="175" t="e">
        <f>SUMIFS('caseload data'!N:N,'caseload data'!$C:$C,'divisional &amp; regional caseload%'!$T$15,'caseload data'!$D:$D,"PO")/SUMIF('caseload data'!$C:$C,'divisional &amp; regional caseload%'!$T$15,'caseload data'!N:N)</f>
        <v>#DIV/0!</v>
      </c>
      <c r="AE17" s="175" t="e">
        <f>SUMIFS('caseload data'!O:O,'caseload data'!$C:$C,'divisional &amp; regional caseload%'!$T$15,'caseload data'!$D:$D,"PO")/SUMIF('caseload data'!$C:$C,'divisional &amp; regional caseload%'!$T$15,'caseload data'!O:O)</f>
        <v>#DIV/0!</v>
      </c>
      <c r="AF17" s="175" t="e">
        <f>SUMIFS('caseload data'!P:P,'caseload data'!$C:$C,'divisional &amp; regional caseload%'!$T$15,'caseload data'!$D:$D,"PO")/SUMIF('caseload data'!$C:$C,'divisional &amp; regional caseload%'!$T$15,'caseload data'!P:P)</f>
        <v>#DIV/0!</v>
      </c>
      <c r="AG17" s="175" t="e">
        <f>SUMIFS('caseload data'!Q:Q,'caseload data'!$C:$C,'divisional &amp; regional caseload%'!$T$15,'caseload data'!$D:$D,"PO")/SUMIF('caseload data'!$C:$C,'divisional &amp; regional caseload%'!$T$15,'caseload data'!Q:Q)</f>
        <v>#DIV/0!</v>
      </c>
      <c r="AH17" s="175" t="e">
        <f>SUMIFS('caseload data'!R:R,'caseload data'!$C:$C,'divisional &amp; regional caseload%'!$T$15,'caseload data'!$D:$D,"PO")/SUMIF('caseload data'!$C:$C,'divisional &amp; regional caseload%'!$T$15,'caseload data'!R:R)</f>
        <v>#DIV/0!</v>
      </c>
      <c r="AI17" s="175" t="e">
        <f>SUMIFS('caseload data'!S:S,'caseload data'!$C:$C,'divisional &amp; regional caseload%'!$T$15,'caseload data'!$D:$D,"PO")/SUMIF('caseload data'!$C:$C,'divisional &amp; regional caseload%'!$T$15,'caseload data'!S:S)</f>
        <v>#DIV/0!</v>
      </c>
      <c r="AJ17" s="175" t="e">
        <f>SUMIFS('caseload data'!T:T,'caseload data'!$C:$C,'divisional &amp; regional caseload%'!$T$15,'caseload data'!$D:$D,"PO")/SUMIF('caseload data'!$C:$C,'divisional &amp; regional caseload%'!$T$15,'caseload data'!T:T)</f>
        <v>#DIV/0!</v>
      </c>
    </row>
    <row r="18" spans="2:36" x14ac:dyDescent="0.15">
      <c r="B18" s="101" t="s">
        <v>1172</v>
      </c>
      <c r="C18" s="175" t="e">
        <f>SUMIFS('caseload data'!E:E,'caseload data'!$C:$C,'divisional &amp; regional caseload%'!$B$15,'caseload data'!$D:$D,"PSO")/SUMIF('caseload data'!$C:$C,'divisional &amp; regional caseload%'!$B$15,'caseload data'!E:E)</f>
        <v>#DIV/0!</v>
      </c>
      <c r="D18" s="175" t="e">
        <f>SUMIFS('caseload data'!F:F,'caseload data'!$C:$C,'divisional &amp; regional caseload%'!$B$15,'caseload data'!$D:$D,"PSO")/SUMIF('caseload data'!$C:$C,'divisional &amp; regional caseload%'!$B$15,'caseload data'!F:F)</f>
        <v>#DIV/0!</v>
      </c>
      <c r="E18" s="175" t="e">
        <f>SUMIFS('caseload data'!G:G,'caseload data'!$C:$C,'divisional &amp; regional caseload%'!$B$15,'caseload data'!$D:$D,"PSO")/SUMIF('caseload data'!$C:$C,'divisional &amp; regional caseload%'!$B$15,'caseload data'!G:G)</f>
        <v>#DIV/0!</v>
      </c>
      <c r="F18" s="175" t="e">
        <f>SUMIFS('caseload data'!H:H,'caseload data'!$C:$C,'divisional &amp; regional caseload%'!$B$15,'caseload data'!$D:$D,"PSO")/SUMIF('caseload data'!$C:$C,'divisional &amp; regional caseload%'!$B$15,'caseload data'!H:H)</f>
        <v>#DIV/0!</v>
      </c>
      <c r="G18" s="175" t="e">
        <f>SUMIFS('caseload data'!I:I,'caseload data'!$C:$C,'divisional &amp; regional caseload%'!$B$15,'caseload data'!$D:$D,"PSO")/SUMIF('caseload data'!$C:$C,'divisional &amp; regional caseload%'!$B$15,'caseload data'!I:I)</f>
        <v>#DIV/0!</v>
      </c>
      <c r="H18" s="175" t="e">
        <f>SUMIFS('caseload data'!J:J,'caseload data'!$C:$C,'divisional &amp; regional caseload%'!$B$15,'caseload data'!$D:$D,"PSO")/SUMIF('caseload data'!$C:$C,'divisional &amp; regional caseload%'!$B$15,'caseload data'!J:J)</f>
        <v>#DIV/0!</v>
      </c>
      <c r="I18" s="175" t="e">
        <f>SUMIFS('caseload data'!K:K,'caseload data'!$C:$C,'divisional &amp; regional caseload%'!$B$15,'caseload data'!$D:$D,"PSO")/SUMIF('caseload data'!$C:$C,'divisional &amp; regional caseload%'!$B$15,'caseload data'!K:K)</f>
        <v>#DIV/0!</v>
      </c>
      <c r="J18" s="175" t="e">
        <f>SUMIFS('caseload data'!L:L,'caseload data'!$C:$C,'divisional &amp; regional caseload%'!$B$15,'caseload data'!$D:$D,"PSO")/SUMIF('caseload data'!$C:$C,'divisional &amp; regional caseload%'!$B$15,'caseload data'!L:L)</f>
        <v>#DIV/0!</v>
      </c>
      <c r="K18" s="175" t="e">
        <f>SUMIFS('caseload data'!M:M,'caseload data'!$C:$C,'divisional &amp; regional caseload%'!$B$15,'caseload data'!$D:$D,"PSO")/SUMIF('caseload data'!$C:$C,'divisional &amp; regional caseload%'!$B$15,'caseload data'!M:M)</f>
        <v>#DIV/0!</v>
      </c>
      <c r="L18" s="175" t="e">
        <f>SUMIFS('caseload data'!N:N,'caseload data'!$C:$C,'divisional &amp; regional caseload%'!$B$15,'caseload data'!$D:$D,"PSO")/SUMIF('caseload data'!$C:$C,'divisional &amp; regional caseload%'!$B$15,'caseload data'!N:N)</f>
        <v>#DIV/0!</v>
      </c>
      <c r="M18" s="175" t="e">
        <f>SUMIFS('caseload data'!O:O,'caseload data'!$C:$C,'divisional &amp; regional caseload%'!$B$15,'caseload data'!$D:$D,"PSO")/SUMIF('caseload data'!$C:$C,'divisional &amp; regional caseload%'!$B$15,'caseload data'!O:O)</f>
        <v>#DIV/0!</v>
      </c>
      <c r="N18" s="175" t="e">
        <f>SUMIFS('caseload data'!P:P,'caseload data'!$C:$C,'divisional &amp; regional caseload%'!$B$15,'caseload data'!$D:$D,"PSO")/SUMIF('caseload data'!$C:$C,'divisional &amp; regional caseload%'!$B$15,'caseload data'!P:P)</f>
        <v>#DIV/0!</v>
      </c>
      <c r="O18" s="175" t="e">
        <f>SUMIFS('caseload data'!Q:Q,'caseload data'!$C:$C,'divisional &amp; regional caseload%'!$B$15,'caseload data'!$D:$D,"PSO")/SUMIF('caseload data'!$C:$C,'divisional &amp; regional caseload%'!$B$15,'caseload data'!Q:Q)</f>
        <v>#DIV/0!</v>
      </c>
      <c r="P18" s="175" t="e">
        <f>SUMIFS('caseload data'!R:R,'caseload data'!$C:$C,'divisional &amp; regional caseload%'!$B$15,'caseload data'!$D:$D,"PSO")/SUMIF('caseload data'!$C:$C,'divisional &amp; regional caseload%'!$B$15,'caseload data'!R:R)</f>
        <v>#DIV/0!</v>
      </c>
      <c r="Q18" s="175" t="e">
        <f>SUMIFS('caseload data'!S:S,'caseload data'!$C:$C,'divisional &amp; regional caseload%'!$B$15,'caseload data'!$D:$D,"PSO")/SUMIF('caseload data'!$C:$C,'divisional &amp; regional caseload%'!$B$15,'caseload data'!S:S)</f>
        <v>#DIV/0!</v>
      </c>
      <c r="R18" s="175" t="e">
        <f>SUMIFS('caseload data'!T:T,'caseload data'!$C:$C,'divisional &amp; regional caseload%'!$B$15,'caseload data'!$D:$D,"PSO")/SUMIF('caseload data'!$C:$C,'divisional &amp; regional caseload%'!$B$15,'caseload data'!T:T)</f>
        <v>#DIV/0!</v>
      </c>
      <c r="S18" s="68"/>
      <c r="T18" s="101" t="s">
        <v>1172</v>
      </c>
      <c r="U18" s="175" t="e">
        <f>SUMIFS('caseload data'!E:E,'caseload data'!$C:$C,'divisional &amp; regional caseload%'!$T$15,'caseload data'!$D:$D,"PSO")/SUMIF('caseload data'!$C:$C,'divisional &amp; regional caseload%'!$T$15,'caseload data'!E:E)</f>
        <v>#DIV/0!</v>
      </c>
      <c r="V18" s="175" t="e">
        <f>SUMIFS('caseload data'!F:F,'caseload data'!$C:$C,'divisional &amp; regional caseload%'!$T$15,'caseload data'!$D:$D,"PSO")/SUMIF('caseload data'!$C:$C,'divisional &amp; regional caseload%'!$T$15,'caseload data'!F:F)</f>
        <v>#DIV/0!</v>
      </c>
      <c r="W18" s="175" t="e">
        <f>SUMIFS('caseload data'!G:G,'caseload data'!$C:$C,'divisional &amp; regional caseload%'!$T$15,'caseload data'!$D:$D,"PSO")/SUMIF('caseload data'!$C:$C,'divisional &amp; regional caseload%'!$T$15,'caseload data'!G:G)</f>
        <v>#DIV/0!</v>
      </c>
      <c r="X18" s="175" t="e">
        <f>SUMIFS('caseload data'!H:H,'caseload data'!$C:$C,'divisional &amp; regional caseload%'!$T$15,'caseload data'!$D:$D,"PSO")/SUMIF('caseload data'!$C:$C,'divisional &amp; regional caseload%'!$T$15,'caseload data'!H:H)</f>
        <v>#DIV/0!</v>
      </c>
      <c r="Y18" s="175" t="e">
        <f>SUMIFS('caseload data'!I:I,'caseload data'!$C:$C,'divisional &amp; regional caseload%'!$T$15,'caseload data'!$D:$D,"PSO")/SUMIF('caseload data'!$C:$C,'divisional &amp; regional caseload%'!$T$15,'caseload data'!I:I)</f>
        <v>#DIV/0!</v>
      </c>
      <c r="Z18" s="175" t="e">
        <f>SUMIFS('caseload data'!J:J,'caseload data'!$C:$C,'divisional &amp; regional caseload%'!$T$15,'caseload data'!$D:$D,"PSO")/SUMIF('caseload data'!$C:$C,'divisional &amp; regional caseload%'!$T$15,'caseload data'!J:J)</f>
        <v>#DIV/0!</v>
      </c>
      <c r="AA18" s="175" t="e">
        <f>SUMIFS('caseload data'!K:K,'caseload data'!$C:$C,'divisional &amp; regional caseload%'!$T$15,'caseload data'!$D:$D,"PSO")/SUMIF('caseload data'!$C:$C,'divisional &amp; regional caseload%'!$T$15,'caseload data'!K:K)</f>
        <v>#DIV/0!</v>
      </c>
      <c r="AB18" s="175" t="e">
        <f>SUMIFS('caseload data'!L:L,'caseload data'!$C:$C,'divisional &amp; regional caseload%'!$T$15,'caseload data'!$D:$D,"PSO")/SUMIF('caseload data'!$C:$C,'divisional &amp; regional caseload%'!$T$15,'caseload data'!L:L)</f>
        <v>#DIV/0!</v>
      </c>
      <c r="AC18" s="175" t="e">
        <f>SUMIFS('caseload data'!M:M,'caseload data'!$C:$C,'divisional &amp; regional caseload%'!$T$15,'caseload data'!$D:$D,"PSO")/SUMIF('caseload data'!$C:$C,'divisional &amp; regional caseload%'!$T$15,'caseload data'!M:M)</f>
        <v>#DIV/0!</v>
      </c>
      <c r="AD18" s="175" t="e">
        <f>SUMIFS('caseload data'!N:N,'caseload data'!$C:$C,'divisional &amp; regional caseload%'!$T$15,'caseload data'!$D:$D,"PSO")/SUMIF('caseload data'!$C:$C,'divisional &amp; regional caseload%'!$T$15,'caseload data'!N:N)</f>
        <v>#DIV/0!</v>
      </c>
      <c r="AE18" s="175" t="e">
        <f>SUMIFS('caseload data'!O:O,'caseload data'!$C:$C,'divisional &amp; regional caseload%'!$T$15,'caseload data'!$D:$D,"PSO")/SUMIF('caseload data'!$C:$C,'divisional &amp; regional caseload%'!$T$15,'caseload data'!O:O)</f>
        <v>#DIV/0!</v>
      </c>
      <c r="AF18" s="175" t="e">
        <f>SUMIFS('caseload data'!P:P,'caseload data'!$C:$C,'divisional &amp; regional caseload%'!$T$15,'caseload data'!$D:$D,"PSO")/SUMIF('caseload data'!$C:$C,'divisional &amp; regional caseload%'!$T$15,'caseload data'!P:P)</f>
        <v>#DIV/0!</v>
      </c>
      <c r="AG18" s="175" t="e">
        <f>SUMIFS('caseload data'!Q:Q,'caseload data'!$C:$C,'divisional &amp; regional caseload%'!$T$15,'caseload data'!$D:$D,"PSO")/SUMIF('caseload data'!$C:$C,'divisional &amp; regional caseload%'!$T$15,'caseload data'!Q:Q)</f>
        <v>#DIV/0!</v>
      </c>
      <c r="AH18" s="175" t="e">
        <f>SUMIFS('caseload data'!R:R,'caseload data'!$C:$C,'divisional &amp; regional caseload%'!$T$15,'caseload data'!$D:$D,"PSO")/SUMIF('caseload data'!$C:$C,'divisional &amp; regional caseload%'!$T$15,'caseload data'!R:R)</f>
        <v>#DIV/0!</v>
      </c>
      <c r="AI18" s="175" t="e">
        <f>SUMIFS('caseload data'!S:S,'caseload data'!$C:$C,'divisional &amp; regional caseload%'!$T$15,'caseload data'!$D:$D,"PSO")/SUMIF('caseload data'!$C:$C,'divisional &amp; regional caseload%'!$T$15,'caseload data'!S:S)</f>
        <v>#DIV/0!</v>
      </c>
      <c r="AJ18" s="175" t="e">
        <f>SUMIFS('caseload data'!T:T,'caseload data'!$C:$C,'divisional &amp; regional caseload%'!$T$15,'caseload data'!$D:$D,"PSO")/SUMIF('caseload data'!$C:$C,'divisional &amp; regional caseload%'!$T$15,'caseload data'!T:T)</f>
        <v>#DIV/0!</v>
      </c>
    </row>
    <row r="19" spans="2:36" x14ac:dyDescent="0.15">
      <c r="B19" s="101" t="s">
        <v>1173</v>
      </c>
      <c r="C19" s="175" t="e">
        <f>SUMIFS('caseload data'!E:E,'caseload data'!$C:$C,'divisional &amp; regional caseload%'!$B$15,'caseload data'!$D:$D,"TPO")/SUMIF('caseload data'!$C:$C,'divisional &amp; regional caseload%'!$B$15,'caseload data'!E:E)</f>
        <v>#DIV/0!</v>
      </c>
      <c r="D19" s="175" t="e">
        <f>SUMIFS('caseload data'!F:F,'caseload data'!$C:$C,'divisional &amp; regional caseload%'!$B$15,'caseload data'!$D:$D,"TPO")/SUMIF('caseload data'!$C:$C,'divisional &amp; regional caseload%'!$B$15,'caseload data'!F:F)</f>
        <v>#DIV/0!</v>
      </c>
      <c r="E19" s="175" t="e">
        <f>SUMIFS('caseload data'!G:G,'caseload data'!$C:$C,'divisional &amp; regional caseload%'!$B$15,'caseload data'!$D:$D,"TPO")/SUMIF('caseload data'!$C:$C,'divisional &amp; regional caseload%'!$B$15,'caseload data'!G:G)</f>
        <v>#DIV/0!</v>
      </c>
      <c r="F19" s="175" t="e">
        <f>SUMIFS('caseload data'!H:H,'caseload data'!$C:$C,'divisional &amp; regional caseload%'!$B$15,'caseload data'!$D:$D,"TPO")/SUMIF('caseload data'!$C:$C,'divisional &amp; regional caseload%'!$B$15,'caseload data'!H:H)</f>
        <v>#DIV/0!</v>
      </c>
      <c r="G19" s="175" t="e">
        <f>SUMIFS('caseload data'!I:I,'caseload data'!$C:$C,'divisional &amp; regional caseload%'!$B$15,'caseload data'!$D:$D,"TPO")/SUMIF('caseload data'!$C:$C,'divisional &amp; regional caseload%'!$B$15,'caseload data'!I:I)</f>
        <v>#DIV/0!</v>
      </c>
      <c r="H19" s="175" t="e">
        <f>SUMIFS('caseload data'!J:J,'caseload data'!$C:$C,'divisional &amp; regional caseload%'!$B$15,'caseload data'!$D:$D,"TPO")/SUMIF('caseload data'!$C:$C,'divisional &amp; regional caseload%'!$B$15,'caseload data'!J:J)</f>
        <v>#DIV/0!</v>
      </c>
      <c r="I19" s="175" t="e">
        <f>SUMIFS('caseload data'!K:K,'caseload data'!$C:$C,'divisional &amp; regional caseload%'!$B$15,'caseload data'!$D:$D,"TPO")/SUMIF('caseload data'!$C:$C,'divisional &amp; regional caseload%'!$B$15,'caseload data'!K:K)</f>
        <v>#DIV/0!</v>
      </c>
      <c r="J19" s="175" t="e">
        <f>SUMIFS('caseload data'!L:L,'caseload data'!$C:$C,'divisional &amp; regional caseload%'!$B$15,'caseload data'!$D:$D,"TPO")/SUMIF('caseload data'!$C:$C,'divisional &amp; regional caseload%'!$B$15,'caseload data'!L:L)</f>
        <v>#DIV/0!</v>
      </c>
      <c r="K19" s="175" t="e">
        <f>SUMIFS('caseload data'!M:M,'caseload data'!$C:$C,'divisional &amp; regional caseload%'!$B$15,'caseload data'!$D:$D,"TPO")/SUMIF('caseload data'!$C:$C,'divisional &amp; regional caseload%'!$B$15,'caseload data'!M:M)</f>
        <v>#DIV/0!</v>
      </c>
      <c r="L19" s="175" t="e">
        <f>SUMIFS('caseload data'!N:N,'caseload data'!$C:$C,'divisional &amp; regional caseload%'!$B$15,'caseload data'!$D:$D,"TPO")/SUMIF('caseload data'!$C:$C,'divisional &amp; regional caseload%'!$B$15,'caseload data'!N:N)</f>
        <v>#DIV/0!</v>
      </c>
      <c r="M19" s="175" t="e">
        <f>SUMIFS('caseload data'!O:O,'caseload data'!$C:$C,'divisional &amp; regional caseload%'!$B$15,'caseload data'!$D:$D,"TPO")/SUMIF('caseload data'!$C:$C,'divisional &amp; regional caseload%'!$B$15,'caseload data'!O:O)</f>
        <v>#DIV/0!</v>
      </c>
      <c r="N19" s="175" t="e">
        <f>SUMIFS('caseload data'!P:P,'caseload data'!$C:$C,'divisional &amp; regional caseload%'!$B$15,'caseload data'!$D:$D,"TPO")/SUMIF('caseload data'!$C:$C,'divisional &amp; regional caseload%'!$B$15,'caseload data'!P:P)</f>
        <v>#DIV/0!</v>
      </c>
      <c r="O19" s="175" t="e">
        <f>SUMIFS('caseload data'!Q:Q,'caseload data'!$C:$C,'divisional &amp; regional caseload%'!$B$15,'caseload data'!$D:$D,"TPO")/SUMIF('caseload data'!$C:$C,'divisional &amp; regional caseload%'!$B$15,'caseload data'!Q:Q)</f>
        <v>#DIV/0!</v>
      </c>
      <c r="P19" s="175" t="e">
        <f>SUMIFS('caseload data'!R:R,'caseload data'!$C:$C,'divisional &amp; regional caseload%'!$B$15,'caseload data'!$D:$D,"TPO")/SUMIF('caseload data'!$C:$C,'divisional &amp; regional caseload%'!$B$15,'caseload data'!R:R)</f>
        <v>#DIV/0!</v>
      </c>
      <c r="Q19" s="175" t="e">
        <f>SUMIFS('caseload data'!S:S,'caseload data'!$C:$C,'divisional &amp; regional caseload%'!$B$15,'caseload data'!$D:$D,"TPO")/SUMIF('caseload data'!$C:$C,'divisional &amp; regional caseload%'!$B$15,'caseload data'!S:S)</f>
        <v>#DIV/0!</v>
      </c>
      <c r="R19" s="175" t="e">
        <f>SUMIFS('caseload data'!T:T,'caseload data'!$C:$C,'divisional &amp; regional caseload%'!$B$15,'caseload data'!$D:$D,"TPO")/SUMIF('caseload data'!$C:$C,'divisional &amp; regional caseload%'!$B$15,'caseload data'!T:T)</f>
        <v>#DIV/0!</v>
      </c>
      <c r="S19" s="68"/>
      <c r="T19" s="101" t="s">
        <v>1173</v>
      </c>
      <c r="U19" s="175" t="e">
        <f>SUMIFS('caseload data'!E:E,'caseload data'!$C:$C,'divisional &amp; regional caseload%'!$T$15,'caseload data'!$D:$D,"TPO")/SUMIF('caseload data'!$C:$C,'divisional &amp; regional caseload%'!$T$15,'caseload data'!E:E)</f>
        <v>#DIV/0!</v>
      </c>
      <c r="V19" s="175" t="e">
        <f>SUMIFS('caseload data'!F:F,'caseload data'!$C:$C,'divisional &amp; regional caseload%'!$T$15,'caseload data'!$D:$D,"TPO")/SUMIF('caseload data'!$C:$C,'divisional &amp; regional caseload%'!$T$15,'caseload data'!F:F)</f>
        <v>#DIV/0!</v>
      </c>
      <c r="W19" s="175" t="e">
        <f>SUMIFS('caseload data'!G:G,'caseload data'!$C:$C,'divisional &amp; regional caseload%'!$T$15,'caseload data'!$D:$D,"TPO")/SUMIF('caseload data'!$C:$C,'divisional &amp; regional caseload%'!$T$15,'caseload data'!G:G)</f>
        <v>#DIV/0!</v>
      </c>
      <c r="X19" s="175" t="e">
        <f>SUMIFS('caseload data'!H:H,'caseload data'!$C:$C,'divisional &amp; regional caseload%'!$T$15,'caseload data'!$D:$D,"TPO")/SUMIF('caseload data'!$C:$C,'divisional &amp; regional caseload%'!$T$15,'caseload data'!H:H)</f>
        <v>#DIV/0!</v>
      </c>
      <c r="Y19" s="175" t="e">
        <f>SUMIFS('caseload data'!I:I,'caseload data'!$C:$C,'divisional &amp; regional caseload%'!$T$15,'caseload data'!$D:$D,"TPO")/SUMIF('caseload data'!$C:$C,'divisional &amp; regional caseload%'!$T$15,'caseload data'!I:I)</f>
        <v>#DIV/0!</v>
      </c>
      <c r="Z19" s="175" t="e">
        <f>SUMIFS('caseload data'!J:J,'caseload data'!$C:$C,'divisional &amp; regional caseload%'!$T$15,'caseload data'!$D:$D,"TPO")/SUMIF('caseload data'!$C:$C,'divisional &amp; regional caseload%'!$T$15,'caseload data'!J:J)</f>
        <v>#DIV/0!</v>
      </c>
      <c r="AA19" s="175" t="e">
        <f>SUMIFS('caseload data'!K:K,'caseload data'!$C:$C,'divisional &amp; regional caseload%'!$T$15,'caseload data'!$D:$D,"TPO")/SUMIF('caseload data'!$C:$C,'divisional &amp; regional caseload%'!$T$15,'caseload data'!K:K)</f>
        <v>#DIV/0!</v>
      </c>
      <c r="AB19" s="175" t="e">
        <f>SUMIFS('caseload data'!L:L,'caseload data'!$C:$C,'divisional &amp; regional caseload%'!$T$15,'caseload data'!$D:$D,"TPO")/SUMIF('caseload data'!$C:$C,'divisional &amp; regional caseload%'!$T$15,'caseload data'!L:L)</f>
        <v>#DIV/0!</v>
      </c>
      <c r="AC19" s="175" t="e">
        <f>SUMIFS('caseload data'!M:M,'caseload data'!$C:$C,'divisional &amp; regional caseload%'!$T$15,'caseload data'!$D:$D,"TPO")/SUMIF('caseload data'!$C:$C,'divisional &amp; regional caseload%'!$T$15,'caseload data'!M:M)</f>
        <v>#DIV/0!</v>
      </c>
      <c r="AD19" s="175" t="e">
        <f>SUMIFS('caseload data'!N:N,'caseload data'!$C:$C,'divisional &amp; regional caseload%'!$T$15,'caseload data'!$D:$D,"TPO")/SUMIF('caseload data'!$C:$C,'divisional &amp; regional caseload%'!$T$15,'caseload data'!N:N)</f>
        <v>#DIV/0!</v>
      </c>
      <c r="AE19" s="175" t="e">
        <f>SUMIFS('caseload data'!O:O,'caseload data'!$C:$C,'divisional &amp; regional caseload%'!$T$15,'caseload data'!$D:$D,"TPO")/SUMIF('caseload data'!$C:$C,'divisional &amp; regional caseload%'!$T$15,'caseload data'!O:O)</f>
        <v>#DIV/0!</v>
      </c>
      <c r="AF19" s="175" t="e">
        <f>SUMIFS('caseload data'!P:P,'caseload data'!$C:$C,'divisional &amp; regional caseload%'!$T$15,'caseload data'!$D:$D,"TPO")/SUMIF('caseload data'!$C:$C,'divisional &amp; regional caseload%'!$T$15,'caseload data'!P:P)</f>
        <v>#DIV/0!</v>
      </c>
      <c r="AG19" s="175" t="e">
        <f>SUMIFS('caseload data'!Q:Q,'caseload data'!$C:$C,'divisional &amp; regional caseload%'!$T$15,'caseload data'!$D:$D,"TPO")/SUMIF('caseload data'!$C:$C,'divisional &amp; regional caseload%'!$T$15,'caseload data'!Q:Q)</f>
        <v>#DIV/0!</v>
      </c>
      <c r="AH19" s="175" t="e">
        <f>SUMIFS('caseload data'!R:R,'caseload data'!$C:$C,'divisional &amp; regional caseload%'!$T$15,'caseload data'!$D:$D,"TPO")/SUMIF('caseload data'!$C:$C,'divisional &amp; regional caseload%'!$T$15,'caseload data'!R:R)</f>
        <v>#DIV/0!</v>
      </c>
      <c r="AI19" s="175" t="e">
        <f>SUMIFS('caseload data'!S:S,'caseload data'!$C:$C,'divisional &amp; regional caseload%'!$T$15,'caseload data'!$D:$D,"TPO")/SUMIF('caseload data'!$C:$C,'divisional &amp; regional caseload%'!$T$15,'caseload data'!S:S)</f>
        <v>#DIV/0!</v>
      </c>
      <c r="AJ19" s="175" t="e">
        <f>SUMIFS('caseload data'!T:T,'caseload data'!$C:$C,'divisional &amp; regional caseload%'!$T$15,'caseload data'!$D:$D,"TPO")/SUMIF('caseload data'!$C:$C,'divisional &amp; regional caseload%'!$T$15,'caseload data'!T:T)</f>
        <v>#DIV/0!</v>
      </c>
    </row>
    <row r="20" spans="2:36" x14ac:dyDescent="0.15">
      <c r="B20" s="102" t="s">
        <v>1174</v>
      </c>
      <c r="C20" s="175" t="e">
        <f>SUMIFS('caseload data'!E:E,'caseload data'!$C:$C,'divisional &amp; regional caseload%'!$B$15,'caseload data'!$D:$D,"SPO")/SUMIF('caseload data'!$C:$C,'divisional &amp; regional caseload%'!$B$15,'caseload data'!E:E)</f>
        <v>#DIV/0!</v>
      </c>
      <c r="D20" s="175" t="e">
        <f>SUMIFS('caseload data'!F:F,'caseload data'!$C:$C,'divisional &amp; regional caseload%'!$B$15,'caseload data'!$D:$D,"SPO")/SUMIF('caseload data'!$C:$C,'divisional &amp; regional caseload%'!$B$15,'caseload data'!F:F)</f>
        <v>#DIV/0!</v>
      </c>
      <c r="E20" s="175" t="e">
        <f>SUMIFS('caseload data'!G:G,'caseload data'!$C:$C,'divisional &amp; regional caseload%'!$B$15,'caseload data'!$D:$D,"SPO")/SUMIF('caseload data'!$C:$C,'divisional &amp; regional caseload%'!$B$15,'caseload data'!G:G)</f>
        <v>#DIV/0!</v>
      </c>
      <c r="F20" s="175" t="e">
        <f>SUMIFS('caseload data'!H:H,'caseload data'!$C:$C,'divisional &amp; regional caseload%'!$B$15,'caseload data'!$D:$D,"SPO")/SUMIF('caseload data'!$C:$C,'divisional &amp; regional caseload%'!$B$15,'caseload data'!H:H)</f>
        <v>#DIV/0!</v>
      </c>
      <c r="G20" s="175" t="e">
        <f>SUMIFS('caseload data'!I:I,'caseload data'!$C:$C,'divisional &amp; regional caseload%'!$B$15,'caseload data'!$D:$D,"SPO")/SUMIF('caseload data'!$C:$C,'divisional &amp; regional caseload%'!$B$15,'caseload data'!I:I)</f>
        <v>#DIV/0!</v>
      </c>
      <c r="H20" s="175" t="e">
        <f>SUMIFS('caseload data'!J:J,'caseload data'!$C:$C,'divisional &amp; regional caseload%'!$B$15,'caseload data'!$D:$D,"SPO")/SUMIF('caseload data'!$C:$C,'divisional &amp; regional caseload%'!$B$15,'caseload data'!J:J)</f>
        <v>#DIV/0!</v>
      </c>
      <c r="I20" s="175" t="e">
        <f>SUMIFS('caseload data'!K:K,'caseload data'!$C:$C,'divisional &amp; regional caseload%'!$B$15,'caseload data'!$D:$D,"SPO")/SUMIF('caseload data'!$C:$C,'divisional &amp; regional caseload%'!$B$15,'caseload data'!K:K)</f>
        <v>#DIV/0!</v>
      </c>
      <c r="J20" s="175" t="e">
        <f>SUMIFS('caseload data'!L:L,'caseload data'!$C:$C,'divisional &amp; regional caseload%'!$B$15,'caseload data'!$D:$D,"SPO")/SUMIF('caseload data'!$C:$C,'divisional &amp; regional caseload%'!$B$15,'caseload data'!L:L)</f>
        <v>#DIV/0!</v>
      </c>
      <c r="K20" s="175" t="e">
        <f>SUMIFS('caseload data'!M:M,'caseload data'!$C:$C,'divisional &amp; regional caseload%'!$B$15,'caseload data'!$D:$D,"SPO")/SUMIF('caseload data'!$C:$C,'divisional &amp; regional caseload%'!$B$15,'caseload data'!M:M)</f>
        <v>#DIV/0!</v>
      </c>
      <c r="L20" s="175" t="e">
        <f>SUMIFS('caseload data'!N:N,'caseload data'!$C:$C,'divisional &amp; regional caseload%'!$B$15,'caseload data'!$D:$D,"SPO")/SUMIF('caseload data'!$C:$C,'divisional &amp; regional caseload%'!$B$15,'caseload data'!N:N)</f>
        <v>#DIV/0!</v>
      </c>
      <c r="M20" s="175" t="e">
        <f>SUMIFS('caseload data'!O:O,'caseload data'!$C:$C,'divisional &amp; regional caseload%'!$B$15,'caseload data'!$D:$D,"SPO")/SUMIF('caseload data'!$C:$C,'divisional &amp; regional caseload%'!$B$15,'caseload data'!O:O)</f>
        <v>#DIV/0!</v>
      </c>
      <c r="N20" s="175" t="e">
        <f>SUMIFS('caseload data'!P:P,'caseload data'!$C:$C,'divisional &amp; regional caseload%'!$B$15,'caseload data'!$D:$D,"SPO")/SUMIF('caseload data'!$C:$C,'divisional &amp; regional caseload%'!$B$15,'caseload data'!P:P)</f>
        <v>#DIV/0!</v>
      </c>
      <c r="O20" s="175" t="e">
        <f>SUMIFS('caseload data'!Q:Q,'caseload data'!$C:$C,'divisional &amp; regional caseload%'!$B$15,'caseload data'!$D:$D,"SPO")/SUMIF('caseload data'!$C:$C,'divisional &amp; regional caseload%'!$B$15,'caseload data'!Q:Q)</f>
        <v>#DIV/0!</v>
      </c>
      <c r="P20" s="175" t="e">
        <f>SUMIFS('caseload data'!R:R,'caseload data'!$C:$C,'divisional &amp; regional caseload%'!$B$15,'caseload data'!$D:$D,"SPO")/SUMIF('caseload data'!$C:$C,'divisional &amp; regional caseload%'!$B$15,'caseload data'!R:R)</f>
        <v>#DIV/0!</v>
      </c>
      <c r="Q20" s="175" t="e">
        <f>SUMIFS('caseload data'!S:S,'caseload data'!$C:$C,'divisional &amp; regional caseload%'!$B$15,'caseload data'!$D:$D,"SPO")/SUMIF('caseload data'!$C:$C,'divisional &amp; regional caseload%'!$B$15,'caseload data'!S:S)</f>
        <v>#DIV/0!</v>
      </c>
      <c r="R20" s="175" t="e">
        <f>SUMIFS('caseload data'!T:T,'caseload data'!$C:$C,'divisional &amp; regional caseload%'!$B$15,'caseload data'!$D:$D,"SPO")/SUMIF('caseload data'!$C:$C,'divisional &amp; regional caseload%'!$B$15,'caseload data'!T:T)</f>
        <v>#DIV/0!</v>
      </c>
      <c r="S20" s="68"/>
      <c r="T20" s="102" t="s">
        <v>1174</v>
      </c>
      <c r="U20" s="175" t="e">
        <f>SUMIFS('caseload data'!E:E,'caseload data'!$C:$C,'divisional &amp; regional caseload%'!$T$15,'caseload data'!$D:$D,"SPO")/SUMIF('caseload data'!$C:$C,'divisional &amp; regional caseload%'!$T$15,'caseload data'!E:E)</f>
        <v>#DIV/0!</v>
      </c>
      <c r="V20" s="175" t="e">
        <f>SUMIFS('caseload data'!F:F,'caseload data'!$C:$C,'divisional &amp; regional caseload%'!$T$15,'caseload data'!$D:$D,"SPO")/SUMIF('caseload data'!$C:$C,'divisional &amp; regional caseload%'!$T$15,'caseload data'!F:F)</f>
        <v>#DIV/0!</v>
      </c>
      <c r="W20" s="175" t="e">
        <f>SUMIFS('caseload data'!G:G,'caseload data'!$C:$C,'divisional &amp; regional caseload%'!$T$15,'caseload data'!$D:$D,"SPO")/SUMIF('caseload data'!$C:$C,'divisional &amp; regional caseload%'!$T$15,'caseload data'!G:G)</f>
        <v>#DIV/0!</v>
      </c>
      <c r="X20" s="175" t="e">
        <f>SUMIFS('caseload data'!H:H,'caseload data'!$C:$C,'divisional &amp; regional caseload%'!$T$15,'caseload data'!$D:$D,"SPO")/SUMIF('caseload data'!$C:$C,'divisional &amp; regional caseload%'!$T$15,'caseload data'!H:H)</f>
        <v>#DIV/0!</v>
      </c>
      <c r="Y20" s="175" t="e">
        <f>SUMIFS('caseload data'!I:I,'caseload data'!$C:$C,'divisional &amp; regional caseload%'!$T$15,'caseload data'!$D:$D,"SPO")/SUMIF('caseload data'!$C:$C,'divisional &amp; regional caseload%'!$T$15,'caseload data'!I:I)</f>
        <v>#DIV/0!</v>
      </c>
      <c r="Z20" s="175" t="e">
        <f>SUMIFS('caseload data'!J:J,'caseload data'!$C:$C,'divisional &amp; regional caseload%'!$T$15,'caseload data'!$D:$D,"SPO")/SUMIF('caseload data'!$C:$C,'divisional &amp; regional caseload%'!$T$15,'caseload data'!J:J)</f>
        <v>#DIV/0!</v>
      </c>
      <c r="AA20" s="175" t="e">
        <f>SUMIFS('caseload data'!K:K,'caseload data'!$C:$C,'divisional &amp; regional caseload%'!$T$15,'caseload data'!$D:$D,"SPO")/SUMIF('caseload data'!$C:$C,'divisional &amp; regional caseload%'!$T$15,'caseload data'!K:K)</f>
        <v>#DIV/0!</v>
      </c>
      <c r="AB20" s="175" t="e">
        <f>SUMIFS('caseload data'!L:L,'caseload data'!$C:$C,'divisional &amp; regional caseload%'!$T$15,'caseload data'!$D:$D,"SPO")/SUMIF('caseload data'!$C:$C,'divisional &amp; regional caseload%'!$T$15,'caseload data'!L:L)</f>
        <v>#DIV/0!</v>
      </c>
      <c r="AC20" s="175" t="e">
        <f>SUMIFS('caseload data'!M:M,'caseload data'!$C:$C,'divisional &amp; regional caseload%'!$T$15,'caseload data'!$D:$D,"SPO")/SUMIF('caseload data'!$C:$C,'divisional &amp; regional caseload%'!$T$15,'caseload data'!M:M)</f>
        <v>#DIV/0!</v>
      </c>
      <c r="AD20" s="175" t="e">
        <f>SUMIFS('caseload data'!N:N,'caseload data'!$C:$C,'divisional &amp; regional caseload%'!$T$15,'caseload data'!$D:$D,"SPO")/SUMIF('caseload data'!$C:$C,'divisional &amp; regional caseload%'!$T$15,'caseload data'!N:N)</f>
        <v>#DIV/0!</v>
      </c>
      <c r="AE20" s="175" t="e">
        <f>SUMIFS('caseload data'!O:O,'caseload data'!$C:$C,'divisional &amp; regional caseload%'!$T$15,'caseload data'!$D:$D,"SPO")/SUMIF('caseload data'!$C:$C,'divisional &amp; regional caseload%'!$T$15,'caseload data'!O:O)</f>
        <v>#DIV/0!</v>
      </c>
      <c r="AF20" s="175" t="e">
        <f>SUMIFS('caseload data'!P:P,'caseload data'!$C:$C,'divisional &amp; regional caseload%'!$T$15,'caseload data'!$D:$D,"SPO")/SUMIF('caseload data'!$C:$C,'divisional &amp; regional caseload%'!$T$15,'caseload data'!P:P)</f>
        <v>#DIV/0!</v>
      </c>
      <c r="AG20" s="175" t="e">
        <f>SUMIFS('caseload data'!Q:Q,'caseload data'!$C:$C,'divisional &amp; regional caseload%'!$T$15,'caseload data'!$D:$D,"SPO")/SUMIF('caseload data'!$C:$C,'divisional &amp; regional caseload%'!$T$15,'caseload data'!Q:Q)</f>
        <v>#DIV/0!</v>
      </c>
      <c r="AH20" s="175" t="e">
        <f>SUMIFS('caseload data'!R:R,'caseload data'!$C:$C,'divisional &amp; regional caseload%'!$T$15,'caseload data'!$D:$D,"SPO")/SUMIF('caseload data'!$C:$C,'divisional &amp; regional caseload%'!$T$15,'caseload data'!R:R)</f>
        <v>#DIV/0!</v>
      </c>
      <c r="AI20" s="175" t="e">
        <f>SUMIFS('caseload data'!S:S,'caseload data'!$C:$C,'divisional &amp; regional caseload%'!$T$15,'caseload data'!$D:$D,"SPO")/SUMIF('caseload data'!$C:$C,'divisional &amp; regional caseload%'!$T$15,'caseload data'!S:S)</f>
        <v>#DIV/0!</v>
      </c>
      <c r="AJ20" s="175" t="e">
        <f>SUMIFS('caseload data'!T:T,'caseload data'!$C:$C,'divisional &amp; regional caseload%'!$T$15,'caseload data'!$D:$D,"SPO")/SUMIF('caseload data'!$C:$C,'divisional &amp; regional caseload%'!$T$15,'caseload data'!T:T)</f>
        <v>#DIV/0!</v>
      </c>
    </row>
    <row r="21" spans="2:36" x14ac:dyDescent="0.15">
      <c r="B21" s="95"/>
      <c r="C21" s="68"/>
      <c r="D21" s="68"/>
      <c r="E21" s="68"/>
      <c r="F21" s="68"/>
      <c r="G21" s="68"/>
      <c r="H21" s="68"/>
      <c r="I21" s="68"/>
      <c r="J21" s="68"/>
      <c r="K21" s="68"/>
      <c r="L21" s="68"/>
      <c r="M21" s="68"/>
      <c r="N21" s="68"/>
      <c r="O21" s="68"/>
      <c r="P21" s="68"/>
      <c r="Q21" s="68"/>
      <c r="R21" s="68"/>
      <c r="S21" s="68"/>
      <c r="T21" s="95"/>
      <c r="U21" s="68"/>
      <c r="V21" s="68"/>
      <c r="W21" s="68"/>
      <c r="X21" s="68"/>
      <c r="Y21" s="68"/>
      <c r="Z21" s="68"/>
      <c r="AA21" s="68"/>
      <c r="AB21" s="68"/>
      <c r="AC21" s="68"/>
      <c r="AD21" s="68"/>
      <c r="AE21" s="68"/>
      <c r="AF21" s="68"/>
      <c r="AG21" s="68"/>
      <c r="AH21" s="68"/>
      <c r="AI21" s="68"/>
      <c r="AJ21" s="68"/>
    </row>
    <row r="22" spans="2:36" ht="30.75" customHeight="1" x14ac:dyDescent="0.15">
      <c r="B22" s="302" t="str">
        <f>HLOOKUP($B$5,Region_Table,6,0)</f>
        <v>Inactive Level 2(N03)</v>
      </c>
      <c r="C22" s="475" t="s">
        <v>1275</v>
      </c>
      <c r="D22" s="476"/>
      <c r="E22" s="476"/>
      <c r="F22" s="476"/>
      <c r="G22" s="476"/>
      <c r="H22" s="476"/>
      <c r="I22" s="476"/>
      <c r="J22" s="476"/>
      <c r="K22" s="476"/>
      <c r="L22" s="476"/>
      <c r="M22" s="477"/>
      <c r="N22" s="477"/>
      <c r="O22" s="478"/>
      <c r="P22" s="462">
        <f>SUMIF('caseload data'!$C:$C,'divisional &amp; regional caseload%'!B22,'caseload data'!V:V)</f>
        <v>0</v>
      </c>
      <c r="Q22" s="479"/>
      <c r="R22" s="480"/>
      <c r="S22" s="68"/>
      <c r="T22" s="302" t="str">
        <f>HLOOKUP($B$5,Region_Table,7,0)</f>
        <v>North Wales</v>
      </c>
      <c r="U22" s="475" t="s">
        <v>1275</v>
      </c>
      <c r="V22" s="476"/>
      <c r="W22" s="476"/>
      <c r="X22" s="476"/>
      <c r="Y22" s="476"/>
      <c r="Z22" s="476"/>
      <c r="AA22" s="476"/>
      <c r="AB22" s="476"/>
      <c r="AC22" s="476"/>
      <c r="AD22" s="476"/>
      <c r="AE22" s="477"/>
      <c r="AF22" s="477"/>
      <c r="AG22" s="478"/>
      <c r="AH22" s="462">
        <f>SUMIF('caseload data'!$C:$C,'divisional &amp; regional caseload%'!T22,'caseload data'!V:V)</f>
        <v>0</v>
      </c>
      <c r="AI22" s="479"/>
      <c r="AJ22" s="480"/>
    </row>
    <row r="23" spans="2:36" x14ac:dyDescent="0.15">
      <c r="B23" s="99" t="s">
        <v>1171</v>
      </c>
      <c r="C23" s="40" t="s">
        <v>1022</v>
      </c>
      <c r="D23" s="40" t="s">
        <v>1023</v>
      </c>
      <c r="E23" s="40" t="s">
        <v>1024</v>
      </c>
      <c r="F23" s="40" t="s">
        <v>1025</v>
      </c>
      <c r="G23" s="40" t="s">
        <v>1026</v>
      </c>
      <c r="H23" s="40" t="s">
        <v>1027</v>
      </c>
      <c r="I23" s="40" t="s">
        <v>1028</v>
      </c>
      <c r="J23" s="40" t="s">
        <v>1029</v>
      </c>
      <c r="K23" s="40" t="s">
        <v>1030</v>
      </c>
      <c r="L23" s="40" t="s">
        <v>1031</v>
      </c>
      <c r="M23" s="40" t="s">
        <v>1032</v>
      </c>
      <c r="N23" s="40" t="s">
        <v>1033</v>
      </c>
      <c r="O23" s="40" t="s">
        <v>1034</v>
      </c>
      <c r="P23" s="40" t="s">
        <v>1035</v>
      </c>
      <c r="Q23" s="40" t="s">
        <v>1036</v>
      </c>
      <c r="R23" s="40" t="s">
        <v>1037</v>
      </c>
      <c r="S23" s="68"/>
      <c r="T23" s="99" t="s">
        <v>1171</v>
      </c>
      <c r="U23" s="40" t="s">
        <v>1022</v>
      </c>
      <c r="V23" s="40" t="s">
        <v>1023</v>
      </c>
      <c r="W23" s="40" t="s">
        <v>1024</v>
      </c>
      <c r="X23" s="40" t="s">
        <v>1025</v>
      </c>
      <c r="Y23" s="40" t="s">
        <v>1026</v>
      </c>
      <c r="Z23" s="40" t="s">
        <v>1027</v>
      </c>
      <c r="AA23" s="40" t="s">
        <v>1028</v>
      </c>
      <c r="AB23" s="40" t="s">
        <v>1029</v>
      </c>
      <c r="AC23" s="40" t="s">
        <v>1030</v>
      </c>
      <c r="AD23" s="40" t="s">
        <v>1031</v>
      </c>
      <c r="AE23" s="40" t="s">
        <v>1032</v>
      </c>
      <c r="AF23" s="40" t="s">
        <v>1033</v>
      </c>
      <c r="AG23" s="40" t="s">
        <v>1034</v>
      </c>
      <c r="AH23" s="40" t="s">
        <v>1035</v>
      </c>
      <c r="AI23" s="40" t="s">
        <v>1036</v>
      </c>
      <c r="AJ23" s="40" t="s">
        <v>1037</v>
      </c>
    </row>
    <row r="24" spans="2:36" x14ac:dyDescent="0.15">
      <c r="B24" s="100" t="s">
        <v>1166</v>
      </c>
      <c r="C24" s="175" t="e">
        <f>SUMIFS('caseload data'!E:E,'caseload data'!$C:$C,'divisional &amp; regional caseload%'!$B$22,'caseload data'!$D:$D,"PO")/SUMIF('caseload data'!$C:$C,'divisional &amp; regional caseload%'!$B$22,'caseload data'!E:E)</f>
        <v>#DIV/0!</v>
      </c>
      <c r="D24" s="175" t="e">
        <f>SUMIFS('caseload data'!F:F,'caseload data'!$C:$C,'divisional &amp; regional caseload%'!$B$22,'caseload data'!$D:$D,"PO")/SUMIF('caseload data'!$C:$C,'divisional &amp; regional caseload%'!$B$22,'caseload data'!F:F)</f>
        <v>#DIV/0!</v>
      </c>
      <c r="E24" s="175" t="e">
        <f>SUMIFS('caseload data'!G:G,'caseload data'!$C:$C,'divisional &amp; regional caseload%'!$B$22,'caseload data'!$D:$D,"PO")/SUMIF('caseload data'!$C:$C,'divisional &amp; regional caseload%'!$B$22,'caseload data'!G:G)</f>
        <v>#DIV/0!</v>
      </c>
      <c r="F24" s="175" t="e">
        <f>SUMIFS('caseload data'!H:H,'caseload data'!$C:$C,'divisional &amp; regional caseload%'!$B$22,'caseload data'!$D:$D,"PO")/SUMIF('caseload data'!$C:$C,'divisional &amp; regional caseload%'!$B$22,'caseload data'!H:H)</f>
        <v>#DIV/0!</v>
      </c>
      <c r="G24" s="175" t="e">
        <f>SUMIFS('caseload data'!I:I,'caseload data'!$C:$C,'divisional &amp; regional caseload%'!$B$22,'caseload data'!$D:$D,"PO")/SUMIF('caseload data'!$C:$C,'divisional &amp; regional caseload%'!$B$22,'caseload data'!I:I)</f>
        <v>#DIV/0!</v>
      </c>
      <c r="H24" s="175" t="e">
        <f>SUMIFS('caseload data'!J:J,'caseload data'!$C:$C,'divisional &amp; regional caseload%'!$B$22,'caseload data'!$D:$D,"PO")/SUMIF('caseload data'!$C:$C,'divisional &amp; regional caseload%'!$B$22,'caseload data'!J:J)</f>
        <v>#DIV/0!</v>
      </c>
      <c r="I24" s="175" t="e">
        <f>SUMIFS('caseload data'!K:K,'caseload data'!$C:$C,'divisional &amp; regional caseload%'!$B$22,'caseload data'!$D:$D,"PO")/SUMIF('caseload data'!$C:$C,'divisional &amp; regional caseload%'!$B$22,'caseload data'!K:K)</f>
        <v>#DIV/0!</v>
      </c>
      <c r="J24" s="175" t="e">
        <f>SUMIFS('caseload data'!L:L,'caseload data'!$C:$C,'divisional &amp; regional caseload%'!$B$22,'caseload data'!$D:$D,"PO")/SUMIF('caseload data'!$C:$C,'divisional &amp; regional caseload%'!$B$22,'caseload data'!L:L)</f>
        <v>#DIV/0!</v>
      </c>
      <c r="K24" s="175" t="e">
        <f>SUMIFS('caseload data'!M:M,'caseload data'!$C:$C,'divisional &amp; regional caseload%'!$B$22,'caseload data'!$D:$D,"PO")/SUMIF('caseload data'!$C:$C,'divisional &amp; regional caseload%'!$B$22,'caseload data'!M:M)</f>
        <v>#DIV/0!</v>
      </c>
      <c r="L24" s="175" t="e">
        <f>SUMIFS('caseload data'!N:N,'caseload data'!$C:$C,'divisional &amp; regional caseload%'!$B$22,'caseload data'!$D:$D,"PO")/SUMIF('caseload data'!$C:$C,'divisional &amp; regional caseload%'!$B$22,'caseload data'!N:N)</f>
        <v>#DIV/0!</v>
      </c>
      <c r="M24" s="175" t="e">
        <f>SUMIFS('caseload data'!O:O,'caseload data'!$C:$C,'divisional &amp; regional caseload%'!$B$22,'caseload data'!$D:$D,"PO")/SUMIF('caseload data'!$C:$C,'divisional &amp; regional caseload%'!$B$22,'caseload data'!O:O)</f>
        <v>#DIV/0!</v>
      </c>
      <c r="N24" s="175" t="e">
        <f>SUMIFS('caseload data'!P:P,'caseload data'!$C:$C,'divisional &amp; regional caseload%'!$B$22,'caseload data'!$D:$D,"PO")/SUMIF('caseload data'!$C:$C,'divisional &amp; regional caseload%'!$B$22,'caseload data'!P:P)</f>
        <v>#DIV/0!</v>
      </c>
      <c r="O24" s="175" t="e">
        <f>SUMIFS('caseload data'!Q:Q,'caseload data'!$C:$C,'divisional &amp; regional caseload%'!$B$22,'caseload data'!$D:$D,"PO")/SUMIF('caseload data'!$C:$C,'divisional &amp; regional caseload%'!$B$22,'caseload data'!Q:Q)</f>
        <v>#DIV/0!</v>
      </c>
      <c r="P24" s="175" t="e">
        <f>SUMIFS('caseload data'!R:R,'caseload data'!$C:$C,'divisional &amp; regional caseload%'!$B$22,'caseload data'!$D:$D,"PO")/SUMIF('caseload data'!$C:$C,'divisional &amp; regional caseload%'!$B$22,'caseload data'!R:R)</f>
        <v>#DIV/0!</v>
      </c>
      <c r="Q24" s="175" t="e">
        <f>SUMIFS('caseload data'!S:S,'caseload data'!$C:$C,'divisional &amp; regional caseload%'!$B$22,'caseload data'!$D:$D,"PO")/SUMIF('caseload data'!$C:$C,'divisional &amp; regional caseload%'!$B$22,'caseload data'!S:S)</f>
        <v>#DIV/0!</v>
      </c>
      <c r="R24" s="175" t="e">
        <f>SUMIFS('caseload data'!T:T,'caseload data'!$C:$C,'divisional &amp; regional caseload%'!$B$22,'caseload data'!$D:$D,"PO")/SUMIF('caseload data'!$C:$C,'divisional &amp; regional caseload%'!$B$22,'caseload data'!T:T)</f>
        <v>#DIV/0!</v>
      </c>
      <c r="S24" s="68"/>
      <c r="T24" s="100" t="s">
        <v>1166</v>
      </c>
      <c r="U24" s="175" t="str">
        <f>IFERROR(SUMIFS('caseload data'!E:E,'caseload data'!$C:$C,'divisional &amp; regional caseload%'!$T$22,'caseload data'!$D:$D,"PO")/SUMIF('caseload data'!$C:$C,'divisional &amp; regional caseload%'!$T$22,'caseload data'!E:E),"")</f>
        <v/>
      </c>
      <c r="V24" s="175" t="str">
        <f>IFERROR(SUMIFS('caseload data'!F:F,'caseload data'!$C:$C,'divisional &amp; regional caseload%'!$T$22,'caseload data'!$D:$D,"PO")/SUMIF('caseload data'!$C:$C,'divisional &amp; regional caseload%'!$T$22,'caseload data'!F:F),"")</f>
        <v/>
      </c>
      <c r="W24" s="175" t="str">
        <f>IFERROR(SUMIFS('caseload data'!G:G,'caseload data'!$C:$C,'divisional &amp; regional caseload%'!$T$22,'caseload data'!$D:$D,"PO")/SUMIF('caseload data'!$C:$C,'divisional &amp; regional caseload%'!$T$22,'caseload data'!G:G),"")</f>
        <v/>
      </c>
      <c r="X24" s="175" t="str">
        <f>IFERROR(SUMIFS('caseload data'!H:H,'caseload data'!$C:$C,'divisional &amp; regional caseload%'!$T$22,'caseload data'!$D:$D,"PO")/SUMIF('caseload data'!$C:$C,'divisional &amp; regional caseload%'!$T$22,'caseload data'!H:H),"")</f>
        <v/>
      </c>
      <c r="Y24" s="175" t="str">
        <f>IFERROR(SUMIFS('caseload data'!I:I,'caseload data'!$C:$C,'divisional &amp; regional caseload%'!$T$22,'caseload data'!$D:$D,"PO")/SUMIF('caseload data'!$C:$C,'divisional &amp; regional caseload%'!$T$22,'caseload data'!I:I),"")</f>
        <v/>
      </c>
      <c r="Z24" s="175" t="str">
        <f>IFERROR(SUMIFS('caseload data'!J:J,'caseload data'!$C:$C,'divisional &amp; regional caseload%'!$T$22,'caseload data'!$D:$D,"PO")/SUMIF('caseload data'!$C:$C,'divisional &amp; regional caseload%'!$T$22,'caseload data'!J:J),"")</f>
        <v/>
      </c>
      <c r="AA24" s="175" t="str">
        <f>IFERROR(SUMIFS('caseload data'!K:K,'caseload data'!$C:$C,'divisional &amp; regional caseload%'!$T$22,'caseload data'!$D:$D,"PO")/SUMIF('caseload data'!$C:$C,'divisional &amp; regional caseload%'!$T$22,'caseload data'!K:K),"")</f>
        <v/>
      </c>
      <c r="AB24" s="175" t="str">
        <f>IFERROR(SUMIFS('caseload data'!L:L,'caseload data'!$C:$C,'divisional &amp; regional caseload%'!$T$22,'caseload data'!$D:$D,"PO")/SUMIF('caseload data'!$C:$C,'divisional &amp; regional caseload%'!$T$22,'caseload data'!L:L),"")</f>
        <v/>
      </c>
      <c r="AC24" s="175" t="str">
        <f>IFERROR(SUMIFS('caseload data'!M:M,'caseload data'!$C:$C,'divisional &amp; regional caseload%'!$T$22,'caseload data'!$D:$D,"PO")/SUMIF('caseload data'!$C:$C,'divisional &amp; regional caseload%'!$T$22,'caseload data'!M:M),"")</f>
        <v/>
      </c>
      <c r="AD24" s="175" t="str">
        <f>IFERROR(SUMIFS('caseload data'!N:N,'caseload data'!$C:$C,'divisional &amp; regional caseload%'!$T$22,'caseload data'!$D:$D,"PO")/SUMIF('caseload data'!$C:$C,'divisional &amp; regional caseload%'!$T$22,'caseload data'!N:N),"")</f>
        <v/>
      </c>
      <c r="AE24" s="175" t="str">
        <f>IFERROR(SUMIFS('caseload data'!O:O,'caseload data'!$C:$C,'divisional &amp; regional caseload%'!$T$22,'caseload data'!$D:$D,"PO")/SUMIF('caseload data'!$C:$C,'divisional &amp; regional caseload%'!$T$22,'caseload data'!O:O),"")</f>
        <v/>
      </c>
      <c r="AF24" s="175" t="str">
        <f>IFERROR(SUMIFS('caseload data'!P:P,'caseload data'!$C:$C,'divisional &amp; regional caseload%'!$T$22,'caseload data'!$D:$D,"PO")/SUMIF('caseload data'!$C:$C,'divisional &amp; regional caseload%'!$T$22,'caseload data'!P:P),"")</f>
        <v/>
      </c>
      <c r="AG24" s="175" t="str">
        <f>IFERROR(SUMIFS('caseload data'!Q:Q,'caseload data'!$C:$C,'divisional &amp; regional caseload%'!$T$22,'caseload data'!$D:$D,"PO")/SUMIF('caseload data'!$C:$C,'divisional &amp; regional caseload%'!$T$22,'caseload data'!Q:Q),"")</f>
        <v/>
      </c>
      <c r="AH24" s="175" t="str">
        <f>IFERROR(SUMIFS('caseload data'!R:R,'caseload data'!$C:$C,'divisional &amp; regional caseload%'!$T$22,'caseload data'!$D:$D,"PO")/SUMIF('caseload data'!$C:$C,'divisional &amp; regional caseload%'!$T$22,'caseload data'!R:R),"")</f>
        <v/>
      </c>
      <c r="AI24" s="175" t="str">
        <f>IFERROR(SUMIFS('caseload data'!S:S,'caseload data'!$C:$C,'divisional &amp; regional caseload%'!$T$22,'caseload data'!$D:$D,"PO")/SUMIF('caseload data'!$C:$C,'divisional &amp; regional caseload%'!$T$22,'caseload data'!S:S),"")</f>
        <v/>
      </c>
      <c r="AJ24" s="175" t="str">
        <f>IFERROR(SUMIFS('caseload data'!T:T,'caseload data'!$C:$C,'divisional &amp; regional caseload%'!$T$22,'caseload data'!$D:$D,"PO")/SUMIF('caseload data'!$C:$C,'divisional &amp; regional caseload%'!$T$22,'caseload data'!T:T),"")</f>
        <v/>
      </c>
    </row>
    <row r="25" spans="2:36" x14ac:dyDescent="0.15">
      <c r="B25" s="101" t="s">
        <v>1172</v>
      </c>
      <c r="C25" s="175" t="e">
        <f>SUMIFS('caseload data'!E:E,'caseload data'!$C:$C,'divisional &amp; regional caseload%'!$B$22,'caseload data'!$D:$D,"PSO")/SUMIF('caseload data'!$C:$C,'divisional &amp; regional caseload%'!$B$22,'caseload data'!E:E)</f>
        <v>#DIV/0!</v>
      </c>
      <c r="D25" s="175" t="e">
        <f>SUMIFS('caseload data'!F:F,'caseload data'!$C:$C,'divisional &amp; regional caseload%'!$B$22,'caseload data'!$D:$D,"PSO")/SUMIF('caseload data'!$C:$C,'divisional &amp; regional caseload%'!$B$22,'caseload data'!F:F)</f>
        <v>#DIV/0!</v>
      </c>
      <c r="E25" s="175" t="e">
        <f>SUMIFS('caseload data'!G:G,'caseload data'!$C:$C,'divisional &amp; regional caseload%'!$B$22,'caseload data'!$D:$D,"PSO")/SUMIF('caseload data'!$C:$C,'divisional &amp; regional caseload%'!$B$22,'caseload data'!G:G)</f>
        <v>#DIV/0!</v>
      </c>
      <c r="F25" s="175" t="e">
        <f>SUMIFS('caseload data'!H:H,'caseload data'!$C:$C,'divisional &amp; regional caseload%'!$B$22,'caseload data'!$D:$D,"PSO")/SUMIF('caseload data'!$C:$C,'divisional &amp; regional caseload%'!$B$22,'caseload data'!H:H)</f>
        <v>#DIV/0!</v>
      </c>
      <c r="G25" s="175" t="e">
        <f>SUMIFS('caseload data'!I:I,'caseload data'!$C:$C,'divisional &amp; regional caseload%'!$B$22,'caseload data'!$D:$D,"PSO")/SUMIF('caseload data'!$C:$C,'divisional &amp; regional caseload%'!$B$22,'caseload data'!I:I)</f>
        <v>#DIV/0!</v>
      </c>
      <c r="H25" s="175" t="e">
        <f>SUMIFS('caseload data'!J:J,'caseload data'!$C:$C,'divisional &amp; regional caseload%'!$B$22,'caseload data'!$D:$D,"PSO")/SUMIF('caseload data'!$C:$C,'divisional &amp; regional caseload%'!$B$22,'caseload data'!J:J)</f>
        <v>#DIV/0!</v>
      </c>
      <c r="I25" s="175" t="e">
        <f>SUMIFS('caseload data'!K:K,'caseload data'!$C:$C,'divisional &amp; regional caseload%'!$B$22,'caseload data'!$D:$D,"PSO")/SUMIF('caseload data'!$C:$C,'divisional &amp; regional caseload%'!$B$22,'caseload data'!K:K)</f>
        <v>#DIV/0!</v>
      </c>
      <c r="J25" s="175" t="e">
        <f>SUMIFS('caseload data'!L:L,'caseload data'!$C:$C,'divisional &amp; regional caseload%'!$B$22,'caseload data'!$D:$D,"PSO")/SUMIF('caseload data'!$C:$C,'divisional &amp; regional caseload%'!$B$22,'caseload data'!L:L)</f>
        <v>#DIV/0!</v>
      </c>
      <c r="K25" s="175" t="e">
        <f>SUMIFS('caseload data'!M:M,'caseload data'!$C:$C,'divisional &amp; regional caseload%'!$B$22,'caseload data'!$D:$D,"PSO")/SUMIF('caseload data'!$C:$C,'divisional &amp; regional caseload%'!$B$22,'caseload data'!M:M)</f>
        <v>#DIV/0!</v>
      </c>
      <c r="L25" s="175" t="e">
        <f>SUMIFS('caseload data'!N:N,'caseload data'!$C:$C,'divisional &amp; regional caseload%'!$B$22,'caseload data'!$D:$D,"PSO")/SUMIF('caseload data'!$C:$C,'divisional &amp; regional caseload%'!$B$22,'caseload data'!N:N)</f>
        <v>#DIV/0!</v>
      </c>
      <c r="M25" s="175" t="e">
        <f>SUMIFS('caseload data'!O:O,'caseload data'!$C:$C,'divisional &amp; regional caseload%'!$B$22,'caseload data'!$D:$D,"PSO")/SUMIF('caseload data'!$C:$C,'divisional &amp; regional caseload%'!$B$22,'caseload data'!O:O)</f>
        <v>#DIV/0!</v>
      </c>
      <c r="N25" s="175" t="e">
        <f>SUMIFS('caseload data'!P:P,'caseload data'!$C:$C,'divisional &amp; regional caseload%'!$B$22,'caseload data'!$D:$D,"PSO")/SUMIF('caseload data'!$C:$C,'divisional &amp; regional caseload%'!$B$22,'caseload data'!P:P)</f>
        <v>#DIV/0!</v>
      </c>
      <c r="O25" s="175" t="e">
        <f>SUMIFS('caseload data'!Q:Q,'caseload data'!$C:$C,'divisional &amp; regional caseload%'!$B$22,'caseload data'!$D:$D,"PSO")/SUMIF('caseload data'!$C:$C,'divisional &amp; regional caseload%'!$B$22,'caseload data'!Q:Q)</f>
        <v>#DIV/0!</v>
      </c>
      <c r="P25" s="175" t="e">
        <f>SUMIFS('caseload data'!R:R,'caseload data'!$C:$C,'divisional &amp; regional caseload%'!$B$22,'caseload data'!$D:$D,"PSO")/SUMIF('caseload data'!$C:$C,'divisional &amp; regional caseload%'!$B$22,'caseload data'!R:R)</f>
        <v>#DIV/0!</v>
      </c>
      <c r="Q25" s="175" t="e">
        <f>SUMIFS('caseload data'!S:S,'caseload data'!$C:$C,'divisional &amp; regional caseload%'!$B$22,'caseload data'!$D:$D,"PSO")/SUMIF('caseload data'!$C:$C,'divisional &amp; regional caseload%'!$B$22,'caseload data'!S:S)</f>
        <v>#DIV/0!</v>
      </c>
      <c r="R25" s="175" t="e">
        <f>SUMIFS('caseload data'!T:T,'caseload data'!$C:$C,'divisional &amp; regional caseload%'!$B$22,'caseload data'!$D:$D,"PSO")/SUMIF('caseload data'!$C:$C,'divisional &amp; regional caseload%'!$B$22,'caseload data'!T:T)</f>
        <v>#DIV/0!</v>
      </c>
      <c r="S25" s="68"/>
      <c r="T25" s="101" t="s">
        <v>1172</v>
      </c>
      <c r="U25" s="175" t="str">
        <f>IFERROR(SUMIFS('caseload data'!E:E,'caseload data'!$C:$C,'divisional &amp; regional caseload%'!$T$22,'caseload data'!$D:$D,"PSO")/SUMIF('caseload data'!$C:$C,'divisional &amp; regional caseload%'!$T$22,'caseload data'!E:E),"")</f>
        <v/>
      </c>
      <c r="V25" s="175" t="str">
        <f>IFERROR(SUMIFS('caseload data'!F:F,'caseload data'!$C:$C,'divisional &amp; regional caseload%'!$T$22,'caseload data'!$D:$D,"PSO")/SUMIF('caseload data'!$C:$C,'divisional &amp; regional caseload%'!$T$22,'caseload data'!F:F),"")</f>
        <v/>
      </c>
      <c r="W25" s="175" t="str">
        <f>IFERROR(SUMIFS('caseload data'!G:G,'caseload data'!$C:$C,'divisional &amp; regional caseload%'!$T$22,'caseload data'!$D:$D,"PSO")/SUMIF('caseload data'!$C:$C,'divisional &amp; regional caseload%'!$T$22,'caseload data'!G:G),"")</f>
        <v/>
      </c>
      <c r="X25" s="175" t="str">
        <f>IFERROR(SUMIFS('caseload data'!H:H,'caseload data'!$C:$C,'divisional &amp; regional caseload%'!$T$22,'caseload data'!$D:$D,"PSO")/SUMIF('caseload data'!$C:$C,'divisional &amp; regional caseload%'!$T$22,'caseload data'!H:H),"")</f>
        <v/>
      </c>
      <c r="Y25" s="175" t="str">
        <f>IFERROR(SUMIFS('caseload data'!I:I,'caseload data'!$C:$C,'divisional &amp; regional caseload%'!$T$22,'caseload data'!$D:$D,"PSO")/SUMIF('caseload data'!$C:$C,'divisional &amp; regional caseload%'!$T$22,'caseload data'!I:I),"")</f>
        <v/>
      </c>
      <c r="Z25" s="175" t="str">
        <f>IFERROR(SUMIFS('caseload data'!J:J,'caseload data'!$C:$C,'divisional &amp; regional caseload%'!$T$22,'caseload data'!$D:$D,"PSO")/SUMIF('caseload data'!$C:$C,'divisional &amp; regional caseload%'!$T$22,'caseload data'!J:J),"")</f>
        <v/>
      </c>
      <c r="AA25" s="175" t="str">
        <f>IFERROR(SUMIFS('caseload data'!K:K,'caseload data'!$C:$C,'divisional &amp; regional caseload%'!$T$22,'caseload data'!$D:$D,"PSO")/SUMIF('caseload data'!$C:$C,'divisional &amp; regional caseload%'!$T$22,'caseload data'!K:K),"")</f>
        <v/>
      </c>
      <c r="AB25" s="175" t="str">
        <f>IFERROR(SUMIFS('caseload data'!L:L,'caseload data'!$C:$C,'divisional &amp; regional caseload%'!$T$22,'caseload data'!$D:$D,"PSO")/SUMIF('caseload data'!$C:$C,'divisional &amp; regional caseload%'!$T$22,'caseload data'!L:L),"")</f>
        <v/>
      </c>
      <c r="AC25" s="175" t="str">
        <f>IFERROR(SUMIFS('caseload data'!M:M,'caseload data'!$C:$C,'divisional &amp; regional caseload%'!$T$22,'caseload data'!$D:$D,"PSO")/SUMIF('caseload data'!$C:$C,'divisional &amp; regional caseload%'!$T$22,'caseload data'!M:M),"")</f>
        <v/>
      </c>
      <c r="AD25" s="175" t="str">
        <f>IFERROR(SUMIFS('caseload data'!N:N,'caseload data'!$C:$C,'divisional &amp; regional caseload%'!$T$22,'caseload data'!$D:$D,"PSO")/SUMIF('caseload data'!$C:$C,'divisional &amp; regional caseload%'!$T$22,'caseload data'!N:N),"")</f>
        <v/>
      </c>
      <c r="AE25" s="175" t="str">
        <f>IFERROR(SUMIFS('caseload data'!O:O,'caseload data'!$C:$C,'divisional &amp; regional caseload%'!$T$22,'caseload data'!$D:$D,"PSO")/SUMIF('caseload data'!$C:$C,'divisional &amp; regional caseload%'!$T$22,'caseload data'!O:O),"")</f>
        <v/>
      </c>
      <c r="AF25" s="175" t="str">
        <f>IFERROR(SUMIFS('caseload data'!P:P,'caseload data'!$C:$C,'divisional &amp; regional caseload%'!$T$22,'caseload data'!$D:$D,"PSO")/SUMIF('caseload data'!$C:$C,'divisional &amp; regional caseload%'!$T$22,'caseload data'!P:P),"")</f>
        <v/>
      </c>
      <c r="AG25" s="175" t="str">
        <f>IFERROR(SUMIFS('caseload data'!Q:Q,'caseload data'!$C:$C,'divisional &amp; regional caseload%'!$T$22,'caseload data'!$D:$D,"PSO")/SUMIF('caseload data'!$C:$C,'divisional &amp; regional caseload%'!$T$22,'caseload data'!Q:Q),"")</f>
        <v/>
      </c>
      <c r="AH25" s="175" t="str">
        <f>IFERROR(SUMIFS('caseload data'!R:R,'caseload data'!$C:$C,'divisional &amp; regional caseload%'!$T$22,'caseload data'!$D:$D,"PSO")/SUMIF('caseload data'!$C:$C,'divisional &amp; regional caseload%'!$T$22,'caseload data'!R:R),"")</f>
        <v/>
      </c>
      <c r="AI25" s="175" t="str">
        <f>IFERROR(SUMIFS('caseload data'!S:S,'caseload data'!$C:$C,'divisional &amp; regional caseload%'!$T$22,'caseload data'!$D:$D,"PSO")/SUMIF('caseload data'!$C:$C,'divisional &amp; regional caseload%'!$T$22,'caseload data'!S:S),"")</f>
        <v/>
      </c>
      <c r="AJ25" s="175" t="str">
        <f>IFERROR(SUMIFS('caseload data'!T:T,'caseload data'!$C:$C,'divisional &amp; regional caseload%'!$T$22,'caseload data'!$D:$D,"PSO")/SUMIF('caseload data'!$C:$C,'divisional &amp; regional caseload%'!$T$22,'caseload data'!T:T),"")</f>
        <v/>
      </c>
    </row>
    <row r="26" spans="2:36" x14ac:dyDescent="0.15">
      <c r="B26" s="101" t="s">
        <v>1173</v>
      </c>
      <c r="C26" s="175" t="e">
        <f>SUMIFS('caseload data'!E:E,'caseload data'!$C:$C,'divisional &amp; regional caseload%'!$B$22,'caseload data'!$D:$D,"TPO")/SUMIF('caseload data'!$C:$C,'divisional &amp; regional caseload%'!$B$22,'caseload data'!E:E)</f>
        <v>#DIV/0!</v>
      </c>
      <c r="D26" s="175" t="e">
        <f>SUMIFS('caseload data'!F:F,'caseload data'!$C:$C,'divisional &amp; regional caseload%'!$B$22,'caseload data'!$D:$D,"TPO")/SUMIF('caseload data'!$C:$C,'divisional &amp; regional caseload%'!$B$22,'caseload data'!F:F)</f>
        <v>#DIV/0!</v>
      </c>
      <c r="E26" s="175" t="e">
        <f>SUMIFS('caseload data'!G:G,'caseload data'!$C:$C,'divisional &amp; regional caseload%'!$B$22,'caseload data'!$D:$D,"TPO")/SUMIF('caseload data'!$C:$C,'divisional &amp; regional caseload%'!$B$22,'caseload data'!G:G)</f>
        <v>#DIV/0!</v>
      </c>
      <c r="F26" s="175" t="e">
        <f>SUMIFS('caseload data'!H:H,'caseload data'!$C:$C,'divisional &amp; regional caseload%'!$B$22,'caseload data'!$D:$D,"TPO")/SUMIF('caseload data'!$C:$C,'divisional &amp; regional caseload%'!$B$22,'caseload data'!H:H)</f>
        <v>#DIV/0!</v>
      </c>
      <c r="G26" s="175" t="e">
        <f>SUMIFS('caseload data'!I:I,'caseload data'!$C:$C,'divisional &amp; regional caseload%'!$B$22,'caseload data'!$D:$D,"TPO")/SUMIF('caseload data'!$C:$C,'divisional &amp; regional caseload%'!$B$22,'caseload data'!I:I)</f>
        <v>#DIV/0!</v>
      </c>
      <c r="H26" s="175" t="e">
        <f>SUMIFS('caseload data'!J:J,'caseload data'!$C:$C,'divisional &amp; regional caseload%'!$B$22,'caseload data'!$D:$D,"TPO")/SUMIF('caseload data'!$C:$C,'divisional &amp; regional caseload%'!$B$22,'caseload data'!J:J)</f>
        <v>#DIV/0!</v>
      </c>
      <c r="I26" s="175" t="e">
        <f>SUMIFS('caseload data'!K:K,'caseload data'!$C:$C,'divisional &amp; regional caseload%'!$B$22,'caseload data'!$D:$D,"TPO")/SUMIF('caseload data'!$C:$C,'divisional &amp; regional caseload%'!$B$22,'caseload data'!K:K)</f>
        <v>#DIV/0!</v>
      </c>
      <c r="J26" s="175" t="e">
        <f>SUMIFS('caseload data'!L:L,'caseload data'!$C:$C,'divisional &amp; regional caseload%'!$B$22,'caseload data'!$D:$D,"TPO")/SUMIF('caseload data'!$C:$C,'divisional &amp; regional caseload%'!$B$22,'caseload data'!L:L)</f>
        <v>#DIV/0!</v>
      </c>
      <c r="K26" s="175" t="e">
        <f>SUMIFS('caseload data'!M:M,'caseload data'!$C:$C,'divisional &amp; regional caseload%'!$B$22,'caseload data'!$D:$D,"TPO")/SUMIF('caseload data'!$C:$C,'divisional &amp; regional caseload%'!$B$22,'caseload data'!M:M)</f>
        <v>#DIV/0!</v>
      </c>
      <c r="L26" s="175" t="e">
        <f>SUMIFS('caseload data'!N:N,'caseload data'!$C:$C,'divisional &amp; regional caseload%'!$B$22,'caseload data'!$D:$D,"TPO")/SUMIF('caseload data'!$C:$C,'divisional &amp; regional caseload%'!$B$22,'caseload data'!N:N)</f>
        <v>#DIV/0!</v>
      </c>
      <c r="M26" s="175" t="e">
        <f>SUMIFS('caseload data'!O:O,'caseload data'!$C:$C,'divisional &amp; regional caseload%'!$B$22,'caseload data'!$D:$D,"TPO")/SUMIF('caseload data'!$C:$C,'divisional &amp; regional caseload%'!$B$22,'caseload data'!O:O)</f>
        <v>#DIV/0!</v>
      </c>
      <c r="N26" s="175" t="e">
        <f>SUMIFS('caseload data'!P:P,'caseload data'!$C:$C,'divisional &amp; regional caseload%'!$B$22,'caseload data'!$D:$D,"TPO")/SUMIF('caseload data'!$C:$C,'divisional &amp; regional caseload%'!$B$22,'caseload data'!P:P)</f>
        <v>#DIV/0!</v>
      </c>
      <c r="O26" s="175" t="e">
        <f>SUMIFS('caseload data'!Q:Q,'caseload data'!$C:$C,'divisional &amp; regional caseload%'!$B$22,'caseload data'!$D:$D,"TPO")/SUMIF('caseload data'!$C:$C,'divisional &amp; regional caseload%'!$B$22,'caseload data'!Q:Q)</f>
        <v>#DIV/0!</v>
      </c>
      <c r="P26" s="175" t="e">
        <f>SUMIFS('caseload data'!R:R,'caseload data'!$C:$C,'divisional &amp; regional caseload%'!$B$22,'caseload data'!$D:$D,"TPO")/SUMIF('caseload data'!$C:$C,'divisional &amp; regional caseload%'!$B$22,'caseload data'!R:R)</f>
        <v>#DIV/0!</v>
      </c>
      <c r="Q26" s="175" t="e">
        <f>SUMIFS('caseload data'!S:S,'caseload data'!$C:$C,'divisional &amp; regional caseload%'!$B$22,'caseload data'!$D:$D,"TPO")/SUMIF('caseload data'!$C:$C,'divisional &amp; regional caseload%'!$B$22,'caseload data'!S:S)</f>
        <v>#DIV/0!</v>
      </c>
      <c r="R26" s="175" t="e">
        <f>SUMIFS('caseload data'!T:T,'caseload data'!$C:$C,'divisional &amp; regional caseload%'!$B$22,'caseload data'!$D:$D,"TPO")/SUMIF('caseload data'!$C:$C,'divisional &amp; regional caseload%'!$B$22,'caseload data'!T:T)</f>
        <v>#DIV/0!</v>
      </c>
      <c r="S26" s="68"/>
      <c r="T26" s="101" t="s">
        <v>1173</v>
      </c>
      <c r="U26" s="175" t="str">
        <f>IFERROR(SUMIFS('caseload data'!E:E,'caseload data'!$C:$C,'divisional &amp; regional caseload%'!$T$22,'caseload data'!$D:$D,"TPO")/SUMIF('caseload data'!$C:$C,'divisional &amp; regional caseload%'!$T$22,'caseload data'!E:E),"")</f>
        <v/>
      </c>
      <c r="V26" s="175" t="str">
        <f>IFERROR(SUMIFS('caseload data'!F:F,'caseload data'!$C:$C,'divisional &amp; regional caseload%'!$T$22,'caseload data'!$D:$D,"TPO")/SUMIF('caseload data'!$C:$C,'divisional &amp; regional caseload%'!$T$22,'caseload data'!F:F),"")</f>
        <v/>
      </c>
      <c r="W26" s="175" t="str">
        <f>IFERROR(SUMIFS('caseload data'!G:G,'caseload data'!$C:$C,'divisional &amp; regional caseload%'!$T$22,'caseload data'!$D:$D,"TPO")/SUMIF('caseload data'!$C:$C,'divisional &amp; regional caseload%'!$T$22,'caseload data'!G:G),"")</f>
        <v/>
      </c>
      <c r="X26" s="175" t="str">
        <f>IFERROR(SUMIFS('caseload data'!H:H,'caseload data'!$C:$C,'divisional &amp; regional caseload%'!$T$22,'caseload data'!$D:$D,"TPO")/SUMIF('caseload data'!$C:$C,'divisional &amp; regional caseload%'!$T$22,'caseload data'!H:H),"")</f>
        <v/>
      </c>
      <c r="Y26" s="175" t="str">
        <f>IFERROR(SUMIFS('caseload data'!I:I,'caseload data'!$C:$C,'divisional &amp; regional caseload%'!$T$22,'caseload data'!$D:$D,"TPO")/SUMIF('caseload data'!$C:$C,'divisional &amp; regional caseload%'!$T$22,'caseload data'!I:I),"")</f>
        <v/>
      </c>
      <c r="Z26" s="175" t="str">
        <f>IFERROR(SUMIFS('caseload data'!J:J,'caseload data'!$C:$C,'divisional &amp; regional caseload%'!$T$22,'caseload data'!$D:$D,"TPO")/SUMIF('caseload data'!$C:$C,'divisional &amp; regional caseload%'!$T$22,'caseload data'!J:J),"")</f>
        <v/>
      </c>
      <c r="AA26" s="175" t="str">
        <f>IFERROR(SUMIFS('caseload data'!K:K,'caseload data'!$C:$C,'divisional &amp; regional caseload%'!$T$22,'caseload data'!$D:$D,"TPO")/SUMIF('caseload data'!$C:$C,'divisional &amp; regional caseload%'!$T$22,'caseload data'!K:K),"")</f>
        <v/>
      </c>
      <c r="AB26" s="175" t="str">
        <f>IFERROR(SUMIFS('caseload data'!L:L,'caseload data'!$C:$C,'divisional &amp; regional caseload%'!$T$22,'caseload data'!$D:$D,"TPO")/SUMIF('caseload data'!$C:$C,'divisional &amp; regional caseload%'!$T$22,'caseload data'!L:L),"")</f>
        <v/>
      </c>
      <c r="AC26" s="175" t="str">
        <f>IFERROR(SUMIFS('caseload data'!M:M,'caseload data'!$C:$C,'divisional &amp; regional caseload%'!$T$22,'caseload data'!$D:$D,"TPO")/SUMIF('caseload data'!$C:$C,'divisional &amp; regional caseload%'!$T$22,'caseload data'!M:M),"")</f>
        <v/>
      </c>
      <c r="AD26" s="175" t="str">
        <f>IFERROR(SUMIFS('caseload data'!N:N,'caseload data'!$C:$C,'divisional &amp; regional caseload%'!$T$22,'caseload data'!$D:$D,"TPO")/SUMIF('caseload data'!$C:$C,'divisional &amp; regional caseload%'!$T$22,'caseload data'!N:N),"")</f>
        <v/>
      </c>
      <c r="AE26" s="175" t="str">
        <f>IFERROR(SUMIFS('caseload data'!O:O,'caseload data'!$C:$C,'divisional &amp; regional caseload%'!$T$22,'caseload data'!$D:$D,"TPO")/SUMIF('caseload data'!$C:$C,'divisional &amp; regional caseload%'!$T$22,'caseload data'!O:O),"")</f>
        <v/>
      </c>
      <c r="AF26" s="175" t="str">
        <f>IFERROR(SUMIFS('caseload data'!P:P,'caseload data'!$C:$C,'divisional &amp; regional caseload%'!$T$22,'caseload data'!$D:$D,"TPO")/SUMIF('caseload data'!$C:$C,'divisional &amp; regional caseload%'!$T$22,'caseload data'!P:P),"")</f>
        <v/>
      </c>
      <c r="AG26" s="175" t="str">
        <f>IFERROR(SUMIFS('caseload data'!Q:Q,'caseload data'!$C:$C,'divisional &amp; regional caseload%'!$T$22,'caseload data'!$D:$D,"TPO")/SUMIF('caseload data'!$C:$C,'divisional &amp; regional caseload%'!$T$22,'caseload data'!Q:Q),"")</f>
        <v/>
      </c>
      <c r="AH26" s="175" t="str">
        <f>IFERROR(SUMIFS('caseload data'!R:R,'caseload data'!$C:$C,'divisional &amp; regional caseload%'!$T$22,'caseload data'!$D:$D,"TPO")/SUMIF('caseload data'!$C:$C,'divisional &amp; regional caseload%'!$T$22,'caseload data'!R:R),"")</f>
        <v/>
      </c>
      <c r="AI26" s="175" t="str">
        <f>IFERROR(SUMIFS('caseload data'!S:S,'caseload data'!$C:$C,'divisional &amp; regional caseload%'!$T$22,'caseload data'!$D:$D,"TPO")/SUMIF('caseload data'!$C:$C,'divisional &amp; regional caseload%'!$T$22,'caseload data'!S:S),"")</f>
        <v/>
      </c>
      <c r="AJ26" s="175" t="str">
        <f>IFERROR(SUMIFS('caseload data'!T:T,'caseload data'!$C:$C,'divisional &amp; regional caseload%'!$T$22,'caseload data'!$D:$D,"TPO")/SUMIF('caseload data'!$C:$C,'divisional &amp; regional caseload%'!$T$22,'caseload data'!T:T),"")</f>
        <v/>
      </c>
    </row>
    <row r="27" spans="2:36" x14ac:dyDescent="0.15">
      <c r="B27" s="102" t="s">
        <v>1174</v>
      </c>
      <c r="C27" s="175" t="e">
        <f>SUMIFS('caseload data'!E:E,'caseload data'!$C:$C,'divisional &amp; regional caseload%'!$B$22,'caseload data'!$D:$D,"SPO")/SUMIF('caseload data'!$C:$C,'divisional &amp; regional caseload%'!$B$22,'caseload data'!E:E)</f>
        <v>#DIV/0!</v>
      </c>
      <c r="D27" s="175" t="e">
        <f>SUMIFS('caseload data'!F:F,'caseload data'!$C:$C,'divisional &amp; regional caseload%'!$B$22,'caseload data'!$D:$D,"SPO")/SUMIF('caseload data'!$C:$C,'divisional &amp; regional caseload%'!$B$22,'caseload data'!F:F)</f>
        <v>#DIV/0!</v>
      </c>
      <c r="E27" s="175" t="e">
        <f>SUMIFS('caseload data'!G:G,'caseload data'!$C:$C,'divisional &amp; regional caseload%'!$B$22,'caseload data'!$D:$D,"SPO")/SUMIF('caseload data'!$C:$C,'divisional &amp; regional caseload%'!$B$22,'caseload data'!G:G)</f>
        <v>#DIV/0!</v>
      </c>
      <c r="F27" s="175" t="e">
        <f>SUMIFS('caseload data'!H:H,'caseload data'!$C:$C,'divisional &amp; regional caseload%'!$B$22,'caseload data'!$D:$D,"SPO")/SUMIF('caseload data'!$C:$C,'divisional &amp; regional caseload%'!$B$22,'caseload data'!H:H)</f>
        <v>#DIV/0!</v>
      </c>
      <c r="G27" s="175" t="e">
        <f>SUMIFS('caseload data'!I:I,'caseload data'!$C:$C,'divisional &amp; regional caseload%'!$B$22,'caseload data'!$D:$D,"SPO")/SUMIF('caseload data'!$C:$C,'divisional &amp; regional caseload%'!$B$22,'caseload data'!I:I)</f>
        <v>#DIV/0!</v>
      </c>
      <c r="H27" s="175" t="e">
        <f>SUMIFS('caseload data'!J:J,'caseload data'!$C:$C,'divisional &amp; regional caseload%'!$B$22,'caseload data'!$D:$D,"SPO")/SUMIF('caseload data'!$C:$C,'divisional &amp; regional caseload%'!$B$22,'caseload data'!J:J)</f>
        <v>#DIV/0!</v>
      </c>
      <c r="I27" s="175" t="e">
        <f>SUMIFS('caseload data'!K:K,'caseload data'!$C:$C,'divisional &amp; regional caseload%'!$B$22,'caseload data'!$D:$D,"SPO")/SUMIF('caseload data'!$C:$C,'divisional &amp; regional caseload%'!$B$22,'caseload data'!K:K)</f>
        <v>#DIV/0!</v>
      </c>
      <c r="J27" s="175" t="e">
        <f>SUMIFS('caseload data'!L:L,'caseload data'!$C:$C,'divisional &amp; regional caseload%'!$B$22,'caseload data'!$D:$D,"SPO")/SUMIF('caseload data'!$C:$C,'divisional &amp; regional caseload%'!$B$22,'caseload data'!L:L)</f>
        <v>#DIV/0!</v>
      </c>
      <c r="K27" s="175" t="e">
        <f>SUMIFS('caseload data'!M:M,'caseload data'!$C:$C,'divisional &amp; regional caseload%'!$B$22,'caseload data'!$D:$D,"SPO")/SUMIF('caseload data'!$C:$C,'divisional &amp; regional caseload%'!$B$22,'caseload data'!M:M)</f>
        <v>#DIV/0!</v>
      </c>
      <c r="L27" s="175" t="e">
        <f>SUMIFS('caseload data'!N:N,'caseload data'!$C:$C,'divisional &amp; regional caseload%'!$B$22,'caseload data'!$D:$D,"SPO")/SUMIF('caseload data'!$C:$C,'divisional &amp; regional caseload%'!$B$22,'caseload data'!N:N)</f>
        <v>#DIV/0!</v>
      </c>
      <c r="M27" s="175" t="e">
        <f>SUMIFS('caseload data'!O:O,'caseload data'!$C:$C,'divisional &amp; regional caseload%'!$B$22,'caseload data'!$D:$D,"SPO")/SUMIF('caseload data'!$C:$C,'divisional &amp; regional caseload%'!$B$22,'caseload data'!O:O)</f>
        <v>#DIV/0!</v>
      </c>
      <c r="N27" s="175" t="e">
        <f>SUMIFS('caseload data'!P:P,'caseload data'!$C:$C,'divisional &amp; regional caseload%'!$B$22,'caseload data'!$D:$D,"SPO")/SUMIF('caseload data'!$C:$C,'divisional &amp; regional caseload%'!$B$22,'caseload data'!P:P)</f>
        <v>#DIV/0!</v>
      </c>
      <c r="O27" s="175" t="e">
        <f>SUMIFS('caseload data'!Q:Q,'caseload data'!$C:$C,'divisional &amp; regional caseload%'!$B$22,'caseload data'!$D:$D,"SPO")/SUMIF('caseload data'!$C:$C,'divisional &amp; regional caseload%'!$B$22,'caseload data'!Q:Q)</f>
        <v>#DIV/0!</v>
      </c>
      <c r="P27" s="175" t="e">
        <f>SUMIFS('caseload data'!R:R,'caseload data'!$C:$C,'divisional &amp; regional caseload%'!$B$22,'caseload data'!$D:$D,"SPO")/SUMIF('caseload data'!$C:$C,'divisional &amp; regional caseload%'!$B$22,'caseload data'!R:R)</f>
        <v>#DIV/0!</v>
      </c>
      <c r="Q27" s="175" t="e">
        <f>SUMIFS('caseload data'!S:S,'caseload data'!$C:$C,'divisional &amp; regional caseload%'!$B$22,'caseload data'!$D:$D,"SPO")/SUMIF('caseload data'!$C:$C,'divisional &amp; regional caseload%'!$B$22,'caseload data'!S:S)</f>
        <v>#DIV/0!</v>
      </c>
      <c r="R27" s="175" t="e">
        <f>SUMIFS('caseload data'!T:T,'caseload data'!$C:$C,'divisional &amp; regional caseload%'!$B$22,'caseload data'!$D:$D,"SPO")/SUMIF('caseload data'!$C:$C,'divisional &amp; regional caseload%'!$B$22,'caseload data'!T:T)</f>
        <v>#DIV/0!</v>
      </c>
      <c r="S27" s="68"/>
      <c r="T27" s="102" t="s">
        <v>1174</v>
      </c>
      <c r="U27" s="175" t="str">
        <f>IFERROR(SUMIFS('caseload data'!E:E,'caseload data'!$C:$C,'divisional &amp; regional caseload%'!$T$22,'caseload data'!$D:$D,"SPO")/SUMIF('caseload data'!$C:$C,'divisional &amp; regional caseload%'!$T$22,'caseload data'!E:E),"")</f>
        <v/>
      </c>
      <c r="V27" s="175" t="str">
        <f>IFERROR(SUMIFS('caseload data'!F:F,'caseload data'!$C:$C,'divisional &amp; regional caseload%'!$T$22,'caseload data'!$D:$D,"SPO")/SUMIF('caseload data'!$C:$C,'divisional &amp; regional caseload%'!$T$22,'caseload data'!F:F),"")</f>
        <v/>
      </c>
      <c r="W27" s="175" t="str">
        <f>IFERROR(SUMIFS('caseload data'!G:G,'caseload data'!$C:$C,'divisional &amp; regional caseload%'!$T$22,'caseload data'!$D:$D,"SPO")/SUMIF('caseload data'!$C:$C,'divisional &amp; regional caseload%'!$T$22,'caseload data'!G:G),"")</f>
        <v/>
      </c>
      <c r="X27" s="175" t="str">
        <f>IFERROR(SUMIFS('caseload data'!H:H,'caseload data'!$C:$C,'divisional &amp; regional caseload%'!$T$22,'caseload data'!$D:$D,"SPO")/SUMIF('caseload data'!$C:$C,'divisional &amp; regional caseload%'!$T$22,'caseload data'!H:H),"")</f>
        <v/>
      </c>
      <c r="Y27" s="175" t="str">
        <f>IFERROR(SUMIFS('caseload data'!I:I,'caseload data'!$C:$C,'divisional &amp; regional caseload%'!$T$22,'caseload data'!$D:$D,"SPO")/SUMIF('caseload data'!$C:$C,'divisional &amp; regional caseload%'!$T$22,'caseload data'!I:I),"")</f>
        <v/>
      </c>
      <c r="Z27" s="175" t="str">
        <f>IFERROR(SUMIFS('caseload data'!J:J,'caseload data'!$C:$C,'divisional &amp; regional caseload%'!$T$22,'caseload data'!$D:$D,"SPO")/SUMIF('caseload data'!$C:$C,'divisional &amp; regional caseload%'!$T$22,'caseload data'!J:J),"")</f>
        <v/>
      </c>
      <c r="AA27" s="175" t="str">
        <f>IFERROR(SUMIFS('caseload data'!K:K,'caseload data'!$C:$C,'divisional &amp; regional caseload%'!$T$22,'caseload data'!$D:$D,"SPO")/SUMIF('caseload data'!$C:$C,'divisional &amp; regional caseload%'!$T$22,'caseload data'!K:K),"")</f>
        <v/>
      </c>
      <c r="AB27" s="175" t="str">
        <f>IFERROR(SUMIFS('caseload data'!L:L,'caseload data'!$C:$C,'divisional &amp; regional caseload%'!$T$22,'caseload data'!$D:$D,"SPO")/SUMIF('caseload data'!$C:$C,'divisional &amp; regional caseload%'!$T$22,'caseload data'!L:L),"")</f>
        <v/>
      </c>
      <c r="AC27" s="175" t="str">
        <f>IFERROR(SUMIFS('caseload data'!M:M,'caseload data'!$C:$C,'divisional &amp; regional caseload%'!$T$22,'caseload data'!$D:$D,"SPO")/SUMIF('caseload data'!$C:$C,'divisional &amp; regional caseload%'!$T$22,'caseload data'!M:M),"")</f>
        <v/>
      </c>
      <c r="AD27" s="175" t="str">
        <f>IFERROR(SUMIFS('caseload data'!N:N,'caseload data'!$C:$C,'divisional &amp; regional caseload%'!$T$22,'caseload data'!$D:$D,"SPO")/SUMIF('caseload data'!$C:$C,'divisional &amp; regional caseload%'!$T$22,'caseload data'!N:N),"")</f>
        <v/>
      </c>
      <c r="AE27" s="175" t="str">
        <f>IFERROR(SUMIFS('caseload data'!O:O,'caseload data'!$C:$C,'divisional &amp; regional caseload%'!$T$22,'caseload data'!$D:$D,"SPO")/SUMIF('caseload data'!$C:$C,'divisional &amp; regional caseload%'!$T$22,'caseload data'!O:O),"")</f>
        <v/>
      </c>
      <c r="AF27" s="175" t="str">
        <f>IFERROR(SUMIFS('caseload data'!P:P,'caseload data'!$C:$C,'divisional &amp; regional caseload%'!$T$22,'caseload data'!$D:$D,"SPO")/SUMIF('caseload data'!$C:$C,'divisional &amp; regional caseload%'!$T$22,'caseload data'!P:P),"")</f>
        <v/>
      </c>
      <c r="AG27" s="175" t="str">
        <f>IFERROR(SUMIFS('caseload data'!Q:Q,'caseload data'!$C:$C,'divisional &amp; regional caseload%'!$T$22,'caseload data'!$D:$D,"SPO")/SUMIF('caseload data'!$C:$C,'divisional &amp; regional caseload%'!$T$22,'caseload data'!Q:Q),"")</f>
        <v/>
      </c>
      <c r="AH27" s="175" t="str">
        <f>IFERROR(SUMIFS('caseload data'!R:R,'caseload data'!$C:$C,'divisional &amp; regional caseload%'!$T$22,'caseload data'!$D:$D,"SPO")/SUMIF('caseload data'!$C:$C,'divisional &amp; regional caseload%'!$T$22,'caseload data'!R:R),"")</f>
        <v/>
      </c>
      <c r="AI27" s="175" t="str">
        <f>IFERROR(SUMIFS('caseload data'!S:S,'caseload data'!$C:$C,'divisional &amp; regional caseload%'!$T$22,'caseload data'!$D:$D,"SPO")/SUMIF('caseload data'!$C:$C,'divisional &amp; regional caseload%'!$T$22,'caseload data'!S:S),"")</f>
        <v/>
      </c>
      <c r="AJ27" s="175" t="str">
        <f>IFERROR(SUMIFS('caseload data'!T:T,'caseload data'!$C:$C,'divisional &amp; regional caseload%'!$T$22,'caseload data'!$D:$D,"SPO")/SUMIF('caseload data'!$C:$C,'divisional &amp; regional caseload%'!$T$22,'caseload data'!T:T),"")</f>
        <v/>
      </c>
    </row>
    <row r="28" spans="2:36" x14ac:dyDescent="0.15">
      <c r="B28" s="95"/>
      <c r="C28" s="68"/>
      <c r="D28" s="68"/>
      <c r="E28" s="68"/>
      <c r="F28" s="68"/>
      <c r="G28" s="68"/>
      <c r="H28" s="68"/>
      <c r="I28" s="68"/>
      <c r="J28" s="68"/>
      <c r="K28" s="68"/>
      <c r="L28" s="68"/>
      <c r="M28" s="68"/>
      <c r="N28" s="68"/>
      <c r="O28" s="68"/>
      <c r="P28" s="68"/>
      <c r="Q28" s="68"/>
      <c r="R28" s="68"/>
      <c r="S28" s="68"/>
      <c r="T28" s="95"/>
      <c r="U28" s="68"/>
      <c r="V28" s="68"/>
      <c r="W28" s="68"/>
      <c r="X28" s="68"/>
      <c r="Y28" s="68"/>
      <c r="Z28" s="68"/>
      <c r="AA28" s="68"/>
      <c r="AB28" s="68"/>
      <c r="AC28" s="68"/>
      <c r="AD28" s="68"/>
      <c r="AE28" s="68"/>
      <c r="AF28" s="68"/>
      <c r="AG28" s="68"/>
      <c r="AH28" s="68"/>
      <c r="AI28" s="68"/>
      <c r="AJ28" s="68"/>
    </row>
    <row r="29" spans="2:36" ht="29.25" customHeight="1" x14ac:dyDescent="0.15">
      <c r="B29" s="302" t="str">
        <f>HLOOKUP($B$5,Region_Table,8,0)</f>
        <v>Swansea, Neath Port-Talbot</v>
      </c>
      <c r="C29" s="475" t="s">
        <v>1275</v>
      </c>
      <c r="D29" s="476"/>
      <c r="E29" s="476"/>
      <c r="F29" s="476"/>
      <c r="G29" s="476"/>
      <c r="H29" s="476"/>
      <c r="I29" s="476"/>
      <c r="J29" s="476"/>
      <c r="K29" s="476"/>
      <c r="L29" s="476"/>
      <c r="M29" s="477"/>
      <c r="N29" s="477"/>
      <c r="O29" s="478"/>
      <c r="P29" s="462">
        <f>SUMIF('caseload data'!$C:$C,'divisional &amp; regional caseload%'!B29,'caseload data'!V:V)</f>
        <v>0</v>
      </c>
      <c r="Q29" s="479"/>
      <c r="R29" s="480"/>
      <c r="S29" s="68"/>
      <c r="T29" s="302" t="str">
        <f>HLOOKUP($B$5,Region_Table,9,0)</f>
        <v>Unallocated Level 2(N03)</v>
      </c>
      <c r="U29" s="475" t="s">
        <v>1275</v>
      </c>
      <c r="V29" s="476"/>
      <c r="W29" s="476"/>
      <c r="X29" s="476"/>
      <c r="Y29" s="476"/>
      <c r="Z29" s="476"/>
      <c r="AA29" s="476"/>
      <c r="AB29" s="476"/>
      <c r="AC29" s="476"/>
      <c r="AD29" s="476"/>
      <c r="AE29" s="477"/>
      <c r="AF29" s="477"/>
      <c r="AG29" s="478"/>
      <c r="AH29" s="462">
        <f>SUMIF('caseload data'!$C:$C,'divisional &amp; regional caseload%'!T29,'caseload data'!V:V)</f>
        <v>0</v>
      </c>
      <c r="AI29" s="479"/>
      <c r="AJ29" s="480"/>
    </row>
    <row r="30" spans="2:36" x14ac:dyDescent="0.15">
      <c r="B30" s="99" t="s">
        <v>1171</v>
      </c>
      <c r="C30" s="40" t="s">
        <v>1022</v>
      </c>
      <c r="D30" s="40" t="s">
        <v>1023</v>
      </c>
      <c r="E30" s="40" t="s">
        <v>1024</v>
      </c>
      <c r="F30" s="40" t="s">
        <v>1025</v>
      </c>
      <c r="G30" s="40" t="s">
        <v>1026</v>
      </c>
      <c r="H30" s="40" t="s">
        <v>1027</v>
      </c>
      <c r="I30" s="40" t="s">
        <v>1028</v>
      </c>
      <c r="J30" s="40" t="s">
        <v>1029</v>
      </c>
      <c r="K30" s="40" t="s">
        <v>1030</v>
      </c>
      <c r="L30" s="40" t="s">
        <v>1031</v>
      </c>
      <c r="M30" s="40" t="s">
        <v>1032</v>
      </c>
      <c r="N30" s="40" t="s">
        <v>1033</v>
      </c>
      <c r="O30" s="40" t="s">
        <v>1034</v>
      </c>
      <c r="P30" s="40" t="s">
        <v>1035</v>
      </c>
      <c r="Q30" s="40" t="s">
        <v>1036</v>
      </c>
      <c r="R30" s="40" t="s">
        <v>1037</v>
      </c>
      <c r="S30" s="68"/>
      <c r="T30" s="99" t="s">
        <v>1171</v>
      </c>
      <c r="U30" s="40" t="s">
        <v>1022</v>
      </c>
      <c r="V30" s="40" t="s">
        <v>1023</v>
      </c>
      <c r="W30" s="40" t="s">
        <v>1024</v>
      </c>
      <c r="X30" s="40" t="s">
        <v>1025</v>
      </c>
      <c r="Y30" s="40" t="s">
        <v>1026</v>
      </c>
      <c r="Z30" s="40" t="s">
        <v>1027</v>
      </c>
      <c r="AA30" s="40" t="s">
        <v>1028</v>
      </c>
      <c r="AB30" s="40" t="s">
        <v>1029</v>
      </c>
      <c r="AC30" s="40" t="s">
        <v>1030</v>
      </c>
      <c r="AD30" s="40" t="s">
        <v>1031</v>
      </c>
      <c r="AE30" s="40" t="s">
        <v>1032</v>
      </c>
      <c r="AF30" s="40" t="s">
        <v>1033</v>
      </c>
      <c r="AG30" s="40" t="s">
        <v>1034</v>
      </c>
      <c r="AH30" s="40" t="s">
        <v>1035</v>
      </c>
      <c r="AI30" s="40" t="s">
        <v>1036</v>
      </c>
      <c r="AJ30" s="40" t="s">
        <v>1037</v>
      </c>
    </row>
    <row r="31" spans="2:36" x14ac:dyDescent="0.15">
      <c r="B31" s="100" t="s">
        <v>1166</v>
      </c>
      <c r="C31" s="175" t="str">
        <f>IFERROR(SUMIFS('caseload data'!E:E,'caseload data'!$C:$C,'divisional &amp; regional caseload%'!$B$29,'caseload data'!$D:$D,"PO")/SUMIF('caseload data'!$C:$C,'divisional &amp; regional caseload%'!$B$29,'caseload data'!E:E),"")</f>
        <v/>
      </c>
      <c r="D31" s="175" t="str">
        <f>IFERROR(SUMIFS('caseload data'!F:F,'caseload data'!$C:$C,'divisional &amp; regional caseload%'!$B$29,'caseload data'!$D:$D,"PO")/SUMIF('caseload data'!$C:$C,'divisional &amp; regional caseload%'!$B$29,'caseload data'!F:F),"")</f>
        <v/>
      </c>
      <c r="E31" s="175" t="str">
        <f>IFERROR(SUMIFS('caseload data'!G:G,'caseload data'!$C:$C,'divisional &amp; regional caseload%'!$B$29,'caseload data'!$D:$D,"PO")/SUMIF('caseload data'!$C:$C,'divisional &amp; regional caseload%'!$B$29,'caseload data'!G:G),"")</f>
        <v/>
      </c>
      <c r="F31" s="175" t="str">
        <f>IFERROR(SUMIFS('caseload data'!H:H,'caseload data'!$C:$C,'divisional &amp; regional caseload%'!$B$29,'caseload data'!$D:$D,"PO")/SUMIF('caseload data'!$C:$C,'divisional &amp; regional caseload%'!$B$29,'caseload data'!H:H),"")</f>
        <v/>
      </c>
      <c r="G31" s="175" t="str">
        <f>IFERROR(SUMIFS('caseload data'!I:I,'caseload data'!$C:$C,'divisional &amp; regional caseload%'!$B$29,'caseload data'!$D:$D,"PO")/SUMIF('caseload data'!$C:$C,'divisional &amp; regional caseload%'!$B$29,'caseload data'!I:I),"")</f>
        <v/>
      </c>
      <c r="H31" s="175" t="str">
        <f>IFERROR(SUMIFS('caseload data'!J:J,'caseload data'!$C:$C,'divisional &amp; regional caseload%'!$B$29,'caseload data'!$D:$D,"PO")/SUMIF('caseload data'!$C:$C,'divisional &amp; regional caseload%'!$B$29,'caseload data'!J:J),"")</f>
        <v/>
      </c>
      <c r="I31" s="175" t="str">
        <f>IFERROR(SUMIFS('caseload data'!K:K,'caseload data'!$C:$C,'divisional &amp; regional caseload%'!$B$29,'caseload data'!$D:$D,"PO")/SUMIF('caseload data'!$C:$C,'divisional &amp; regional caseload%'!$B$29,'caseload data'!K:K),"")</f>
        <v/>
      </c>
      <c r="J31" s="175" t="str">
        <f>IFERROR(SUMIFS('caseload data'!L:L,'caseload data'!$C:$C,'divisional &amp; regional caseload%'!$B$29,'caseload data'!$D:$D,"PO")/SUMIF('caseload data'!$C:$C,'divisional &amp; regional caseload%'!$B$29,'caseload data'!L:L),"")</f>
        <v/>
      </c>
      <c r="K31" s="175" t="str">
        <f>IFERROR(SUMIFS('caseload data'!M:M,'caseload data'!$C:$C,'divisional &amp; regional caseload%'!$B$29,'caseload data'!$D:$D,"PO")/SUMIF('caseload data'!$C:$C,'divisional &amp; regional caseload%'!$B$29,'caseload data'!M:M),"")</f>
        <v/>
      </c>
      <c r="L31" s="175" t="str">
        <f>IFERROR(SUMIFS('caseload data'!N:N,'caseload data'!$C:$C,'divisional &amp; regional caseload%'!$B$29,'caseload data'!$D:$D,"PO")/SUMIF('caseload data'!$C:$C,'divisional &amp; regional caseload%'!$B$29,'caseload data'!N:N),"")</f>
        <v/>
      </c>
      <c r="M31" s="175" t="str">
        <f>IFERROR(SUMIFS('caseload data'!O:O,'caseload data'!$C:$C,'divisional &amp; regional caseload%'!$B$29,'caseload data'!$D:$D,"PO")/SUMIF('caseload data'!$C:$C,'divisional &amp; regional caseload%'!$B$29,'caseload data'!O:O),"")</f>
        <v/>
      </c>
      <c r="N31" s="175" t="str">
        <f>IFERROR(SUMIFS('caseload data'!P:P,'caseload data'!$C:$C,'divisional &amp; regional caseload%'!$B$29,'caseload data'!$D:$D,"PO")/SUMIF('caseload data'!$C:$C,'divisional &amp; regional caseload%'!$B$29,'caseload data'!P:P),"")</f>
        <v/>
      </c>
      <c r="O31" s="175" t="str">
        <f>IFERROR(SUMIFS('caseload data'!Q:Q,'caseload data'!$C:$C,'divisional &amp; regional caseload%'!$B$29,'caseload data'!$D:$D,"PO")/SUMIF('caseload data'!$C:$C,'divisional &amp; regional caseload%'!$B$29,'caseload data'!Q:Q),"")</f>
        <v/>
      </c>
      <c r="P31" s="175" t="str">
        <f>IFERROR(SUMIFS('caseload data'!R:R,'caseload data'!$C:$C,'divisional &amp; regional caseload%'!$B$29,'caseload data'!$D:$D,"PO")/SUMIF('caseload data'!$C:$C,'divisional &amp; regional caseload%'!$B$29,'caseload data'!R:R),"")</f>
        <v/>
      </c>
      <c r="Q31" s="175" t="str">
        <f>IFERROR(SUMIFS('caseload data'!S:S,'caseload data'!$C:$C,'divisional &amp; regional caseload%'!$B$29,'caseload data'!$D:$D,"PO")/SUMIF('caseload data'!$C:$C,'divisional &amp; regional caseload%'!$B$29,'caseload data'!S:S),"")</f>
        <v/>
      </c>
      <c r="R31" s="175" t="str">
        <f>IFERROR(SUMIFS('caseload data'!T:T,'caseload data'!$C:$C,'divisional &amp; regional caseload%'!$B$29,'caseload data'!$D:$D,"PO")/SUMIF('caseload data'!$C:$C,'divisional &amp; regional caseload%'!$B$29,'caseload data'!T:T),"")</f>
        <v/>
      </c>
      <c r="S31" s="68"/>
      <c r="T31" s="100" t="s">
        <v>1166</v>
      </c>
      <c r="U31" s="175" t="str">
        <f>IFERROR(SUMIFS('caseload data'!E:E,'caseload data'!$C:$C,'divisional &amp; regional caseload%'!$T$29,'caseload data'!$D:$D,"PO")/SUMIF('caseload data'!$C:$C,'divisional &amp; regional caseload%'!$T$29,'caseload data'!E:E),"")</f>
        <v/>
      </c>
      <c r="V31" s="175" t="str">
        <f>IFERROR(SUMIFS('caseload data'!F:F,'caseload data'!$C:$C,'divisional &amp; regional caseload%'!$T$29,'caseload data'!$D:$D,"PO")/SUMIF('caseload data'!$C:$C,'divisional &amp; regional caseload%'!$T$29,'caseload data'!F:F),"")</f>
        <v/>
      </c>
      <c r="W31" s="175" t="str">
        <f>IFERROR(SUMIFS('caseload data'!G:G,'caseload data'!$C:$C,'divisional &amp; regional caseload%'!$T$29,'caseload data'!$D:$D,"PO")/SUMIF('caseload data'!$C:$C,'divisional &amp; regional caseload%'!$T$29,'caseload data'!G:G),"")</f>
        <v/>
      </c>
      <c r="X31" s="175" t="str">
        <f>IFERROR(SUMIFS('caseload data'!H:H,'caseload data'!$C:$C,'divisional &amp; regional caseload%'!$T$29,'caseload data'!$D:$D,"PO")/SUMIF('caseload data'!$C:$C,'divisional &amp; regional caseload%'!$T$29,'caseload data'!H:H),"")</f>
        <v/>
      </c>
      <c r="Y31" s="175" t="str">
        <f>IFERROR(SUMIFS('caseload data'!I:I,'caseload data'!$C:$C,'divisional &amp; regional caseload%'!$T$29,'caseload data'!$D:$D,"PO")/SUMIF('caseload data'!$C:$C,'divisional &amp; regional caseload%'!$T$29,'caseload data'!I:I),"")</f>
        <v/>
      </c>
      <c r="Z31" s="175" t="str">
        <f>IFERROR(SUMIFS('caseload data'!J:J,'caseload data'!$C:$C,'divisional &amp; regional caseload%'!$T$29,'caseload data'!$D:$D,"PO")/SUMIF('caseload data'!$C:$C,'divisional &amp; regional caseload%'!$T$29,'caseload data'!J:J),"")</f>
        <v/>
      </c>
      <c r="AA31" s="175" t="str">
        <f>IFERROR(SUMIFS('caseload data'!K:K,'caseload data'!$C:$C,'divisional &amp; regional caseload%'!$T$29,'caseload data'!$D:$D,"PO")/SUMIF('caseload data'!$C:$C,'divisional &amp; regional caseload%'!$T$29,'caseload data'!K:K),"")</f>
        <v/>
      </c>
      <c r="AB31" s="175" t="str">
        <f>IFERROR(SUMIFS('caseload data'!L:L,'caseload data'!$C:$C,'divisional &amp; regional caseload%'!$T$29,'caseload data'!$D:$D,"PO")/SUMIF('caseload data'!$C:$C,'divisional &amp; regional caseload%'!$T$29,'caseload data'!L:L),"")</f>
        <v/>
      </c>
      <c r="AC31" s="175" t="str">
        <f>IFERROR(SUMIFS('caseload data'!M:M,'caseload data'!$C:$C,'divisional &amp; regional caseload%'!$T$29,'caseload data'!$D:$D,"PO")/SUMIF('caseload data'!$C:$C,'divisional &amp; regional caseload%'!$T$29,'caseload data'!M:M),"")</f>
        <v/>
      </c>
      <c r="AD31" s="175" t="str">
        <f>IFERROR(SUMIFS('caseload data'!N:N,'caseload data'!$C:$C,'divisional &amp; regional caseload%'!$T$29,'caseload data'!$D:$D,"PO")/SUMIF('caseload data'!$C:$C,'divisional &amp; regional caseload%'!$T$29,'caseload data'!N:N),"")</f>
        <v/>
      </c>
      <c r="AE31" s="175" t="str">
        <f>IFERROR(SUMIFS('caseload data'!O:O,'caseload data'!$C:$C,'divisional &amp; regional caseload%'!$T$29,'caseload data'!$D:$D,"PO")/SUMIF('caseload data'!$C:$C,'divisional &amp; regional caseload%'!$T$29,'caseload data'!O:O),"")</f>
        <v/>
      </c>
      <c r="AF31" s="175" t="str">
        <f>IFERROR(SUMIFS('caseload data'!P:P,'caseload data'!$C:$C,'divisional &amp; regional caseload%'!$T$29,'caseload data'!$D:$D,"PO")/SUMIF('caseload data'!$C:$C,'divisional &amp; regional caseload%'!$T$29,'caseload data'!P:P),"")</f>
        <v/>
      </c>
      <c r="AG31" s="175" t="str">
        <f>IFERROR(SUMIFS('caseload data'!Q:Q,'caseload data'!$C:$C,'divisional &amp; regional caseload%'!$T$29,'caseload data'!$D:$D,"PO")/SUMIF('caseload data'!$C:$C,'divisional &amp; regional caseload%'!$T$29,'caseload data'!Q:Q),"")</f>
        <v/>
      </c>
      <c r="AH31" s="175" t="str">
        <f>IFERROR(SUMIFS('caseload data'!R:R,'caseload data'!$C:$C,'divisional &amp; regional caseload%'!$T$29,'caseload data'!$D:$D,"PO")/SUMIF('caseload data'!$C:$C,'divisional &amp; regional caseload%'!$T$29,'caseload data'!R:R),"")</f>
        <v/>
      </c>
      <c r="AI31" s="175" t="str">
        <f>IFERROR(SUMIFS('caseload data'!S:S,'caseload data'!$C:$C,'divisional &amp; regional caseload%'!$T$29,'caseload data'!$D:$D,"PO")/SUMIF('caseload data'!$C:$C,'divisional &amp; regional caseload%'!$T$29,'caseload data'!S:S),"")</f>
        <v/>
      </c>
      <c r="AJ31" s="175" t="str">
        <f>IFERROR(SUMIFS('caseload data'!T:T,'caseload data'!$C:$C,'divisional &amp; regional caseload%'!$T$29,'caseload data'!$D:$D,"PO")/SUMIF('caseload data'!$C:$C,'divisional &amp; regional caseload%'!$T$29,'caseload data'!T:T),"")</f>
        <v/>
      </c>
    </row>
    <row r="32" spans="2:36" x14ac:dyDescent="0.15">
      <c r="B32" s="101" t="s">
        <v>1172</v>
      </c>
      <c r="C32" s="175" t="str">
        <f>IFERROR(SUMIFS('caseload data'!E:E,'caseload data'!$C:$C,'divisional &amp; regional caseload%'!$B$29,'caseload data'!$D:$D,"PSO")/SUMIF('caseload data'!$C:$C,'divisional &amp; regional caseload%'!$B$29,'caseload data'!E:E),"")</f>
        <v/>
      </c>
      <c r="D32" s="175" t="str">
        <f>IFERROR(SUMIFS('caseload data'!F:F,'caseload data'!$C:$C,'divisional &amp; regional caseload%'!$B$29,'caseload data'!$D:$D,"PSO")/SUMIF('caseload data'!$C:$C,'divisional &amp; regional caseload%'!$B$29,'caseload data'!F:F),"")</f>
        <v/>
      </c>
      <c r="E32" s="175" t="str">
        <f>IFERROR(SUMIFS('caseload data'!G:G,'caseload data'!$C:$C,'divisional &amp; regional caseload%'!$B$29,'caseload data'!$D:$D,"PSO")/SUMIF('caseload data'!$C:$C,'divisional &amp; regional caseload%'!$B$29,'caseload data'!G:G),"")</f>
        <v/>
      </c>
      <c r="F32" s="175" t="str">
        <f>IFERROR(SUMIFS('caseload data'!H:H,'caseload data'!$C:$C,'divisional &amp; regional caseload%'!$B$29,'caseload data'!$D:$D,"PSO")/SUMIF('caseload data'!$C:$C,'divisional &amp; regional caseload%'!$B$29,'caseload data'!H:H),"")</f>
        <v/>
      </c>
      <c r="G32" s="175" t="str">
        <f>IFERROR(SUMIFS('caseload data'!I:I,'caseload data'!$C:$C,'divisional &amp; regional caseload%'!$B$29,'caseload data'!$D:$D,"PSO")/SUMIF('caseload data'!$C:$C,'divisional &amp; regional caseload%'!$B$29,'caseload data'!I:I),"")</f>
        <v/>
      </c>
      <c r="H32" s="175" t="str">
        <f>IFERROR(SUMIFS('caseload data'!J:J,'caseload data'!$C:$C,'divisional &amp; regional caseload%'!$B$29,'caseload data'!$D:$D,"PSO")/SUMIF('caseload data'!$C:$C,'divisional &amp; regional caseload%'!$B$29,'caseload data'!J:J),"")</f>
        <v/>
      </c>
      <c r="I32" s="175" t="str">
        <f>IFERROR(SUMIFS('caseload data'!K:K,'caseload data'!$C:$C,'divisional &amp; regional caseload%'!$B$29,'caseload data'!$D:$D,"PSO")/SUMIF('caseload data'!$C:$C,'divisional &amp; regional caseload%'!$B$29,'caseload data'!K:K),"")</f>
        <v/>
      </c>
      <c r="J32" s="175" t="str">
        <f>IFERROR(SUMIFS('caseload data'!L:L,'caseload data'!$C:$C,'divisional &amp; regional caseload%'!$B$29,'caseload data'!$D:$D,"PSO")/SUMIF('caseload data'!$C:$C,'divisional &amp; regional caseload%'!$B$29,'caseload data'!L:L),"")</f>
        <v/>
      </c>
      <c r="K32" s="175" t="str">
        <f>IFERROR(SUMIFS('caseload data'!M:M,'caseload data'!$C:$C,'divisional &amp; regional caseload%'!$B$29,'caseload data'!$D:$D,"PSO")/SUMIF('caseload data'!$C:$C,'divisional &amp; regional caseload%'!$B$29,'caseload data'!M:M),"")</f>
        <v/>
      </c>
      <c r="L32" s="175" t="str">
        <f>IFERROR(SUMIFS('caseload data'!N:N,'caseload data'!$C:$C,'divisional &amp; regional caseload%'!$B$29,'caseload data'!$D:$D,"PSO")/SUMIF('caseload data'!$C:$C,'divisional &amp; regional caseload%'!$B$29,'caseload data'!N:N),"")</f>
        <v/>
      </c>
      <c r="M32" s="175" t="str">
        <f>IFERROR(SUMIFS('caseload data'!O:O,'caseload data'!$C:$C,'divisional &amp; regional caseload%'!$B$29,'caseload data'!$D:$D,"PSO")/SUMIF('caseload data'!$C:$C,'divisional &amp; regional caseload%'!$B$29,'caseload data'!O:O),"")</f>
        <v/>
      </c>
      <c r="N32" s="175" t="str">
        <f>IFERROR(SUMIFS('caseload data'!P:P,'caseload data'!$C:$C,'divisional &amp; regional caseload%'!$B$29,'caseload data'!$D:$D,"PSO")/SUMIF('caseload data'!$C:$C,'divisional &amp; regional caseload%'!$B$29,'caseload data'!P:P),"")</f>
        <v/>
      </c>
      <c r="O32" s="175" t="str">
        <f>IFERROR(SUMIFS('caseload data'!Q:Q,'caseload data'!$C:$C,'divisional &amp; regional caseload%'!$B$29,'caseload data'!$D:$D,"PSO")/SUMIF('caseload data'!$C:$C,'divisional &amp; regional caseload%'!$B$29,'caseload data'!Q:Q),"")</f>
        <v/>
      </c>
      <c r="P32" s="175" t="str">
        <f>IFERROR(SUMIFS('caseload data'!R:R,'caseload data'!$C:$C,'divisional &amp; regional caseload%'!$B$29,'caseload data'!$D:$D,"PSO")/SUMIF('caseload data'!$C:$C,'divisional &amp; regional caseload%'!$B$29,'caseload data'!R:R),"")</f>
        <v/>
      </c>
      <c r="Q32" s="175" t="str">
        <f>IFERROR(SUMIFS('caseload data'!S:S,'caseload data'!$C:$C,'divisional &amp; regional caseload%'!$B$29,'caseload data'!$D:$D,"PSO")/SUMIF('caseload data'!$C:$C,'divisional &amp; regional caseload%'!$B$29,'caseload data'!S:S),"")</f>
        <v/>
      </c>
      <c r="R32" s="175" t="str">
        <f>IFERROR(SUMIFS('caseload data'!T:T,'caseload data'!$C:$C,'divisional &amp; regional caseload%'!$B$29,'caseload data'!$D:$D,"PSO")/SUMIF('caseload data'!$C:$C,'divisional &amp; regional caseload%'!$B$29,'caseload data'!T:T),"")</f>
        <v/>
      </c>
      <c r="S32" s="68"/>
      <c r="T32" s="101" t="s">
        <v>1172</v>
      </c>
      <c r="U32" s="175" t="str">
        <f>IFERROR(SUMIFS('caseload data'!E:E,'caseload data'!$C:$C,'divisional &amp; regional caseload%'!$T$29,'caseload data'!$D:$D,"PSO")/SUMIF('caseload data'!$C:$C,'divisional &amp; regional caseload%'!$T$29,'caseload data'!E:E),"")</f>
        <v/>
      </c>
      <c r="V32" s="175" t="str">
        <f>IFERROR(SUMIFS('caseload data'!F:F,'caseload data'!$C:$C,'divisional &amp; regional caseload%'!$T$29,'caseload data'!$D:$D,"PSO")/SUMIF('caseload data'!$C:$C,'divisional &amp; regional caseload%'!$T$29,'caseload data'!F:F),"")</f>
        <v/>
      </c>
      <c r="W32" s="175" t="str">
        <f>IFERROR(SUMIFS('caseload data'!G:G,'caseload data'!$C:$C,'divisional &amp; regional caseload%'!$T$29,'caseload data'!$D:$D,"PSO")/SUMIF('caseload data'!$C:$C,'divisional &amp; regional caseload%'!$T$29,'caseload data'!G:G),"")</f>
        <v/>
      </c>
      <c r="X32" s="175" t="str">
        <f>IFERROR(SUMIFS('caseload data'!H:H,'caseload data'!$C:$C,'divisional &amp; regional caseload%'!$T$29,'caseload data'!$D:$D,"PSO")/SUMIF('caseload data'!$C:$C,'divisional &amp; regional caseload%'!$T$29,'caseload data'!H:H),"")</f>
        <v/>
      </c>
      <c r="Y32" s="175" t="str">
        <f>IFERROR(SUMIFS('caseload data'!I:I,'caseload data'!$C:$C,'divisional &amp; regional caseload%'!$T$29,'caseload data'!$D:$D,"PSO")/SUMIF('caseload data'!$C:$C,'divisional &amp; regional caseload%'!$T$29,'caseload data'!I:I),"")</f>
        <v/>
      </c>
      <c r="Z32" s="175" t="str">
        <f>IFERROR(SUMIFS('caseload data'!J:J,'caseload data'!$C:$C,'divisional &amp; regional caseload%'!$T$29,'caseload data'!$D:$D,"PSO")/SUMIF('caseload data'!$C:$C,'divisional &amp; regional caseload%'!$T$29,'caseload data'!J:J),"")</f>
        <v/>
      </c>
      <c r="AA32" s="175" t="str">
        <f>IFERROR(SUMIFS('caseload data'!K:K,'caseload data'!$C:$C,'divisional &amp; regional caseload%'!$T$29,'caseload data'!$D:$D,"PSO")/SUMIF('caseload data'!$C:$C,'divisional &amp; regional caseload%'!$T$29,'caseload data'!K:K),"")</f>
        <v/>
      </c>
      <c r="AB32" s="175" t="str">
        <f>IFERROR(SUMIFS('caseload data'!L:L,'caseload data'!$C:$C,'divisional &amp; regional caseload%'!$T$29,'caseload data'!$D:$D,"PSO")/SUMIF('caseload data'!$C:$C,'divisional &amp; regional caseload%'!$T$29,'caseload data'!L:L),"")</f>
        <v/>
      </c>
      <c r="AC32" s="175" t="str">
        <f>IFERROR(SUMIFS('caseload data'!M:M,'caseload data'!$C:$C,'divisional &amp; regional caseload%'!$T$29,'caseload data'!$D:$D,"PSO")/SUMIF('caseload data'!$C:$C,'divisional &amp; regional caseload%'!$T$29,'caseload data'!M:M),"")</f>
        <v/>
      </c>
      <c r="AD32" s="175" t="str">
        <f>IFERROR(SUMIFS('caseload data'!N:N,'caseload data'!$C:$C,'divisional &amp; regional caseload%'!$T$29,'caseload data'!$D:$D,"PSO")/SUMIF('caseload data'!$C:$C,'divisional &amp; regional caseload%'!$T$29,'caseload data'!N:N),"")</f>
        <v/>
      </c>
      <c r="AE32" s="175" t="str">
        <f>IFERROR(SUMIFS('caseload data'!O:O,'caseload data'!$C:$C,'divisional &amp; regional caseload%'!$T$29,'caseload data'!$D:$D,"PSO")/SUMIF('caseload data'!$C:$C,'divisional &amp; regional caseload%'!$T$29,'caseload data'!O:O),"")</f>
        <v/>
      </c>
      <c r="AF32" s="175" t="str">
        <f>IFERROR(SUMIFS('caseload data'!P:P,'caseload data'!$C:$C,'divisional &amp; regional caseload%'!$T$29,'caseload data'!$D:$D,"PSO")/SUMIF('caseload data'!$C:$C,'divisional &amp; regional caseload%'!$T$29,'caseload data'!P:P),"")</f>
        <v/>
      </c>
      <c r="AG32" s="175" t="str">
        <f>IFERROR(SUMIFS('caseload data'!Q:Q,'caseload data'!$C:$C,'divisional &amp; regional caseload%'!$T$29,'caseload data'!$D:$D,"PSO")/SUMIF('caseload data'!$C:$C,'divisional &amp; regional caseload%'!$T$29,'caseload data'!Q:Q),"")</f>
        <v/>
      </c>
      <c r="AH32" s="175" t="str">
        <f>IFERROR(SUMIFS('caseload data'!R:R,'caseload data'!$C:$C,'divisional &amp; regional caseload%'!$T$29,'caseload data'!$D:$D,"PSO")/SUMIF('caseload data'!$C:$C,'divisional &amp; regional caseload%'!$T$29,'caseload data'!R:R),"")</f>
        <v/>
      </c>
      <c r="AI32" s="175" t="str">
        <f>IFERROR(SUMIFS('caseload data'!S:S,'caseload data'!$C:$C,'divisional &amp; regional caseload%'!$T$29,'caseload data'!$D:$D,"PSO")/SUMIF('caseload data'!$C:$C,'divisional &amp; regional caseload%'!$T$29,'caseload data'!S:S),"")</f>
        <v/>
      </c>
      <c r="AJ32" s="175" t="str">
        <f>IFERROR(SUMIFS('caseload data'!T:T,'caseload data'!$C:$C,'divisional &amp; regional caseload%'!$T$29,'caseload data'!$D:$D,"PSO")/SUMIF('caseload data'!$C:$C,'divisional &amp; regional caseload%'!$T$29,'caseload data'!T:T),"")</f>
        <v/>
      </c>
    </row>
    <row r="33" spans="2:36" x14ac:dyDescent="0.15">
      <c r="B33" s="101" t="s">
        <v>1173</v>
      </c>
      <c r="C33" s="175" t="str">
        <f>IFERROR(SUMIFS('caseload data'!E:E,'caseload data'!$C:$C,'divisional &amp; regional caseload%'!$B$29,'caseload data'!$D:$D,"TPO")/SUMIF('caseload data'!$C:$C,'divisional &amp; regional caseload%'!$B$29,'caseload data'!E:E),"")</f>
        <v/>
      </c>
      <c r="D33" s="175" t="str">
        <f>IFERROR(SUMIFS('caseload data'!F:F,'caseload data'!$C:$C,'divisional &amp; regional caseload%'!$B$29,'caseload data'!$D:$D,"TPO")/SUMIF('caseload data'!$C:$C,'divisional &amp; regional caseload%'!$B$29,'caseload data'!F:F),"")</f>
        <v/>
      </c>
      <c r="E33" s="175" t="str">
        <f>IFERROR(SUMIFS('caseload data'!G:G,'caseload data'!$C:$C,'divisional &amp; regional caseload%'!$B$29,'caseload data'!$D:$D,"TPO")/SUMIF('caseload data'!$C:$C,'divisional &amp; regional caseload%'!$B$29,'caseload data'!G:G),"")</f>
        <v/>
      </c>
      <c r="F33" s="175" t="str">
        <f>IFERROR(SUMIFS('caseload data'!H:H,'caseload data'!$C:$C,'divisional &amp; regional caseload%'!$B$29,'caseload data'!$D:$D,"TPO")/SUMIF('caseload data'!$C:$C,'divisional &amp; regional caseload%'!$B$29,'caseload data'!H:H),"")</f>
        <v/>
      </c>
      <c r="G33" s="175" t="str">
        <f>IFERROR(SUMIFS('caseload data'!I:I,'caseload data'!$C:$C,'divisional &amp; regional caseload%'!$B$29,'caseload data'!$D:$D,"TPO")/SUMIF('caseload data'!$C:$C,'divisional &amp; regional caseload%'!$B$29,'caseload data'!I:I),"")</f>
        <v/>
      </c>
      <c r="H33" s="175" t="str">
        <f>IFERROR(SUMIFS('caseload data'!J:J,'caseload data'!$C:$C,'divisional &amp; regional caseload%'!$B$29,'caseload data'!$D:$D,"TPO")/SUMIF('caseload data'!$C:$C,'divisional &amp; regional caseload%'!$B$29,'caseload data'!J:J),"")</f>
        <v/>
      </c>
      <c r="I33" s="175" t="str">
        <f>IFERROR(SUMIFS('caseload data'!K:K,'caseload data'!$C:$C,'divisional &amp; regional caseload%'!$B$29,'caseload data'!$D:$D,"TPO")/SUMIF('caseload data'!$C:$C,'divisional &amp; regional caseload%'!$B$29,'caseload data'!K:K),"")</f>
        <v/>
      </c>
      <c r="J33" s="175" t="str">
        <f>IFERROR(SUMIFS('caseload data'!L:L,'caseload data'!$C:$C,'divisional &amp; regional caseload%'!$B$29,'caseload data'!$D:$D,"TPO")/SUMIF('caseload data'!$C:$C,'divisional &amp; regional caseload%'!$B$29,'caseload data'!L:L),"")</f>
        <v/>
      </c>
      <c r="K33" s="175" t="str">
        <f>IFERROR(SUMIFS('caseload data'!M:M,'caseload data'!$C:$C,'divisional &amp; regional caseload%'!$B$29,'caseload data'!$D:$D,"TPO")/SUMIF('caseload data'!$C:$C,'divisional &amp; regional caseload%'!$B$29,'caseload data'!M:M),"")</f>
        <v/>
      </c>
      <c r="L33" s="175" t="str">
        <f>IFERROR(SUMIFS('caseload data'!N:N,'caseload data'!$C:$C,'divisional &amp; regional caseload%'!$B$29,'caseload data'!$D:$D,"TPO")/SUMIF('caseload data'!$C:$C,'divisional &amp; regional caseload%'!$B$29,'caseload data'!N:N),"")</f>
        <v/>
      </c>
      <c r="M33" s="175" t="str">
        <f>IFERROR(SUMIFS('caseload data'!O:O,'caseload data'!$C:$C,'divisional &amp; regional caseload%'!$B$29,'caseload data'!$D:$D,"TPO")/SUMIF('caseload data'!$C:$C,'divisional &amp; regional caseload%'!$B$29,'caseload data'!O:O),"")</f>
        <v/>
      </c>
      <c r="N33" s="175" t="str">
        <f>IFERROR(SUMIFS('caseload data'!P:P,'caseload data'!$C:$C,'divisional &amp; regional caseload%'!$B$29,'caseload data'!$D:$D,"TPO")/SUMIF('caseload data'!$C:$C,'divisional &amp; regional caseload%'!$B$29,'caseload data'!P:P),"")</f>
        <v/>
      </c>
      <c r="O33" s="175" t="str">
        <f>IFERROR(SUMIFS('caseload data'!Q:Q,'caseload data'!$C:$C,'divisional &amp; regional caseload%'!$B$29,'caseload data'!$D:$D,"TPO")/SUMIF('caseload data'!$C:$C,'divisional &amp; regional caseload%'!$B$29,'caseload data'!Q:Q),"")</f>
        <v/>
      </c>
      <c r="P33" s="175" t="str">
        <f>IFERROR(SUMIFS('caseload data'!R:R,'caseload data'!$C:$C,'divisional &amp; regional caseload%'!$B$29,'caseload data'!$D:$D,"TPO")/SUMIF('caseload data'!$C:$C,'divisional &amp; regional caseload%'!$B$29,'caseload data'!R:R),"")</f>
        <v/>
      </c>
      <c r="Q33" s="175" t="str">
        <f>IFERROR(SUMIFS('caseload data'!S:S,'caseload data'!$C:$C,'divisional &amp; regional caseload%'!$B$29,'caseload data'!$D:$D,"TPO")/SUMIF('caseload data'!$C:$C,'divisional &amp; regional caseload%'!$B$29,'caseload data'!S:S),"")</f>
        <v/>
      </c>
      <c r="R33" s="175" t="str">
        <f>IFERROR(SUMIFS('caseload data'!T:T,'caseload data'!$C:$C,'divisional &amp; regional caseload%'!$B$29,'caseload data'!$D:$D,"TPO")/SUMIF('caseload data'!$C:$C,'divisional &amp; regional caseload%'!$B$29,'caseload data'!T:T),"")</f>
        <v/>
      </c>
      <c r="S33" s="68"/>
      <c r="T33" s="101" t="s">
        <v>1173</v>
      </c>
      <c r="U33" s="175" t="str">
        <f>IFERROR(SUMIFS('caseload data'!E:E,'caseload data'!$C:$C,'divisional &amp; regional caseload%'!$T$29,'caseload data'!$D:$D,"TPO")/SUMIF('caseload data'!$C:$C,'divisional &amp; regional caseload%'!$T$29,'caseload data'!E:E),"")</f>
        <v/>
      </c>
      <c r="V33" s="175" t="str">
        <f>IFERROR(SUMIFS('caseload data'!F:F,'caseload data'!$C:$C,'divisional &amp; regional caseload%'!$T$29,'caseload data'!$D:$D,"TPO")/SUMIF('caseload data'!$C:$C,'divisional &amp; regional caseload%'!$T$29,'caseload data'!F:F),"")</f>
        <v/>
      </c>
      <c r="W33" s="175" t="str">
        <f>IFERROR(SUMIFS('caseload data'!G:G,'caseload data'!$C:$C,'divisional &amp; regional caseload%'!$T$29,'caseload data'!$D:$D,"TPO")/SUMIF('caseload data'!$C:$C,'divisional &amp; regional caseload%'!$T$29,'caseload data'!G:G),"")</f>
        <v/>
      </c>
      <c r="X33" s="175" t="str">
        <f>IFERROR(SUMIFS('caseload data'!H:H,'caseload data'!$C:$C,'divisional &amp; regional caseload%'!$T$29,'caseload data'!$D:$D,"TPO")/SUMIF('caseload data'!$C:$C,'divisional &amp; regional caseload%'!$T$29,'caseload data'!H:H),"")</f>
        <v/>
      </c>
      <c r="Y33" s="175" t="str">
        <f>IFERROR(SUMIFS('caseload data'!I:I,'caseload data'!$C:$C,'divisional &amp; regional caseload%'!$T$29,'caseload data'!$D:$D,"TPO")/SUMIF('caseload data'!$C:$C,'divisional &amp; regional caseload%'!$T$29,'caseload data'!I:I),"")</f>
        <v/>
      </c>
      <c r="Z33" s="175" t="str">
        <f>IFERROR(SUMIFS('caseload data'!J:J,'caseload data'!$C:$C,'divisional &amp; regional caseload%'!$T$29,'caseload data'!$D:$D,"TPO")/SUMIF('caseload data'!$C:$C,'divisional &amp; regional caseload%'!$T$29,'caseload data'!J:J),"")</f>
        <v/>
      </c>
      <c r="AA33" s="175" t="str">
        <f>IFERROR(SUMIFS('caseload data'!K:K,'caseload data'!$C:$C,'divisional &amp; regional caseload%'!$T$29,'caseload data'!$D:$D,"TPO")/SUMIF('caseload data'!$C:$C,'divisional &amp; regional caseload%'!$T$29,'caseload data'!K:K),"")</f>
        <v/>
      </c>
      <c r="AB33" s="175" t="str">
        <f>IFERROR(SUMIFS('caseload data'!L:L,'caseload data'!$C:$C,'divisional &amp; regional caseload%'!$T$29,'caseload data'!$D:$D,"TPO")/SUMIF('caseload data'!$C:$C,'divisional &amp; regional caseload%'!$T$29,'caseload data'!L:L),"")</f>
        <v/>
      </c>
      <c r="AC33" s="175" t="str">
        <f>IFERROR(SUMIFS('caseload data'!M:M,'caseload data'!$C:$C,'divisional &amp; regional caseload%'!$T$29,'caseload data'!$D:$D,"TPO")/SUMIF('caseload data'!$C:$C,'divisional &amp; regional caseload%'!$T$29,'caseload data'!M:M),"")</f>
        <v/>
      </c>
      <c r="AD33" s="175" t="str">
        <f>IFERROR(SUMIFS('caseload data'!N:N,'caseload data'!$C:$C,'divisional &amp; regional caseload%'!$T$29,'caseload data'!$D:$D,"TPO")/SUMIF('caseload data'!$C:$C,'divisional &amp; regional caseload%'!$T$29,'caseload data'!N:N),"")</f>
        <v/>
      </c>
      <c r="AE33" s="175" t="str">
        <f>IFERROR(SUMIFS('caseload data'!O:O,'caseload data'!$C:$C,'divisional &amp; regional caseload%'!$T$29,'caseload data'!$D:$D,"TPO")/SUMIF('caseload data'!$C:$C,'divisional &amp; regional caseload%'!$T$29,'caseload data'!O:O),"")</f>
        <v/>
      </c>
      <c r="AF33" s="175" t="str">
        <f>IFERROR(SUMIFS('caseload data'!P:P,'caseload data'!$C:$C,'divisional &amp; regional caseload%'!$T$29,'caseload data'!$D:$D,"TPO")/SUMIF('caseload data'!$C:$C,'divisional &amp; regional caseload%'!$T$29,'caseload data'!P:P),"")</f>
        <v/>
      </c>
      <c r="AG33" s="175" t="str">
        <f>IFERROR(SUMIFS('caseload data'!Q:Q,'caseload data'!$C:$C,'divisional &amp; regional caseload%'!$T$29,'caseload data'!$D:$D,"TPO")/SUMIF('caseload data'!$C:$C,'divisional &amp; regional caseload%'!$T$29,'caseload data'!Q:Q),"")</f>
        <v/>
      </c>
      <c r="AH33" s="175" t="str">
        <f>IFERROR(SUMIFS('caseload data'!R:R,'caseload data'!$C:$C,'divisional &amp; regional caseload%'!$T$29,'caseload data'!$D:$D,"TPO")/SUMIF('caseload data'!$C:$C,'divisional &amp; regional caseload%'!$T$29,'caseload data'!R:R),"")</f>
        <v/>
      </c>
      <c r="AI33" s="175" t="str">
        <f>IFERROR(SUMIFS('caseload data'!S:S,'caseload data'!$C:$C,'divisional &amp; regional caseload%'!$T$29,'caseload data'!$D:$D,"TPO")/SUMIF('caseload data'!$C:$C,'divisional &amp; regional caseload%'!$T$29,'caseload data'!S:S),"")</f>
        <v/>
      </c>
      <c r="AJ33" s="175" t="str">
        <f>IFERROR(SUMIFS('caseload data'!T:T,'caseload data'!$C:$C,'divisional &amp; regional caseload%'!$T$29,'caseload data'!$D:$D,"TPO")/SUMIF('caseload data'!$C:$C,'divisional &amp; regional caseload%'!$T$29,'caseload data'!T:T),"")</f>
        <v/>
      </c>
    </row>
    <row r="34" spans="2:36" x14ac:dyDescent="0.15">
      <c r="B34" s="102" t="s">
        <v>1174</v>
      </c>
      <c r="C34" s="175" t="str">
        <f>IFERROR(SUMIFS('caseload data'!E:E,'caseload data'!$C:$C,'divisional &amp; regional caseload%'!$B$29,'caseload data'!$D:$D,"SPO")/SUMIF('caseload data'!$C:$C,'divisional &amp; regional caseload%'!$B$29,'caseload data'!E:E),"")</f>
        <v/>
      </c>
      <c r="D34" s="175" t="str">
        <f>IFERROR(SUMIFS('caseload data'!F:F,'caseload data'!$C:$C,'divisional &amp; regional caseload%'!$B$29,'caseload data'!$D:$D,"SPO")/SUMIF('caseload data'!$C:$C,'divisional &amp; regional caseload%'!$B$29,'caseload data'!F:F),"")</f>
        <v/>
      </c>
      <c r="E34" s="175" t="str">
        <f>IFERROR(SUMIFS('caseload data'!G:G,'caseload data'!$C:$C,'divisional &amp; regional caseload%'!$B$29,'caseload data'!$D:$D,"SPO")/SUMIF('caseload data'!$C:$C,'divisional &amp; regional caseload%'!$B$29,'caseload data'!G:G),"")</f>
        <v/>
      </c>
      <c r="F34" s="175" t="str">
        <f>IFERROR(SUMIFS('caseload data'!H:H,'caseload data'!$C:$C,'divisional &amp; regional caseload%'!$B$29,'caseload data'!$D:$D,"SPO")/SUMIF('caseload data'!$C:$C,'divisional &amp; regional caseload%'!$B$29,'caseload data'!H:H),"")</f>
        <v/>
      </c>
      <c r="G34" s="175" t="str">
        <f>IFERROR(SUMIFS('caseload data'!I:I,'caseload data'!$C:$C,'divisional &amp; regional caseload%'!$B$29,'caseload data'!$D:$D,"SPO")/SUMIF('caseload data'!$C:$C,'divisional &amp; regional caseload%'!$B$29,'caseload data'!I:I),"")</f>
        <v/>
      </c>
      <c r="H34" s="175" t="str">
        <f>IFERROR(SUMIFS('caseload data'!J:J,'caseload data'!$C:$C,'divisional &amp; regional caseload%'!$B$29,'caseload data'!$D:$D,"SPO")/SUMIF('caseload data'!$C:$C,'divisional &amp; regional caseload%'!$B$29,'caseload data'!J:J),"")</f>
        <v/>
      </c>
      <c r="I34" s="175" t="str">
        <f>IFERROR(SUMIFS('caseload data'!K:K,'caseload data'!$C:$C,'divisional &amp; regional caseload%'!$B$29,'caseload data'!$D:$D,"SPO")/SUMIF('caseload data'!$C:$C,'divisional &amp; regional caseload%'!$B$29,'caseload data'!K:K),"")</f>
        <v/>
      </c>
      <c r="J34" s="175" t="str">
        <f>IFERROR(SUMIFS('caseload data'!L:L,'caseload data'!$C:$C,'divisional &amp; regional caseload%'!$B$29,'caseload data'!$D:$D,"SPO")/SUMIF('caseload data'!$C:$C,'divisional &amp; regional caseload%'!$B$29,'caseload data'!L:L),"")</f>
        <v/>
      </c>
      <c r="K34" s="175" t="str">
        <f>IFERROR(SUMIFS('caseload data'!M:M,'caseload data'!$C:$C,'divisional &amp; regional caseload%'!$B$29,'caseload data'!$D:$D,"SPO")/SUMIF('caseload data'!$C:$C,'divisional &amp; regional caseload%'!$B$29,'caseload data'!M:M),"")</f>
        <v/>
      </c>
      <c r="L34" s="175" t="str">
        <f>IFERROR(SUMIFS('caseload data'!N:N,'caseload data'!$C:$C,'divisional &amp; regional caseload%'!$B$29,'caseload data'!$D:$D,"SPO")/SUMIF('caseload data'!$C:$C,'divisional &amp; regional caseload%'!$B$29,'caseload data'!N:N),"")</f>
        <v/>
      </c>
      <c r="M34" s="175" t="str">
        <f>IFERROR(SUMIFS('caseload data'!O:O,'caseload data'!$C:$C,'divisional &amp; regional caseload%'!$B$29,'caseload data'!$D:$D,"SPO")/SUMIF('caseload data'!$C:$C,'divisional &amp; regional caseload%'!$B$29,'caseload data'!O:O),"")</f>
        <v/>
      </c>
      <c r="N34" s="175" t="str">
        <f>IFERROR(SUMIFS('caseload data'!P:P,'caseload data'!$C:$C,'divisional &amp; regional caseload%'!$B$29,'caseload data'!$D:$D,"SPO")/SUMIF('caseload data'!$C:$C,'divisional &amp; regional caseload%'!$B$29,'caseload data'!P:P),"")</f>
        <v/>
      </c>
      <c r="O34" s="175" t="str">
        <f>IFERROR(SUMIFS('caseload data'!Q:Q,'caseload data'!$C:$C,'divisional &amp; regional caseload%'!$B$29,'caseload data'!$D:$D,"SPO")/SUMIF('caseload data'!$C:$C,'divisional &amp; regional caseload%'!$B$29,'caseload data'!Q:Q),"")</f>
        <v/>
      </c>
      <c r="P34" s="175" t="str">
        <f>IFERROR(SUMIFS('caseload data'!R:R,'caseload data'!$C:$C,'divisional &amp; regional caseload%'!$B$29,'caseload data'!$D:$D,"SPO")/SUMIF('caseload data'!$C:$C,'divisional &amp; regional caseload%'!$B$29,'caseload data'!R:R),"")</f>
        <v/>
      </c>
      <c r="Q34" s="175" t="str">
        <f>IFERROR(SUMIFS('caseload data'!S:S,'caseload data'!$C:$C,'divisional &amp; regional caseload%'!$B$29,'caseload data'!$D:$D,"SPO")/SUMIF('caseload data'!$C:$C,'divisional &amp; regional caseload%'!$B$29,'caseload data'!S:S),"")</f>
        <v/>
      </c>
      <c r="R34" s="175" t="str">
        <f>IFERROR(SUMIFS('caseload data'!T:T,'caseload data'!$C:$C,'divisional &amp; regional caseload%'!$B$29,'caseload data'!$D:$D,"SPO")/SUMIF('caseload data'!$C:$C,'divisional &amp; regional caseload%'!$B$29,'caseload data'!T:T),"")</f>
        <v/>
      </c>
      <c r="S34" s="68"/>
      <c r="T34" s="102" t="s">
        <v>1174</v>
      </c>
      <c r="U34" s="175" t="str">
        <f>IFERROR(SUMIFS('caseload data'!E:E,'caseload data'!$C:$C,'divisional &amp; regional caseload%'!$T$29,'caseload data'!$D:$D,"SPO")/SUMIF('caseload data'!$C:$C,'divisional &amp; regional caseload%'!$T$29,'caseload data'!E:E),"")</f>
        <v/>
      </c>
      <c r="V34" s="175" t="str">
        <f>IFERROR(SUMIFS('caseload data'!F:F,'caseload data'!$C:$C,'divisional &amp; regional caseload%'!$T$29,'caseload data'!$D:$D,"SPO")/SUMIF('caseload data'!$C:$C,'divisional &amp; regional caseload%'!$T$29,'caseload data'!F:F),"")</f>
        <v/>
      </c>
      <c r="W34" s="175" t="str">
        <f>IFERROR(SUMIFS('caseload data'!G:G,'caseload data'!$C:$C,'divisional &amp; regional caseload%'!$T$29,'caseload data'!$D:$D,"SPO")/SUMIF('caseload data'!$C:$C,'divisional &amp; regional caseload%'!$T$29,'caseload data'!G:G),"")</f>
        <v/>
      </c>
      <c r="X34" s="175" t="str">
        <f>IFERROR(SUMIFS('caseload data'!H:H,'caseload data'!$C:$C,'divisional &amp; regional caseload%'!$T$29,'caseload data'!$D:$D,"SPO")/SUMIF('caseload data'!$C:$C,'divisional &amp; regional caseload%'!$T$29,'caseload data'!H:H),"")</f>
        <v/>
      </c>
      <c r="Y34" s="175" t="str">
        <f>IFERROR(SUMIFS('caseload data'!I:I,'caseload data'!$C:$C,'divisional &amp; regional caseload%'!$T$29,'caseload data'!$D:$D,"SPO")/SUMIF('caseload data'!$C:$C,'divisional &amp; regional caseload%'!$T$29,'caseload data'!I:I),"")</f>
        <v/>
      </c>
      <c r="Z34" s="175" t="str">
        <f>IFERROR(SUMIFS('caseload data'!J:J,'caseload data'!$C:$C,'divisional &amp; regional caseload%'!$T$29,'caseload data'!$D:$D,"SPO")/SUMIF('caseload data'!$C:$C,'divisional &amp; regional caseload%'!$T$29,'caseload data'!J:J),"")</f>
        <v/>
      </c>
      <c r="AA34" s="175" t="str">
        <f>IFERROR(SUMIFS('caseload data'!K:K,'caseload data'!$C:$C,'divisional &amp; regional caseload%'!$T$29,'caseload data'!$D:$D,"SPO")/SUMIF('caseload data'!$C:$C,'divisional &amp; regional caseload%'!$T$29,'caseload data'!K:K),"")</f>
        <v/>
      </c>
      <c r="AB34" s="175" t="str">
        <f>IFERROR(SUMIFS('caseload data'!L:L,'caseload data'!$C:$C,'divisional &amp; regional caseload%'!$T$29,'caseload data'!$D:$D,"SPO")/SUMIF('caseload data'!$C:$C,'divisional &amp; regional caseload%'!$T$29,'caseload data'!L:L),"")</f>
        <v/>
      </c>
      <c r="AC34" s="175" t="str">
        <f>IFERROR(SUMIFS('caseload data'!M:M,'caseload data'!$C:$C,'divisional &amp; regional caseload%'!$T$29,'caseload data'!$D:$D,"SPO")/SUMIF('caseload data'!$C:$C,'divisional &amp; regional caseload%'!$T$29,'caseload data'!M:M),"")</f>
        <v/>
      </c>
      <c r="AD34" s="175" t="str">
        <f>IFERROR(SUMIFS('caseload data'!N:N,'caseload data'!$C:$C,'divisional &amp; regional caseload%'!$T$29,'caseload data'!$D:$D,"SPO")/SUMIF('caseload data'!$C:$C,'divisional &amp; regional caseload%'!$T$29,'caseload data'!N:N),"")</f>
        <v/>
      </c>
      <c r="AE34" s="175" t="str">
        <f>IFERROR(SUMIFS('caseload data'!O:O,'caseload data'!$C:$C,'divisional &amp; regional caseload%'!$T$29,'caseload data'!$D:$D,"SPO")/SUMIF('caseload data'!$C:$C,'divisional &amp; regional caseload%'!$T$29,'caseload data'!O:O),"")</f>
        <v/>
      </c>
      <c r="AF34" s="175" t="str">
        <f>IFERROR(SUMIFS('caseload data'!P:P,'caseload data'!$C:$C,'divisional &amp; regional caseload%'!$T$29,'caseload data'!$D:$D,"SPO")/SUMIF('caseload data'!$C:$C,'divisional &amp; regional caseload%'!$T$29,'caseload data'!P:P),"")</f>
        <v/>
      </c>
      <c r="AG34" s="175" t="str">
        <f>IFERROR(SUMIFS('caseload data'!Q:Q,'caseload data'!$C:$C,'divisional &amp; regional caseload%'!$T$29,'caseload data'!$D:$D,"SPO")/SUMIF('caseload data'!$C:$C,'divisional &amp; regional caseload%'!$T$29,'caseload data'!Q:Q),"")</f>
        <v/>
      </c>
      <c r="AH34" s="175" t="str">
        <f>IFERROR(SUMIFS('caseload data'!R:R,'caseload data'!$C:$C,'divisional &amp; regional caseload%'!$T$29,'caseload data'!$D:$D,"SPO")/SUMIF('caseload data'!$C:$C,'divisional &amp; regional caseload%'!$T$29,'caseload data'!R:R),"")</f>
        <v/>
      </c>
      <c r="AI34" s="175" t="str">
        <f>IFERROR(SUMIFS('caseload data'!S:S,'caseload data'!$C:$C,'divisional &amp; regional caseload%'!$T$29,'caseload data'!$D:$D,"SPO")/SUMIF('caseload data'!$C:$C,'divisional &amp; regional caseload%'!$T$29,'caseload data'!S:S),"")</f>
        <v/>
      </c>
      <c r="AJ34" s="175" t="str">
        <f>IFERROR(SUMIFS('caseload data'!T:T,'caseload data'!$C:$C,'divisional &amp; regional caseload%'!$T$29,'caseload data'!$D:$D,"SPO")/SUMIF('caseload data'!$C:$C,'divisional &amp; regional caseload%'!$T$29,'caseload data'!T:T),"")</f>
        <v/>
      </c>
    </row>
    <row r="35" spans="2:36" x14ac:dyDescent="0.15">
      <c r="B35" s="95"/>
      <c r="C35" s="68"/>
      <c r="D35" s="68"/>
      <c r="E35" s="68"/>
      <c r="F35" s="68"/>
      <c r="G35" s="68"/>
      <c r="H35" s="68"/>
      <c r="I35" s="68"/>
      <c r="J35" s="68"/>
      <c r="K35" s="68"/>
      <c r="L35" s="68"/>
      <c r="M35" s="68"/>
      <c r="N35" s="68"/>
      <c r="O35" s="68"/>
      <c r="P35" s="68"/>
      <c r="Q35" s="68"/>
      <c r="R35" s="68"/>
      <c r="S35" s="68"/>
      <c r="T35" s="95"/>
      <c r="U35" s="68"/>
      <c r="V35" s="68"/>
      <c r="W35" s="68"/>
      <c r="X35" s="68"/>
      <c r="Y35" s="68"/>
      <c r="Z35" s="68"/>
      <c r="AA35" s="68"/>
      <c r="AB35" s="68"/>
      <c r="AC35" s="68"/>
      <c r="AD35" s="68"/>
      <c r="AE35" s="68"/>
      <c r="AF35" s="68"/>
      <c r="AG35" s="68"/>
      <c r="AH35" s="68"/>
      <c r="AI35" s="68"/>
      <c r="AJ35" s="68"/>
    </row>
    <row r="36" spans="2:36" ht="27.75" customHeight="1" x14ac:dyDescent="0.15">
      <c r="B36" s="302">
        <f>HLOOKUP($B$5,Region_Table,10,0)</f>
        <v>0</v>
      </c>
      <c r="C36" s="475" t="s">
        <v>1275</v>
      </c>
      <c r="D36" s="476"/>
      <c r="E36" s="476"/>
      <c r="F36" s="476"/>
      <c r="G36" s="476"/>
      <c r="H36" s="476"/>
      <c r="I36" s="476"/>
      <c r="J36" s="476"/>
      <c r="K36" s="476"/>
      <c r="L36" s="476"/>
      <c r="M36" s="477"/>
      <c r="N36" s="477"/>
      <c r="O36" s="478"/>
      <c r="P36" s="462">
        <f>SUMIF('caseload data'!$C:$C,'divisional &amp; regional caseload%'!B36,'caseload data'!V:V)</f>
        <v>0</v>
      </c>
      <c r="Q36" s="479"/>
      <c r="R36" s="480"/>
      <c r="S36" s="68"/>
      <c r="T36" s="302">
        <f>HLOOKUP($B$5,Region_Table,11,0)</f>
        <v>0</v>
      </c>
      <c r="U36" s="475" t="s">
        <v>1275</v>
      </c>
      <c r="V36" s="476"/>
      <c r="W36" s="476"/>
      <c r="X36" s="476"/>
      <c r="Y36" s="476"/>
      <c r="Z36" s="476"/>
      <c r="AA36" s="476"/>
      <c r="AB36" s="476"/>
      <c r="AC36" s="476"/>
      <c r="AD36" s="476"/>
      <c r="AE36" s="477"/>
      <c r="AF36" s="477"/>
      <c r="AG36" s="478"/>
      <c r="AH36" s="462">
        <f>SUMIF('caseload data'!$C:$C,'divisional &amp; regional caseload%'!T36,'caseload data'!V:V)</f>
        <v>0</v>
      </c>
      <c r="AI36" s="479"/>
      <c r="AJ36" s="480"/>
    </row>
    <row r="37" spans="2:36" x14ac:dyDescent="0.15">
      <c r="B37" s="99" t="s">
        <v>1171</v>
      </c>
      <c r="C37" s="40" t="s">
        <v>1022</v>
      </c>
      <c r="D37" s="40" t="s">
        <v>1023</v>
      </c>
      <c r="E37" s="40" t="s">
        <v>1024</v>
      </c>
      <c r="F37" s="40" t="s">
        <v>1025</v>
      </c>
      <c r="G37" s="40" t="s">
        <v>1026</v>
      </c>
      <c r="H37" s="40" t="s">
        <v>1027</v>
      </c>
      <c r="I37" s="40" t="s">
        <v>1028</v>
      </c>
      <c r="J37" s="40" t="s">
        <v>1029</v>
      </c>
      <c r="K37" s="40" t="s">
        <v>1030</v>
      </c>
      <c r="L37" s="40" t="s">
        <v>1031</v>
      </c>
      <c r="M37" s="40" t="s">
        <v>1032</v>
      </c>
      <c r="N37" s="40" t="s">
        <v>1033</v>
      </c>
      <c r="O37" s="40" t="s">
        <v>1034</v>
      </c>
      <c r="P37" s="40" t="s">
        <v>1035</v>
      </c>
      <c r="Q37" s="40" t="s">
        <v>1036</v>
      </c>
      <c r="R37" s="40" t="s">
        <v>1037</v>
      </c>
      <c r="S37" s="68"/>
      <c r="T37" s="99" t="s">
        <v>1171</v>
      </c>
      <c r="U37" s="40" t="s">
        <v>1022</v>
      </c>
      <c r="V37" s="40" t="s">
        <v>1023</v>
      </c>
      <c r="W37" s="40" t="s">
        <v>1024</v>
      </c>
      <c r="X37" s="40" t="s">
        <v>1025</v>
      </c>
      <c r="Y37" s="40" t="s">
        <v>1026</v>
      </c>
      <c r="Z37" s="40" t="s">
        <v>1027</v>
      </c>
      <c r="AA37" s="40" t="s">
        <v>1028</v>
      </c>
      <c r="AB37" s="40" t="s">
        <v>1029</v>
      </c>
      <c r="AC37" s="40" t="s">
        <v>1030</v>
      </c>
      <c r="AD37" s="40" t="s">
        <v>1031</v>
      </c>
      <c r="AE37" s="40" t="s">
        <v>1032</v>
      </c>
      <c r="AF37" s="40" t="s">
        <v>1033</v>
      </c>
      <c r="AG37" s="40" t="s">
        <v>1034</v>
      </c>
      <c r="AH37" s="40" t="s">
        <v>1035</v>
      </c>
      <c r="AI37" s="40" t="s">
        <v>1036</v>
      </c>
      <c r="AJ37" s="40" t="s">
        <v>1037</v>
      </c>
    </row>
    <row r="38" spans="2:36" x14ac:dyDescent="0.15">
      <c r="B38" s="100" t="s">
        <v>1166</v>
      </c>
      <c r="C38" s="175" t="str">
        <f>IFERROR(SUMIFS('caseload data'!E:E,'caseload data'!$C:$C,'divisional &amp; regional caseload%'!$B$36,'caseload data'!$D:$D,"PO")/SUMIF('caseload data'!$C:$C,'divisional &amp; regional caseload%'!$B$36,'caseload data'!E:E),"")</f>
        <v/>
      </c>
      <c r="D38" s="175" t="str">
        <f>IFERROR(SUMIFS('caseload data'!F:F,'caseload data'!$C:$C,'divisional &amp; regional caseload%'!$B$36,'caseload data'!$D:$D,"PO")/SUMIF('caseload data'!$C:$C,'divisional &amp; regional caseload%'!$B$36,'caseload data'!F:F),"")</f>
        <v/>
      </c>
      <c r="E38" s="175" t="str">
        <f>IFERROR(SUMIFS('caseload data'!G:G,'caseload data'!$C:$C,'divisional &amp; regional caseload%'!$B$36,'caseload data'!$D:$D,"PO")/SUMIF('caseload data'!$C:$C,'divisional &amp; regional caseload%'!$B$36,'caseload data'!G:G),"")</f>
        <v/>
      </c>
      <c r="F38" s="175" t="str">
        <f>IFERROR(SUMIFS('caseload data'!H:H,'caseload data'!$C:$C,'divisional &amp; regional caseload%'!$B$36,'caseload data'!$D:$D,"PO")/SUMIF('caseload data'!$C:$C,'divisional &amp; regional caseload%'!$B$36,'caseload data'!H:H),"")</f>
        <v/>
      </c>
      <c r="G38" s="175" t="str">
        <f>IFERROR(SUMIFS('caseload data'!I:I,'caseload data'!$C:$C,'divisional &amp; regional caseload%'!$B$36,'caseload data'!$D:$D,"PO")/SUMIF('caseload data'!$C:$C,'divisional &amp; regional caseload%'!$B$36,'caseload data'!I:I),"")</f>
        <v/>
      </c>
      <c r="H38" s="175" t="str">
        <f>IFERROR(SUMIFS('caseload data'!J:J,'caseload data'!$C:$C,'divisional &amp; regional caseload%'!$B$36,'caseload data'!$D:$D,"PO")/SUMIF('caseload data'!$C:$C,'divisional &amp; regional caseload%'!$B$36,'caseload data'!J:J),"")</f>
        <v/>
      </c>
      <c r="I38" s="175" t="str">
        <f>IFERROR(SUMIFS('caseload data'!K:K,'caseload data'!$C:$C,'divisional &amp; regional caseload%'!$B$36,'caseload data'!$D:$D,"PO")/SUMIF('caseload data'!$C:$C,'divisional &amp; regional caseload%'!$B$36,'caseload data'!K:K),"")</f>
        <v/>
      </c>
      <c r="J38" s="175" t="str">
        <f>IFERROR(SUMIFS('caseload data'!L:L,'caseload data'!$C:$C,'divisional &amp; regional caseload%'!$B$36,'caseload data'!$D:$D,"PO")/SUMIF('caseload data'!$C:$C,'divisional &amp; regional caseload%'!$B$36,'caseload data'!L:L),"")</f>
        <v/>
      </c>
      <c r="K38" s="175" t="str">
        <f>IFERROR(SUMIFS('caseload data'!M:M,'caseload data'!$C:$C,'divisional &amp; regional caseload%'!$B$36,'caseload data'!$D:$D,"PO")/SUMIF('caseload data'!$C:$C,'divisional &amp; regional caseload%'!$B$36,'caseload data'!M:M),"")</f>
        <v/>
      </c>
      <c r="L38" s="175" t="str">
        <f>IFERROR(SUMIFS('caseload data'!N:N,'caseload data'!$C:$C,'divisional &amp; regional caseload%'!$B$36,'caseload data'!$D:$D,"PO")/SUMIF('caseload data'!$C:$C,'divisional &amp; regional caseload%'!$B$36,'caseload data'!N:N),"")</f>
        <v/>
      </c>
      <c r="M38" s="175" t="str">
        <f>IFERROR(SUMIFS('caseload data'!O:O,'caseload data'!$C:$C,'divisional &amp; regional caseload%'!$B$36,'caseload data'!$D:$D,"PO")/SUMIF('caseload data'!$C:$C,'divisional &amp; regional caseload%'!$B$36,'caseload data'!O:O),"")</f>
        <v/>
      </c>
      <c r="N38" s="175" t="str">
        <f>IFERROR(SUMIFS('caseload data'!P:P,'caseload data'!$C:$C,'divisional &amp; regional caseload%'!$B$36,'caseload data'!$D:$D,"PO")/SUMIF('caseload data'!$C:$C,'divisional &amp; regional caseload%'!$B$36,'caseload data'!P:P),"")</f>
        <v/>
      </c>
      <c r="O38" s="175" t="str">
        <f>IFERROR(SUMIFS('caseload data'!Q:Q,'caseload data'!$C:$C,'divisional &amp; regional caseload%'!$B$36,'caseload data'!$D:$D,"PO")/SUMIF('caseload data'!$C:$C,'divisional &amp; regional caseload%'!$B$36,'caseload data'!Q:Q),"")</f>
        <v/>
      </c>
      <c r="P38" s="175" t="str">
        <f>IFERROR(SUMIFS('caseload data'!R:R,'caseload data'!$C:$C,'divisional &amp; regional caseload%'!$B$36,'caseload data'!$D:$D,"PO")/SUMIF('caseload data'!$C:$C,'divisional &amp; regional caseload%'!$B$36,'caseload data'!R:R),"")</f>
        <v/>
      </c>
      <c r="Q38" s="175" t="str">
        <f>IFERROR(SUMIFS('caseload data'!S:S,'caseload data'!$C:$C,'divisional &amp; regional caseload%'!$B$36,'caseload data'!$D:$D,"PO")/SUMIF('caseload data'!$C:$C,'divisional &amp; regional caseload%'!$B$36,'caseload data'!S:S),"")</f>
        <v/>
      </c>
      <c r="R38" s="175" t="str">
        <f>IFERROR(SUMIFS('caseload data'!T:T,'caseload data'!$C:$C,'divisional &amp; regional caseload%'!$B$36,'caseload data'!$D:$D,"PO")/SUMIF('caseload data'!$C:$C,'divisional &amp; regional caseload%'!$B$36,'caseload data'!T:T),"")</f>
        <v/>
      </c>
      <c r="S38" s="68"/>
      <c r="T38" s="100" t="s">
        <v>1166</v>
      </c>
      <c r="U38" s="175" t="str">
        <f>IFERROR(SUMIFS('caseload data'!E:E,'caseload data'!$C:$C,'divisional &amp; regional caseload%'!$T$36,'caseload data'!$D:$D,"PO")/SUMIF('caseload data'!$C:$C,'divisional &amp; regional caseload%'!$T$36,'caseload data'!E:E),"")</f>
        <v/>
      </c>
      <c r="V38" s="175" t="str">
        <f>IFERROR(SUMIFS('caseload data'!F:F,'caseload data'!$C:$C,'divisional &amp; regional caseload%'!$T$36,'caseload data'!$D:$D,"PO")/SUMIF('caseload data'!$C:$C,'divisional &amp; regional caseload%'!$T$36,'caseload data'!F:F),"")</f>
        <v/>
      </c>
      <c r="W38" s="175" t="str">
        <f>IFERROR(SUMIFS('caseload data'!G:G,'caseload data'!$C:$C,'divisional &amp; regional caseload%'!$T$36,'caseload data'!$D:$D,"PO")/SUMIF('caseload data'!$C:$C,'divisional &amp; regional caseload%'!$T$36,'caseload data'!G:G),"")</f>
        <v/>
      </c>
      <c r="X38" s="175" t="str">
        <f>IFERROR(SUMIFS('caseload data'!H:H,'caseload data'!$C:$C,'divisional &amp; regional caseload%'!$T$36,'caseload data'!$D:$D,"PO")/SUMIF('caseload data'!$C:$C,'divisional &amp; regional caseload%'!$T$36,'caseload data'!H:H),"")</f>
        <v/>
      </c>
      <c r="Y38" s="175" t="str">
        <f>IFERROR(SUMIFS('caseload data'!I:I,'caseload data'!$C:$C,'divisional &amp; regional caseload%'!$T$36,'caseload data'!$D:$D,"PO")/SUMIF('caseload data'!$C:$C,'divisional &amp; regional caseload%'!$T$36,'caseload data'!I:I),"")</f>
        <v/>
      </c>
      <c r="Z38" s="175" t="str">
        <f>IFERROR(SUMIFS('caseload data'!J:J,'caseload data'!$C:$C,'divisional &amp; regional caseload%'!$T$36,'caseload data'!$D:$D,"PO")/SUMIF('caseload data'!$C:$C,'divisional &amp; regional caseload%'!$T$36,'caseload data'!J:J),"")</f>
        <v/>
      </c>
      <c r="AA38" s="175" t="str">
        <f>IFERROR(SUMIFS('caseload data'!K:K,'caseload data'!$C:$C,'divisional &amp; regional caseload%'!$T$36,'caseload data'!$D:$D,"PO")/SUMIF('caseload data'!$C:$C,'divisional &amp; regional caseload%'!$T$36,'caseload data'!K:K),"")</f>
        <v/>
      </c>
      <c r="AB38" s="175" t="str">
        <f>IFERROR(SUMIFS('caseload data'!L:L,'caseload data'!$C:$C,'divisional &amp; regional caseload%'!$T$36,'caseload data'!$D:$D,"PO")/SUMIF('caseload data'!$C:$C,'divisional &amp; regional caseload%'!$T$36,'caseload data'!L:L),"")</f>
        <v/>
      </c>
      <c r="AC38" s="175" t="str">
        <f>IFERROR(SUMIFS('caseload data'!M:M,'caseload data'!$C:$C,'divisional &amp; regional caseload%'!$T$36,'caseload data'!$D:$D,"PO")/SUMIF('caseload data'!$C:$C,'divisional &amp; regional caseload%'!$T$36,'caseload data'!M:M),"")</f>
        <v/>
      </c>
      <c r="AD38" s="175" t="str">
        <f>IFERROR(SUMIFS('caseload data'!N:N,'caseload data'!$C:$C,'divisional &amp; regional caseload%'!$T$36,'caseload data'!$D:$D,"PO")/SUMIF('caseload data'!$C:$C,'divisional &amp; regional caseload%'!$T$36,'caseload data'!N:N),"")</f>
        <v/>
      </c>
      <c r="AE38" s="175" t="str">
        <f>IFERROR(SUMIFS('caseload data'!O:O,'caseload data'!$C:$C,'divisional &amp; regional caseload%'!$T$36,'caseload data'!$D:$D,"PO")/SUMIF('caseload data'!$C:$C,'divisional &amp; regional caseload%'!$T$36,'caseload data'!O:O),"")</f>
        <v/>
      </c>
      <c r="AF38" s="175" t="str">
        <f>IFERROR(SUMIFS('caseload data'!P:P,'caseload data'!$C:$C,'divisional &amp; regional caseload%'!$T$36,'caseload data'!$D:$D,"PO")/SUMIF('caseload data'!$C:$C,'divisional &amp; regional caseload%'!$T$36,'caseload data'!P:P),"")</f>
        <v/>
      </c>
      <c r="AG38" s="175" t="str">
        <f>IFERROR(SUMIFS('caseload data'!Q:Q,'caseload data'!$C:$C,'divisional &amp; regional caseload%'!$T$36,'caseload data'!$D:$D,"PO")/SUMIF('caseload data'!$C:$C,'divisional &amp; regional caseload%'!$T$36,'caseload data'!Q:Q),"")</f>
        <v/>
      </c>
      <c r="AH38" s="175" t="str">
        <f>IFERROR(SUMIFS('caseload data'!R:R,'caseload data'!$C:$C,'divisional &amp; regional caseload%'!$T$36,'caseload data'!$D:$D,"PO")/SUMIF('caseload data'!$C:$C,'divisional &amp; regional caseload%'!$T$36,'caseload data'!R:R),"")</f>
        <v/>
      </c>
      <c r="AI38" s="175" t="str">
        <f>IFERROR(SUMIFS('caseload data'!S:S,'caseload data'!$C:$C,'divisional &amp; regional caseload%'!$T$36,'caseload data'!$D:$D,"PO")/SUMIF('caseload data'!$C:$C,'divisional &amp; regional caseload%'!$T$36,'caseload data'!S:S),"")</f>
        <v/>
      </c>
      <c r="AJ38" s="175" t="str">
        <f>IFERROR(SUMIFS('caseload data'!T:T,'caseload data'!$C:$C,'divisional &amp; regional caseload%'!$T$36,'caseload data'!$D:$D,"PO")/SUMIF('caseload data'!$C:$C,'divisional &amp; regional caseload%'!$T$36,'caseload data'!T:T),"")</f>
        <v/>
      </c>
    </row>
    <row r="39" spans="2:36" x14ac:dyDescent="0.15">
      <c r="B39" s="101" t="s">
        <v>1172</v>
      </c>
      <c r="C39" s="175" t="str">
        <f>IFERROR(SUMIFS('caseload data'!E:E,'caseload data'!$C:$C,'divisional &amp; regional caseload%'!$B$36,'caseload data'!$D:$D,"PSO")/SUMIF('caseload data'!$C:$C,'divisional &amp; regional caseload%'!$B$36,'caseload data'!E:E),"")</f>
        <v/>
      </c>
      <c r="D39" s="175" t="str">
        <f>IFERROR(SUMIFS('caseload data'!F:F,'caseload data'!$C:$C,'divisional &amp; regional caseload%'!$B$36,'caseload data'!$D:$D,"PSO")/SUMIF('caseload data'!$C:$C,'divisional &amp; regional caseload%'!$B$36,'caseload data'!F:F),"")</f>
        <v/>
      </c>
      <c r="E39" s="175" t="str">
        <f>IFERROR(SUMIFS('caseload data'!G:G,'caseload data'!$C:$C,'divisional &amp; regional caseload%'!$B$36,'caseload data'!$D:$D,"PSO")/SUMIF('caseload data'!$C:$C,'divisional &amp; regional caseload%'!$B$36,'caseload data'!G:G),"")</f>
        <v/>
      </c>
      <c r="F39" s="175" t="str">
        <f>IFERROR(SUMIFS('caseload data'!H:H,'caseload data'!$C:$C,'divisional &amp; regional caseload%'!$B$36,'caseload data'!$D:$D,"PSO")/SUMIF('caseload data'!$C:$C,'divisional &amp; regional caseload%'!$B$36,'caseload data'!H:H),"")</f>
        <v/>
      </c>
      <c r="G39" s="175" t="str">
        <f>IFERROR(SUMIFS('caseload data'!I:I,'caseload data'!$C:$C,'divisional &amp; regional caseload%'!$B$36,'caseload data'!$D:$D,"PSO")/SUMIF('caseload data'!$C:$C,'divisional &amp; regional caseload%'!$B$36,'caseload data'!I:I),"")</f>
        <v/>
      </c>
      <c r="H39" s="175" t="str">
        <f>IFERROR(SUMIFS('caseload data'!J:J,'caseload data'!$C:$C,'divisional &amp; regional caseload%'!$B$36,'caseload data'!$D:$D,"PSO")/SUMIF('caseload data'!$C:$C,'divisional &amp; regional caseload%'!$B$36,'caseload data'!J:J),"")</f>
        <v/>
      </c>
      <c r="I39" s="175" t="str">
        <f>IFERROR(SUMIFS('caseload data'!K:K,'caseload data'!$C:$C,'divisional &amp; regional caseload%'!$B$36,'caseload data'!$D:$D,"PSO")/SUMIF('caseload data'!$C:$C,'divisional &amp; regional caseload%'!$B$36,'caseload data'!K:K),"")</f>
        <v/>
      </c>
      <c r="J39" s="175" t="str">
        <f>IFERROR(SUMIFS('caseload data'!L:L,'caseload data'!$C:$C,'divisional &amp; regional caseload%'!$B$36,'caseload data'!$D:$D,"PSO")/SUMIF('caseload data'!$C:$C,'divisional &amp; regional caseload%'!$B$36,'caseload data'!L:L),"")</f>
        <v/>
      </c>
      <c r="K39" s="175" t="str">
        <f>IFERROR(SUMIFS('caseload data'!M:M,'caseload data'!$C:$C,'divisional &amp; regional caseload%'!$B$36,'caseload data'!$D:$D,"PSO")/SUMIF('caseload data'!$C:$C,'divisional &amp; regional caseload%'!$B$36,'caseload data'!M:M),"")</f>
        <v/>
      </c>
      <c r="L39" s="175" t="str">
        <f>IFERROR(SUMIFS('caseload data'!N:N,'caseload data'!$C:$C,'divisional &amp; regional caseload%'!$B$36,'caseload data'!$D:$D,"PSO")/SUMIF('caseload data'!$C:$C,'divisional &amp; regional caseload%'!$B$36,'caseload data'!N:N),"")</f>
        <v/>
      </c>
      <c r="M39" s="175" t="str">
        <f>IFERROR(SUMIFS('caseload data'!O:O,'caseload data'!$C:$C,'divisional &amp; regional caseload%'!$B$36,'caseload data'!$D:$D,"PSO")/SUMIF('caseload data'!$C:$C,'divisional &amp; regional caseload%'!$B$36,'caseload data'!O:O),"")</f>
        <v/>
      </c>
      <c r="N39" s="175" t="str">
        <f>IFERROR(SUMIFS('caseload data'!P:P,'caseload data'!$C:$C,'divisional &amp; regional caseload%'!$B$36,'caseload data'!$D:$D,"PSO")/SUMIF('caseload data'!$C:$C,'divisional &amp; regional caseload%'!$B$36,'caseload data'!P:P),"")</f>
        <v/>
      </c>
      <c r="O39" s="175" t="str">
        <f>IFERROR(SUMIFS('caseload data'!Q:Q,'caseload data'!$C:$C,'divisional &amp; regional caseload%'!$B$36,'caseload data'!$D:$D,"PSO")/SUMIF('caseload data'!$C:$C,'divisional &amp; regional caseload%'!$B$36,'caseload data'!Q:Q),"")</f>
        <v/>
      </c>
      <c r="P39" s="175" t="str">
        <f>IFERROR(SUMIFS('caseload data'!R:R,'caseload data'!$C:$C,'divisional &amp; regional caseload%'!$B$36,'caseload data'!$D:$D,"PSO")/SUMIF('caseload data'!$C:$C,'divisional &amp; regional caseload%'!$B$36,'caseload data'!R:R),"")</f>
        <v/>
      </c>
      <c r="Q39" s="175" t="str">
        <f>IFERROR(SUMIFS('caseload data'!S:S,'caseload data'!$C:$C,'divisional &amp; regional caseload%'!$B$36,'caseload data'!$D:$D,"PSO")/SUMIF('caseload data'!$C:$C,'divisional &amp; regional caseload%'!$B$36,'caseload data'!S:S),"")</f>
        <v/>
      </c>
      <c r="R39" s="175" t="str">
        <f>IFERROR(SUMIFS('caseload data'!T:T,'caseload data'!$C:$C,'divisional &amp; regional caseload%'!$B$36,'caseload data'!$D:$D,"PSO")/SUMIF('caseload data'!$C:$C,'divisional &amp; regional caseload%'!$B$36,'caseload data'!T:T),"")</f>
        <v/>
      </c>
      <c r="S39" s="68"/>
      <c r="T39" s="101" t="s">
        <v>1172</v>
      </c>
      <c r="U39" s="175" t="str">
        <f>IFERROR(SUMIFS('caseload data'!E:E,'caseload data'!$C:$C,'divisional &amp; regional caseload%'!$T$36,'caseload data'!$D:$D,"PSO")/SUMIF('caseload data'!$C:$C,'divisional &amp; regional caseload%'!$T$36,'caseload data'!E:E),"")</f>
        <v/>
      </c>
      <c r="V39" s="175" t="str">
        <f>IFERROR(SUMIFS('caseload data'!F:F,'caseload data'!$C:$C,'divisional &amp; regional caseload%'!$T$36,'caseload data'!$D:$D,"PSO")/SUMIF('caseload data'!$C:$C,'divisional &amp; regional caseload%'!$T$36,'caseload data'!F:F),"")</f>
        <v/>
      </c>
      <c r="W39" s="175" t="str">
        <f>IFERROR(SUMIFS('caseload data'!G:G,'caseload data'!$C:$C,'divisional &amp; regional caseload%'!$T$36,'caseload data'!$D:$D,"PSO")/SUMIF('caseload data'!$C:$C,'divisional &amp; regional caseload%'!$T$36,'caseload data'!G:G),"")</f>
        <v/>
      </c>
      <c r="X39" s="175" t="str">
        <f>IFERROR(SUMIFS('caseload data'!H:H,'caseload data'!$C:$C,'divisional &amp; regional caseload%'!$T$36,'caseload data'!$D:$D,"PSO")/SUMIF('caseload data'!$C:$C,'divisional &amp; regional caseload%'!$T$36,'caseload data'!H:H),"")</f>
        <v/>
      </c>
      <c r="Y39" s="175" t="str">
        <f>IFERROR(SUMIFS('caseload data'!I:I,'caseload data'!$C:$C,'divisional &amp; regional caseload%'!$T$36,'caseload data'!$D:$D,"PSO")/SUMIF('caseload data'!$C:$C,'divisional &amp; regional caseload%'!$T$36,'caseload data'!I:I),"")</f>
        <v/>
      </c>
      <c r="Z39" s="175" t="str">
        <f>IFERROR(SUMIFS('caseload data'!J:J,'caseload data'!$C:$C,'divisional &amp; regional caseload%'!$T$36,'caseload data'!$D:$D,"PSO")/SUMIF('caseload data'!$C:$C,'divisional &amp; regional caseload%'!$T$36,'caseload data'!J:J),"")</f>
        <v/>
      </c>
      <c r="AA39" s="175" t="str">
        <f>IFERROR(SUMIFS('caseload data'!K:K,'caseload data'!$C:$C,'divisional &amp; regional caseload%'!$T$36,'caseload data'!$D:$D,"PSO")/SUMIF('caseload data'!$C:$C,'divisional &amp; regional caseload%'!$T$36,'caseload data'!K:K),"")</f>
        <v/>
      </c>
      <c r="AB39" s="175" t="str">
        <f>IFERROR(SUMIFS('caseload data'!L:L,'caseload data'!$C:$C,'divisional &amp; regional caseload%'!$T$36,'caseload data'!$D:$D,"PSO")/SUMIF('caseload data'!$C:$C,'divisional &amp; regional caseload%'!$T$36,'caseload data'!L:L),"")</f>
        <v/>
      </c>
      <c r="AC39" s="175" t="str">
        <f>IFERROR(SUMIFS('caseload data'!M:M,'caseload data'!$C:$C,'divisional &amp; regional caseload%'!$T$36,'caseload data'!$D:$D,"PSO")/SUMIF('caseload data'!$C:$C,'divisional &amp; regional caseload%'!$T$36,'caseload data'!M:M),"")</f>
        <v/>
      </c>
      <c r="AD39" s="175" t="str">
        <f>IFERROR(SUMIFS('caseload data'!N:N,'caseload data'!$C:$C,'divisional &amp; regional caseload%'!$T$36,'caseload data'!$D:$D,"PSO")/SUMIF('caseload data'!$C:$C,'divisional &amp; regional caseload%'!$T$36,'caseload data'!N:N),"")</f>
        <v/>
      </c>
      <c r="AE39" s="175" t="str">
        <f>IFERROR(SUMIFS('caseload data'!O:O,'caseload data'!$C:$C,'divisional &amp; regional caseload%'!$T$36,'caseload data'!$D:$D,"PSO")/SUMIF('caseload data'!$C:$C,'divisional &amp; regional caseload%'!$T$36,'caseload data'!O:O),"")</f>
        <v/>
      </c>
      <c r="AF39" s="175" t="str">
        <f>IFERROR(SUMIFS('caseload data'!P:P,'caseload data'!$C:$C,'divisional &amp; regional caseload%'!$T$36,'caseload data'!$D:$D,"PSO")/SUMIF('caseload data'!$C:$C,'divisional &amp; regional caseload%'!$T$36,'caseload data'!P:P),"")</f>
        <v/>
      </c>
      <c r="AG39" s="175" t="str">
        <f>IFERROR(SUMIFS('caseload data'!Q:Q,'caseload data'!$C:$C,'divisional &amp; regional caseload%'!$T$36,'caseload data'!$D:$D,"PSO")/SUMIF('caseload data'!$C:$C,'divisional &amp; regional caseload%'!$T$36,'caseload data'!Q:Q),"")</f>
        <v/>
      </c>
      <c r="AH39" s="175" t="str">
        <f>IFERROR(SUMIFS('caseload data'!R:R,'caseload data'!$C:$C,'divisional &amp; regional caseload%'!$T$36,'caseload data'!$D:$D,"PSO")/SUMIF('caseload data'!$C:$C,'divisional &amp; regional caseload%'!$T$36,'caseload data'!R:R),"")</f>
        <v/>
      </c>
      <c r="AI39" s="175" t="str">
        <f>IFERROR(SUMIFS('caseload data'!S:S,'caseload data'!$C:$C,'divisional &amp; regional caseload%'!$T$36,'caseload data'!$D:$D,"PSO")/SUMIF('caseload data'!$C:$C,'divisional &amp; regional caseload%'!$T$36,'caseload data'!S:S),"")</f>
        <v/>
      </c>
      <c r="AJ39" s="175" t="str">
        <f>IFERROR(SUMIFS('caseload data'!T:T,'caseload data'!$C:$C,'divisional &amp; regional caseload%'!$T$36,'caseload data'!$D:$D,"PSO")/SUMIF('caseload data'!$C:$C,'divisional &amp; regional caseload%'!$T$36,'caseload data'!T:T),"")</f>
        <v/>
      </c>
    </row>
    <row r="40" spans="2:36" x14ac:dyDescent="0.15">
      <c r="B40" s="101" t="s">
        <v>1173</v>
      </c>
      <c r="C40" s="175" t="str">
        <f>IFERROR(SUMIFS('caseload data'!E:E,'caseload data'!$C:$C,'divisional &amp; regional caseload%'!$B$36,'caseload data'!$D:$D,"TPO")/SUMIF('caseload data'!$C:$C,'divisional &amp; regional caseload%'!$B$36,'caseload data'!E:E),"")</f>
        <v/>
      </c>
      <c r="D40" s="175" t="str">
        <f>IFERROR(SUMIFS('caseload data'!F:F,'caseload data'!$C:$C,'divisional &amp; regional caseload%'!$B$36,'caseload data'!$D:$D,"TPO")/SUMIF('caseload data'!$C:$C,'divisional &amp; regional caseload%'!$B$36,'caseload data'!F:F),"")</f>
        <v/>
      </c>
      <c r="E40" s="175" t="str">
        <f>IFERROR(SUMIFS('caseload data'!G:G,'caseload data'!$C:$C,'divisional &amp; regional caseload%'!$B$36,'caseload data'!$D:$D,"TPO")/SUMIF('caseload data'!$C:$C,'divisional &amp; regional caseload%'!$B$36,'caseload data'!G:G),"")</f>
        <v/>
      </c>
      <c r="F40" s="175" t="str">
        <f>IFERROR(SUMIFS('caseload data'!H:H,'caseload data'!$C:$C,'divisional &amp; regional caseload%'!$B$36,'caseload data'!$D:$D,"TPO")/SUMIF('caseload data'!$C:$C,'divisional &amp; regional caseload%'!$B$36,'caseload data'!H:H),"")</f>
        <v/>
      </c>
      <c r="G40" s="175" t="str">
        <f>IFERROR(SUMIFS('caseload data'!I:I,'caseload data'!$C:$C,'divisional &amp; regional caseload%'!$B$36,'caseload data'!$D:$D,"TPO")/SUMIF('caseload data'!$C:$C,'divisional &amp; regional caseload%'!$B$36,'caseload data'!I:I),"")</f>
        <v/>
      </c>
      <c r="H40" s="175" t="str">
        <f>IFERROR(SUMIFS('caseload data'!J:J,'caseload data'!$C:$C,'divisional &amp; regional caseload%'!$B$36,'caseload data'!$D:$D,"TPO")/SUMIF('caseload data'!$C:$C,'divisional &amp; regional caseload%'!$B$36,'caseload data'!J:J),"")</f>
        <v/>
      </c>
      <c r="I40" s="175" t="str">
        <f>IFERROR(SUMIFS('caseload data'!K:K,'caseload data'!$C:$C,'divisional &amp; regional caseload%'!$B$36,'caseload data'!$D:$D,"TPO")/SUMIF('caseload data'!$C:$C,'divisional &amp; regional caseload%'!$B$36,'caseload data'!K:K),"")</f>
        <v/>
      </c>
      <c r="J40" s="175" t="str">
        <f>IFERROR(SUMIFS('caseload data'!L:L,'caseload data'!$C:$C,'divisional &amp; regional caseload%'!$B$36,'caseload data'!$D:$D,"TPO")/SUMIF('caseload data'!$C:$C,'divisional &amp; regional caseload%'!$B$36,'caseload data'!L:L),"")</f>
        <v/>
      </c>
      <c r="K40" s="175" t="str">
        <f>IFERROR(SUMIFS('caseload data'!M:M,'caseload data'!$C:$C,'divisional &amp; regional caseload%'!$B$36,'caseload data'!$D:$D,"TPO")/SUMIF('caseload data'!$C:$C,'divisional &amp; regional caseload%'!$B$36,'caseload data'!M:M),"")</f>
        <v/>
      </c>
      <c r="L40" s="175" t="str">
        <f>IFERROR(SUMIFS('caseload data'!N:N,'caseload data'!$C:$C,'divisional &amp; regional caseload%'!$B$36,'caseload data'!$D:$D,"TPO")/SUMIF('caseload data'!$C:$C,'divisional &amp; regional caseload%'!$B$36,'caseload data'!N:N),"")</f>
        <v/>
      </c>
      <c r="M40" s="175" t="str">
        <f>IFERROR(SUMIFS('caseload data'!O:O,'caseload data'!$C:$C,'divisional &amp; regional caseload%'!$B$36,'caseload data'!$D:$D,"TPO")/SUMIF('caseload data'!$C:$C,'divisional &amp; regional caseload%'!$B$36,'caseload data'!O:O),"")</f>
        <v/>
      </c>
      <c r="N40" s="175" t="str">
        <f>IFERROR(SUMIFS('caseload data'!P:P,'caseload data'!$C:$C,'divisional &amp; regional caseload%'!$B$36,'caseload data'!$D:$D,"TPO")/SUMIF('caseload data'!$C:$C,'divisional &amp; regional caseload%'!$B$36,'caseload data'!P:P),"")</f>
        <v/>
      </c>
      <c r="O40" s="175" t="str">
        <f>IFERROR(SUMIFS('caseload data'!Q:Q,'caseload data'!$C:$C,'divisional &amp; regional caseload%'!$B$36,'caseload data'!$D:$D,"TPO")/SUMIF('caseload data'!$C:$C,'divisional &amp; regional caseload%'!$B$36,'caseload data'!Q:Q),"")</f>
        <v/>
      </c>
      <c r="P40" s="175" t="str">
        <f>IFERROR(SUMIFS('caseload data'!R:R,'caseload data'!$C:$C,'divisional &amp; regional caseload%'!$B$36,'caseload data'!$D:$D,"TPO")/SUMIF('caseload data'!$C:$C,'divisional &amp; regional caseload%'!$B$36,'caseload data'!R:R),"")</f>
        <v/>
      </c>
      <c r="Q40" s="175" t="str">
        <f>IFERROR(SUMIFS('caseload data'!S:S,'caseload data'!$C:$C,'divisional &amp; regional caseload%'!$B$36,'caseload data'!$D:$D,"TPO")/SUMIF('caseload data'!$C:$C,'divisional &amp; regional caseload%'!$B$36,'caseload data'!S:S),"")</f>
        <v/>
      </c>
      <c r="R40" s="175" t="str">
        <f>IFERROR(SUMIFS('caseload data'!T:T,'caseload data'!$C:$C,'divisional &amp; regional caseload%'!$B$36,'caseload data'!$D:$D,"TPO")/SUMIF('caseload data'!$C:$C,'divisional &amp; regional caseload%'!$B$36,'caseload data'!T:T),"")</f>
        <v/>
      </c>
      <c r="S40" s="68"/>
      <c r="T40" s="101" t="s">
        <v>1173</v>
      </c>
      <c r="U40" s="175" t="str">
        <f>IFERROR(SUMIFS('caseload data'!E:E,'caseload data'!$C:$C,'divisional &amp; regional caseload%'!$T$36,'caseload data'!$D:$D,"TPO")/SUMIF('caseload data'!$C:$C,'divisional &amp; regional caseload%'!$T$36,'caseload data'!E:E),"")</f>
        <v/>
      </c>
      <c r="V40" s="175" t="str">
        <f>IFERROR(SUMIFS('caseload data'!F:F,'caseload data'!$C:$C,'divisional &amp; regional caseload%'!$T$36,'caseload data'!$D:$D,"TPO")/SUMIF('caseload data'!$C:$C,'divisional &amp; regional caseload%'!$T$36,'caseload data'!F:F),"")</f>
        <v/>
      </c>
      <c r="W40" s="175" t="str">
        <f>IFERROR(SUMIFS('caseload data'!G:G,'caseload data'!$C:$C,'divisional &amp; regional caseload%'!$T$36,'caseload data'!$D:$D,"TPO")/SUMIF('caseload data'!$C:$C,'divisional &amp; regional caseload%'!$T$36,'caseload data'!G:G),"")</f>
        <v/>
      </c>
      <c r="X40" s="175" t="str">
        <f>IFERROR(SUMIFS('caseload data'!H:H,'caseload data'!$C:$C,'divisional &amp; regional caseload%'!$T$36,'caseload data'!$D:$D,"TPO")/SUMIF('caseload data'!$C:$C,'divisional &amp; regional caseload%'!$T$36,'caseload data'!H:H),"")</f>
        <v/>
      </c>
      <c r="Y40" s="175" t="str">
        <f>IFERROR(SUMIFS('caseload data'!I:I,'caseload data'!$C:$C,'divisional &amp; regional caseload%'!$T$36,'caseload data'!$D:$D,"TPO")/SUMIF('caseload data'!$C:$C,'divisional &amp; regional caseload%'!$T$36,'caseload data'!I:I),"")</f>
        <v/>
      </c>
      <c r="Z40" s="175" t="str">
        <f>IFERROR(SUMIFS('caseload data'!J:J,'caseload data'!$C:$C,'divisional &amp; regional caseload%'!$T$36,'caseload data'!$D:$D,"TPO")/SUMIF('caseload data'!$C:$C,'divisional &amp; regional caseload%'!$T$36,'caseload data'!J:J),"")</f>
        <v/>
      </c>
      <c r="AA40" s="175" t="str">
        <f>IFERROR(SUMIFS('caseload data'!K:K,'caseload data'!$C:$C,'divisional &amp; regional caseload%'!$T$36,'caseload data'!$D:$D,"TPO")/SUMIF('caseload data'!$C:$C,'divisional &amp; regional caseload%'!$T$36,'caseload data'!K:K),"")</f>
        <v/>
      </c>
      <c r="AB40" s="175" t="str">
        <f>IFERROR(SUMIFS('caseload data'!L:L,'caseload data'!$C:$C,'divisional &amp; regional caseload%'!$T$36,'caseload data'!$D:$D,"TPO")/SUMIF('caseload data'!$C:$C,'divisional &amp; regional caseload%'!$T$36,'caseload data'!L:L),"")</f>
        <v/>
      </c>
      <c r="AC40" s="175" t="str">
        <f>IFERROR(SUMIFS('caseload data'!M:M,'caseload data'!$C:$C,'divisional &amp; regional caseload%'!$T$36,'caseload data'!$D:$D,"TPO")/SUMIF('caseload data'!$C:$C,'divisional &amp; regional caseload%'!$T$36,'caseload data'!M:M),"")</f>
        <v/>
      </c>
      <c r="AD40" s="175" t="str">
        <f>IFERROR(SUMIFS('caseload data'!N:N,'caseload data'!$C:$C,'divisional &amp; regional caseload%'!$T$36,'caseload data'!$D:$D,"TPO")/SUMIF('caseload data'!$C:$C,'divisional &amp; regional caseload%'!$T$36,'caseload data'!N:N),"")</f>
        <v/>
      </c>
      <c r="AE40" s="175" t="str">
        <f>IFERROR(SUMIFS('caseload data'!O:O,'caseload data'!$C:$C,'divisional &amp; regional caseload%'!$T$36,'caseload data'!$D:$D,"TPO")/SUMIF('caseload data'!$C:$C,'divisional &amp; regional caseload%'!$T$36,'caseload data'!O:O),"")</f>
        <v/>
      </c>
      <c r="AF40" s="175" t="str">
        <f>IFERROR(SUMIFS('caseload data'!P:P,'caseload data'!$C:$C,'divisional &amp; regional caseload%'!$T$36,'caseload data'!$D:$D,"TPO")/SUMIF('caseload data'!$C:$C,'divisional &amp; regional caseload%'!$T$36,'caseload data'!P:P),"")</f>
        <v/>
      </c>
      <c r="AG40" s="175" t="str">
        <f>IFERROR(SUMIFS('caseload data'!Q:Q,'caseload data'!$C:$C,'divisional &amp; regional caseload%'!$T$36,'caseload data'!$D:$D,"TPO")/SUMIF('caseload data'!$C:$C,'divisional &amp; regional caseload%'!$T$36,'caseload data'!Q:Q),"")</f>
        <v/>
      </c>
      <c r="AH40" s="175" t="str">
        <f>IFERROR(SUMIFS('caseload data'!R:R,'caseload data'!$C:$C,'divisional &amp; regional caseload%'!$T$36,'caseload data'!$D:$D,"TPO")/SUMIF('caseload data'!$C:$C,'divisional &amp; regional caseload%'!$T$36,'caseload data'!R:R),"")</f>
        <v/>
      </c>
      <c r="AI40" s="175" t="str">
        <f>IFERROR(SUMIFS('caseload data'!S:S,'caseload data'!$C:$C,'divisional &amp; regional caseload%'!$T$36,'caseload data'!$D:$D,"TPO")/SUMIF('caseload data'!$C:$C,'divisional &amp; regional caseload%'!$T$36,'caseload data'!S:S),"")</f>
        <v/>
      </c>
      <c r="AJ40" s="175" t="str">
        <f>IFERROR(SUMIFS('caseload data'!T:T,'caseload data'!$C:$C,'divisional &amp; regional caseload%'!$T$36,'caseload data'!$D:$D,"TPO")/SUMIF('caseload data'!$C:$C,'divisional &amp; regional caseload%'!$T$36,'caseload data'!T:T),"")</f>
        <v/>
      </c>
    </row>
    <row r="41" spans="2:36" x14ac:dyDescent="0.15">
      <c r="B41" s="102" t="s">
        <v>1174</v>
      </c>
      <c r="C41" s="175" t="str">
        <f>IFERROR(SUMIFS('caseload data'!E:E,'caseload data'!$C:$C,'divisional &amp; regional caseload%'!$B$36,'caseload data'!$D:$D,"SPO")/SUMIF('caseload data'!$C:$C,'divisional &amp; regional caseload%'!$B$36,'caseload data'!E:E),"")</f>
        <v/>
      </c>
      <c r="D41" s="175" t="str">
        <f>IFERROR(SUMIFS('caseload data'!F:F,'caseload data'!$C:$C,'divisional &amp; regional caseload%'!$B$36,'caseload data'!$D:$D,"SPO")/SUMIF('caseload data'!$C:$C,'divisional &amp; regional caseload%'!$B$36,'caseload data'!F:F),"")</f>
        <v/>
      </c>
      <c r="E41" s="175" t="str">
        <f>IFERROR(SUMIFS('caseload data'!G:G,'caseload data'!$C:$C,'divisional &amp; regional caseload%'!$B$36,'caseload data'!$D:$D,"SPO")/SUMIF('caseload data'!$C:$C,'divisional &amp; regional caseload%'!$B$36,'caseload data'!G:G),"")</f>
        <v/>
      </c>
      <c r="F41" s="175" t="str">
        <f>IFERROR(SUMIFS('caseload data'!H:H,'caseload data'!$C:$C,'divisional &amp; regional caseload%'!$B$36,'caseload data'!$D:$D,"SPO")/SUMIF('caseload data'!$C:$C,'divisional &amp; regional caseload%'!$B$36,'caseload data'!H:H),"")</f>
        <v/>
      </c>
      <c r="G41" s="175" t="str">
        <f>IFERROR(SUMIFS('caseload data'!I:I,'caseload data'!$C:$C,'divisional &amp; regional caseload%'!$B$36,'caseload data'!$D:$D,"SPO")/SUMIF('caseload data'!$C:$C,'divisional &amp; regional caseload%'!$B$36,'caseload data'!I:I),"")</f>
        <v/>
      </c>
      <c r="H41" s="175" t="str">
        <f>IFERROR(SUMIFS('caseload data'!J:J,'caseload data'!$C:$C,'divisional &amp; regional caseload%'!$B$36,'caseload data'!$D:$D,"SPO")/SUMIF('caseload data'!$C:$C,'divisional &amp; regional caseload%'!$B$36,'caseload data'!J:J),"")</f>
        <v/>
      </c>
      <c r="I41" s="175" t="str">
        <f>IFERROR(SUMIFS('caseload data'!K:K,'caseload data'!$C:$C,'divisional &amp; regional caseload%'!$B$36,'caseload data'!$D:$D,"SPO")/SUMIF('caseload data'!$C:$C,'divisional &amp; regional caseload%'!$B$36,'caseload data'!K:K),"")</f>
        <v/>
      </c>
      <c r="J41" s="175" t="str">
        <f>IFERROR(SUMIFS('caseload data'!L:L,'caseload data'!$C:$C,'divisional &amp; regional caseload%'!$B$36,'caseload data'!$D:$D,"SPO")/SUMIF('caseload data'!$C:$C,'divisional &amp; regional caseload%'!$B$36,'caseload data'!L:L),"")</f>
        <v/>
      </c>
      <c r="K41" s="175" t="str">
        <f>IFERROR(SUMIFS('caseload data'!M:M,'caseload data'!$C:$C,'divisional &amp; regional caseload%'!$B$36,'caseload data'!$D:$D,"SPO")/SUMIF('caseload data'!$C:$C,'divisional &amp; regional caseload%'!$B$36,'caseload data'!M:M),"")</f>
        <v/>
      </c>
      <c r="L41" s="175" t="str">
        <f>IFERROR(SUMIFS('caseload data'!N:N,'caseload data'!$C:$C,'divisional &amp; regional caseload%'!$B$36,'caseload data'!$D:$D,"SPO")/SUMIF('caseload data'!$C:$C,'divisional &amp; regional caseload%'!$B$36,'caseload data'!N:N),"")</f>
        <v/>
      </c>
      <c r="M41" s="175" t="str">
        <f>IFERROR(SUMIFS('caseload data'!O:O,'caseload data'!$C:$C,'divisional &amp; regional caseload%'!$B$36,'caseload data'!$D:$D,"SPO")/SUMIF('caseload data'!$C:$C,'divisional &amp; regional caseload%'!$B$36,'caseload data'!O:O),"")</f>
        <v/>
      </c>
      <c r="N41" s="175" t="str">
        <f>IFERROR(SUMIFS('caseload data'!P:P,'caseload data'!$C:$C,'divisional &amp; regional caseload%'!$B$36,'caseload data'!$D:$D,"SPO")/SUMIF('caseload data'!$C:$C,'divisional &amp; regional caseload%'!$B$36,'caseload data'!P:P),"")</f>
        <v/>
      </c>
      <c r="O41" s="175" t="str">
        <f>IFERROR(SUMIFS('caseload data'!Q:Q,'caseload data'!$C:$C,'divisional &amp; regional caseload%'!$B$36,'caseload data'!$D:$D,"SPO")/SUMIF('caseload data'!$C:$C,'divisional &amp; regional caseload%'!$B$36,'caseload data'!Q:Q),"")</f>
        <v/>
      </c>
      <c r="P41" s="175" t="str">
        <f>IFERROR(SUMIFS('caseload data'!R:R,'caseload data'!$C:$C,'divisional &amp; regional caseload%'!$B$36,'caseload data'!$D:$D,"SPO")/SUMIF('caseload data'!$C:$C,'divisional &amp; regional caseload%'!$B$36,'caseload data'!R:R),"")</f>
        <v/>
      </c>
      <c r="Q41" s="175" t="str">
        <f>IFERROR(SUMIFS('caseload data'!S:S,'caseload data'!$C:$C,'divisional &amp; regional caseload%'!$B$36,'caseload data'!$D:$D,"SPO")/SUMIF('caseload data'!$C:$C,'divisional &amp; regional caseload%'!$B$36,'caseload data'!S:S),"")</f>
        <v/>
      </c>
      <c r="R41" s="175" t="str">
        <f>IFERROR(SUMIFS('caseload data'!T:T,'caseload data'!$C:$C,'divisional &amp; regional caseload%'!$B$36,'caseload data'!$D:$D,"SPO")/SUMIF('caseload data'!$C:$C,'divisional &amp; regional caseload%'!$B$36,'caseload data'!T:T),"")</f>
        <v/>
      </c>
      <c r="S41" s="68"/>
      <c r="T41" s="102" t="s">
        <v>1174</v>
      </c>
      <c r="U41" s="175" t="str">
        <f>IFERROR(SUMIFS('caseload data'!E:E,'caseload data'!$C:$C,'divisional &amp; regional caseload%'!$T$36,'caseload data'!$D:$D,"SPO")/SUMIF('caseload data'!$C:$C,'divisional &amp; regional caseload%'!$T$36,'caseload data'!E:E),"")</f>
        <v/>
      </c>
      <c r="V41" s="175" t="str">
        <f>IFERROR(SUMIFS('caseload data'!F:F,'caseload data'!$C:$C,'divisional &amp; regional caseload%'!$T$36,'caseload data'!$D:$D,"SPO")/SUMIF('caseload data'!$C:$C,'divisional &amp; regional caseload%'!$T$36,'caseload data'!F:F),"")</f>
        <v/>
      </c>
      <c r="W41" s="175" t="str">
        <f>IFERROR(SUMIFS('caseload data'!G:G,'caseload data'!$C:$C,'divisional &amp; regional caseload%'!$T$36,'caseload data'!$D:$D,"SPO")/SUMIF('caseload data'!$C:$C,'divisional &amp; regional caseload%'!$T$36,'caseload data'!G:G),"")</f>
        <v/>
      </c>
      <c r="X41" s="175" t="str">
        <f>IFERROR(SUMIFS('caseload data'!H:H,'caseload data'!$C:$C,'divisional &amp; regional caseload%'!$T$36,'caseload data'!$D:$D,"SPO")/SUMIF('caseload data'!$C:$C,'divisional &amp; regional caseload%'!$T$36,'caseload data'!H:H),"")</f>
        <v/>
      </c>
      <c r="Y41" s="175" t="str">
        <f>IFERROR(SUMIFS('caseload data'!I:I,'caseload data'!$C:$C,'divisional &amp; regional caseload%'!$T$36,'caseload data'!$D:$D,"SPO")/SUMIF('caseload data'!$C:$C,'divisional &amp; regional caseload%'!$T$36,'caseload data'!I:I),"")</f>
        <v/>
      </c>
      <c r="Z41" s="175" t="str">
        <f>IFERROR(SUMIFS('caseload data'!J:J,'caseload data'!$C:$C,'divisional &amp; regional caseload%'!$T$36,'caseload data'!$D:$D,"SPO")/SUMIF('caseload data'!$C:$C,'divisional &amp; regional caseload%'!$T$36,'caseload data'!J:J),"")</f>
        <v/>
      </c>
      <c r="AA41" s="175" t="str">
        <f>IFERROR(SUMIFS('caseload data'!K:K,'caseload data'!$C:$C,'divisional &amp; regional caseload%'!$T$36,'caseload data'!$D:$D,"SPO")/SUMIF('caseload data'!$C:$C,'divisional &amp; regional caseload%'!$T$36,'caseload data'!K:K),"")</f>
        <v/>
      </c>
      <c r="AB41" s="175" t="str">
        <f>IFERROR(SUMIFS('caseload data'!L:L,'caseload data'!$C:$C,'divisional &amp; regional caseload%'!$T$36,'caseload data'!$D:$D,"SPO")/SUMIF('caseload data'!$C:$C,'divisional &amp; regional caseload%'!$T$36,'caseload data'!L:L),"")</f>
        <v/>
      </c>
      <c r="AC41" s="175" t="str">
        <f>IFERROR(SUMIFS('caseload data'!M:M,'caseload data'!$C:$C,'divisional &amp; regional caseload%'!$T$36,'caseload data'!$D:$D,"SPO")/SUMIF('caseload data'!$C:$C,'divisional &amp; regional caseload%'!$T$36,'caseload data'!M:M),"")</f>
        <v/>
      </c>
      <c r="AD41" s="175" t="str">
        <f>IFERROR(SUMIFS('caseload data'!N:N,'caseload data'!$C:$C,'divisional &amp; regional caseload%'!$T$36,'caseload data'!$D:$D,"SPO")/SUMIF('caseload data'!$C:$C,'divisional &amp; regional caseload%'!$T$36,'caseload data'!N:N),"")</f>
        <v/>
      </c>
      <c r="AE41" s="175" t="str">
        <f>IFERROR(SUMIFS('caseload data'!O:O,'caseload data'!$C:$C,'divisional &amp; regional caseload%'!$T$36,'caseload data'!$D:$D,"SPO")/SUMIF('caseload data'!$C:$C,'divisional &amp; regional caseload%'!$T$36,'caseload data'!O:O),"")</f>
        <v/>
      </c>
      <c r="AF41" s="175" t="str">
        <f>IFERROR(SUMIFS('caseload data'!P:P,'caseload data'!$C:$C,'divisional &amp; regional caseload%'!$T$36,'caseload data'!$D:$D,"SPO")/SUMIF('caseload data'!$C:$C,'divisional &amp; regional caseload%'!$T$36,'caseload data'!P:P),"")</f>
        <v/>
      </c>
      <c r="AG41" s="175" t="str">
        <f>IFERROR(SUMIFS('caseload data'!Q:Q,'caseload data'!$C:$C,'divisional &amp; regional caseload%'!$T$36,'caseload data'!$D:$D,"SPO")/SUMIF('caseload data'!$C:$C,'divisional &amp; regional caseload%'!$T$36,'caseload data'!Q:Q),"")</f>
        <v/>
      </c>
      <c r="AH41" s="175" t="str">
        <f>IFERROR(SUMIFS('caseload data'!R:R,'caseload data'!$C:$C,'divisional &amp; regional caseload%'!$T$36,'caseload data'!$D:$D,"SPO")/SUMIF('caseload data'!$C:$C,'divisional &amp; regional caseload%'!$T$36,'caseload data'!R:R),"")</f>
        <v/>
      </c>
      <c r="AI41" s="175" t="str">
        <f>IFERROR(SUMIFS('caseload data'!S:S,'caseload data'!$C:$C,'divisional &amp; regional caseload%'!$T$36,'caseload data'!$D:$D,"SPO")/SUMIF('caseload data'!$C:$C,'divisional &amp; regional caseload%'!$T$36,'caseload data'!S:S),"")</f>
        <v/>
      </c>
      <c r="AJ41" s="175" t="str">
        <f>IFERROR(SUMIFS('caseload data'!T:T,'caseload data'!$C:$C,'divisional &amp; regional caseload%'!$T$36,'caseload data'!$D:$D,"SPO")/SUMIF('caseload data'!$C:$C,'divisional &amp; regional caseload%'!$T$36,'caseload data'!T:T),"")</f>
        <v/>
      </c>
    </row>
    <row r="42" spans="2:36" x14ac:dyDescent="0.15">
      <c r="B42" s="95"/>
      <c r="C42" s="68"/>
      <c r="D42" s="68"/>
      <c r="E42" s="68"/>
      <c r="F42" s="68"/>
      <c r="G42" s="68"/>
      <c r="H42" s="68"/>
      <c r="I42" s="68"/>
      <c r="J42" s="68"/>
      <c r="K42" s="68"/>
      <c r="L42" s="68"/>
      <c r="M42" s="68"/>
      <c r="N42" s="68"/>
      <c r="O42" s="68"/>
      <c r="P42" s="68"/>
      <c r="Q42" s="68"/>
      <c r="R42" s="68"/>
      <c r="S42" s="68"/>
      <c r="T42" s="95"/>
      <c r="U42" s="68"/>
      <c r="V42" s="68"/>
      <c r="W42" s="68"/>
      <c r="X42" s="68"/>
      <c r="Y42" s="68"/>
      <c r="Z42" s="68"/>
      <c r="AA42" s="68"/>
      <c r="AB42" s="68"/>
      <c r="AC42" s="68"/>
      <c r="AD42" s="68"/>
      <c r="AE42" s="68"/>
      <c r="AF42" s="68"/>
      <c r="AG42" s="68"/>
      <c r="AH42" s="68"/>
      <c r="AI42" s="68"/>
      <c r="AJ42" s="68"/>
    </row>
    <row r="43" spans="2:36" ht="29.25" customHeight="1" x14ac:dyDescent="0.15">
      <c r="B43" s="302">
        <f>HLOOKUP($B$5,Region_Table,12,0)</f>
        <v>0</v>
      </c>
      <c r="C43" s="475" t="s">
        <v>1275</v>
      </c>
      <c r="D43" s="476"/>
      <c r="E43" s="476"/>
      <c r="F43" s="476"/>
      <c r="G43" s="476"/>
      <c r="H43" s="476"/>
      <c r="I43" s="476"/>
      <c r="J43" s="476"/>
      <c r="K43" s="476"/>
      <c r="L43" s="476"/>
      <c r="M43" s="477"/>
      <c r="N43" s="477"/>
      <c r="O43" s="478"/>
      <c r="P43" s="462">
        <f>SUMIF('caseload data'!$C:$C,'divisional &amp; regional caseload%'!B43,'caseload data'!V:V)</f>
        <v>0</v>
      </c>
      <c r="Q43" s="479"/>
      <c r="R43" s="480"/>
      <c r="S43" s="68"/>
      <c r="T43" s="302">
        <f>HLOOKUP($B$5,Region_Table,13,0)</f>
        <v>0</v>
      </c>
      <c r="U43" s="475" t="s">
        <v>1275</v>
      </c>
      <c r="V43" s="476"/>
      <c r="W43" s="476"/>
      <c r="X43" s="476"/>
      <c r="Y43" s="476"/>
      <c r="Z43" s="476"/>
      <c r="AA43" s="476"/>
      <c r="AB43" s="476"/>
      <c r="AC43" s="476"/>
      <c r="AD43" s="476"/>
      <c r="AE43" s="477"/>
      <c r="AF43" s="477"/>
      <c r="AG43" s="478"/>
      <c r="AH43" s="462">
        <f>SUMIF('caseload data'!$C:$C,'divisional &amp; regional caseload%'!T43,'caseload data'!V:V)</f>
        <v>0</v>
      </c>
      <c r="AI43" s="479"/>
      <c r="AJ43" s="480"/>
    </row>
    <row r="44" spans="2:36" x14ac:dyDescent="0.15">
      <c r="B44" s="99" t="s">
        <v>1171</v>
      </c>
      <c r="C44" s="40" t="s">
        <v>1022</v>
      </c>
      <c r="D44" s="40" t="s">
        <v>1023</v>
      </c>
      <c r="E44" s="40" t="s">
        <v>1024</v>
      </c>
      <c r="F44" s="40" t="s">
        <v>1025</v>
      </c>
      <c r="G44" s="40" t="s">
        <v>1026</v>
      </c>
      <c r="H44" s="40" t="s">
        <v>1027</v>
      </c>
      <c r="I44" s="40" t="s">
        <v>1028</v>
      </c>
      <c r="J44" s="40" t="s">
        <v>1029</v>
      </c>
      <c r="K44" s="40" t="s">
        <v>1030</v>
      </c>
      <c r="L44" s="40" t="s">
        <v>1031</v>
      </c>
      <c r="M44" s="40" t="s">
        <v>1032</v>
      </c>
      <c r="N44" s="40" t="s">
        <v>1033</v>
      </c>
      <c r="O44" s="40" t="s">
        <v>1034</v>
      </c>
      <c r="P44" s="40" t="s">
        <v>1035</v>
      </c>
      <c r="Q44" s="40" t="s">
        <v>1036</v>
      </c>
      <c r="R44" s="40" t="s">
        <v>1037</v>
      </c>
      <c r="S44" s="68"/>
      <c r="T44" s="99" t="s">
        <v>1171</v>
      </c>
      <c r="U44" s="40" t="s">
        <v>1022</v>
      </c>
      <c r="V44" s="40" t="s">
        <v>1023</v>
      </c>
      <c r="W44" s="40" t="s">
        <v>1024</v>
      </c>
      <c r="X44" s="40" t="s">
        <v>1025</v>
      </c>
      <c r="Y44" s="40" t="s">
        <v>1026</v>
      </c>
      <c r="Z44" s="40" t="s">
        <v>1027</v>
      </c>
      <c r="AA44" s="40" t="s">
        <v>1028</v>
      </c>
      <c r="AB44" s="40" t="s">
        <v>1029</v>
      </c>
      <c r="AC44" s="40" t="s">
        <v>1030</v>
      </c>
      <c r="AD44" s="40" t="s">
        <v>1031</v>
      </c>
      <c r="AE44" s="40" t="s">
        <v>1032</v>
      </c>
      <c r="AF44" s="40" t="s">
        <v>1033</v>
      </c>
      <c r="AG44" s="40" t="s">
        <v>1034</v>
      </c>
      <c r="AH44" s="40" t="s">
        <v>1035</v>
      </c>
      <c r="AI44" s="40" t="s">
        <v>1036</v>
      </c>
      <c r="AJ44" s="40" t="s">
        <v>1037</v>
      </c>
    </row>
    <row r="45" spans="2:36" x14ac:dyDescent="0.15">
      <c r="B45" s="100" t="s">
        <v>1166</v>
      </c>
      <c r="C45" s="175" t="str">
        <f>IFERROR(SUMIFS('caseload data'!E:E,'caseload data'!$C:$C,'divisional &amp; regional caseload%'!$B$43,'caseload data'!$D:$D,"PO")/SUMIF('caseload data'!$C:$C,'divisional &amp; regional caseload%'!$B$43,'caseload data'!E:E),"")</f>
        <v/>
      </c>
      <c r="D45" s="175" t="str">
        <f>IFERROR(SUMIFS('caseload data'!F:F,'caseload data'!$C:$C,'divisional &amp; regional caseload%'!$B$43,'caseload data'!$D:$D,"PO")/SUMIF('caseload data'!$C:$C,'divisional &amp; regional caseload%'!$B$43,'caseload data'!F:F),"")</f>
        <v/>
      </c>
      <c r="E45" s="175" t="str">
        <f>IFERROR(SUMIFS('caseload data'!G:G,'caseload data'!$C:$C,'divisional &amp; regional caseload%'!$B$43,'caseload data'!$D:$D,"PO")/SUMIF('caseload data'!$C:$C,'divisional &amp; regional caseload%'!$B$43,'caseload data'!G:G),"")</f>
        <v/>
      </c>
      <c r="F45" s="175" t="str">
        <f>IFERROR(SUMIFS('caseload data'!H:H,'caseload data'!$C:$C,'divisional &amp; regional caseload%'!$B$43,'caseload data'!$D:$D,"PO")/SUMIF('caseload data'!$C:$C,'divisional &amp; regional caseload%'!$B$43,'caseload data'!H:H),"")</f>
        <v/>
      </c>
      <c r="G45" s="175" t="str">
        <f>IFERROR(SUMIFS('caseload data'!I:I,'caseload data'!$C:$C,'divisional &amp; regional caseload%'!$B$43,'caseload data'!$D:$D,"PO")/SUMIF('caseload data'!$C:$C,'divisional &amp; regional caseload%'!$B$43,'caseload data'!I:I),"")</f>
        <v/>
      </c>
      <c r="H45" s="175" t="str">
        <f>IFERROR(SUMIFS('caseload data'!J:J,'caseload data'!$C:$C,'divisional &amp; regional caseload%'!$B$43,'caseload data'!$D:$D,"PO")/SUMIF('caseload data'!$C:$C,'divisional &amp; regional caseload%'!$B$43,'caseload data'!J:J),"")</f>
        <v/>
      </c>
      <c r="I45" s="175" t="str">
        <f>IFERROR(SUMIFS('caseload data'!K:K,'caseload data'!$C:$C,'divisional &amp; regional caseload%'!$B$43,'caseload data'!$D:$D,"PO")/SUMIF('caseload data'!$C:$C,'divisional &amp; regional caseload%'!$B$43,'caseload data'!K:K),"")</f>
        <v/>
      </c>
      <c r="J45" s="175" t="str">
        <f>IFERROR(SUMIFS('caseload data'!L:L,'caseload data'!$C:$C,'divisional &amp; regional caseload%'!$B$43,'caseload data'!$D:$D,"PO")/SUMIF('caseload data'!$C:$C,'divisional &amp; regional caseload%'!$B$43,'caseload data'!L:L),"")</f>
        <v/>
      </c>
      <c r="K45" s="175" t="str">
        <f>IFERROR(SUMIFS('caseload data'!M:M,'caseload data'!$C:$C,'divisional &amp; regional caseload%'!$B$43,'caseload data'!$D:$D,"PO")/SUMIF('caseload data'!$C:$C,'divisional &amp; regional caseload%'!$B$43,'caseload data'!M:M),"")</f>
        <v/>
      </c>
      <c r="L45" s="175" t="str">
        <f>IFERROR(SUMIFS('caseload data'!N:N,'caseload data'!$C:$C,'divisional &amp; regional caseload%'!$B$43,'caseload data'!$D:$D,"PO")/SUMIF('caseload data'!$C:$C,'divisional &amp; regional caseload%'!$B$43,'caseload data'!N:N),"")</f>
        <v/>
      </c>
      <c r="M45" s="175" t="str">
        <f>IFERROR(SUMIFS('caseload data'!O:O,'caseload data'!$C:$C,'divisional &amp; regional caseload%'!$B$43,'caseload data'!$D:$D,"PO")/SUMIF('caseload data'!$C:$C,'divisional &amp; regional caseload%'!$B$43,'caseload data'!O:O),"")</f>
        <v/>
      </c>
      <c r="N45" s="175" t="str">
        <f>IFERROR(SUMIFS('caseload data'!P:P,'caseload data'!$C:$C,'divisional &amp; regional caseload%'!$B$43,'caseload data'!$D:$D,"PO")/SUMIF('caseload data'!$C:$C,'divisional &amp; regional caseload%'!$B$43,'caseload data'!P:P),"")</f>
        <v/>
      </c>
      <c r="O45" s="175" t="str">
        <f>IFERROR(SUMIFS('caseload data'!Q:Q,'caseload data'!$C:$C,'divisional &amp; regional caseload%'!$B$43,'caseload data'!$D:$D,"PO")/SUMIF('caseload data'!$C:$C,'divisional &amp; regional caseload%'!$B$43,'caseload data'!Q:Q),"")</f>
        <v/>
      </c>
      <c r="P45" s="175" t="str">
        <f>IFERROR(SUMIFS('caseload data'!R:R,'caseload data'!$C:$C,'divisional &amp; regional caseload%'!$B$43,'caseload data'!$D:$D,"PO")/SUMIF('caseload data'!$C:$C,'divisional &amp; regional caseload%'!$B$43,'caseload data'!R:R),"")</f>
        <v/>
      </c>
      <c r="Q45" s="175" t="str">
        <f>IFERROR(SUMIFS('caseload data'!S:S,'caseload data'!$C:$C,'divisional &amp; regional caseload%'!$B$43,'caseload data'!$D:$D,"PO")/SUMIF('caseload data'!$C:$C,'divisional &amp; regional caseload%'!$B$43,'caseload data'!S:S),"")</f>
        <v/>
      </c>
      <c r="R45" s="175" t="str">
        <f>IFERROR(SUMIFS('caseload data'!T:T,'caseload data'!$C:$C,'divisional &amp; regional caseload%'!$B$43,'caseload data'!$D:$D,"PO")/SUMIF('caseload data'!$C:$C,'divisional &amp; regional caseload%'!$B$43,'caseload data'!T:T),"")</f>
        <v/>
      </c>
      <c r="S45" s="68"/>
      <c r="T45" s="100" t="s">
        <v>1166</v>
      </c>
      <c r="U45" s="175" t="str">
        <f>IFERROR(SUMIFS('caseload data'!E:E,'caseload data'!$C:$C,'divisional &amp; regional caseload%'!$T$43,'caseload data'!$D:$D,"PO")/SUMIF('caseload data'!$C:$C,'divisional &amp; regional caseload%'!$T$43,'caseload data'!E:E),"")</f>
        <v/>
      </c>
      <c r="V45" s="175" t="str">
        <f>IFERROR(SUMIFS('caseload data'!F:F,'caseload data'!$C:$C,'divisional &amp; regional caseload%'!$T$43,'caseload data'!$D:$D,"PO")/SUMIF('caseload data'!$C:$C,'divisional &amp; regional caseload%'!$T$43,'caseload data'!F:F),"")</f>
        <v/>
      </c>
      <c r="W45" s="175" t="str">
        <f>IFERROR(SUMIFS('caseload data'!G:G,'caseload data'!$C:$C,'divisional &amp; regional caseload%'!$T$43,'caseload data'!$D:$D,"PO")/SUMIF('caseload data'!$C:$C,'divisional &amp; regional caseload%'!$T$43,'caseload data'!G:G),"")</f>
        <v/>
      </c>
      <c r="X45" s="175" t="str">
        <f>IFERROR(SUMIFS('caseload data'!H:H,'caseload data'!$C:$C,'divisional &amp; regional caseload%'!$T$43,'caseload data'!$D:$D,"PO")/SUMIF('caseload data'!$C:$C,'divisional &amp; regional caseload%'!$T$43,'caseload data'!H:H),"")</f>
        <v/>
      </c>
      <c r="Y45" s="175" t="str">
        <f>IFERROR(SUMIFS('caseload data'!I:I,'caseload data'!$C:$C,'divisional &amp; regional caseload%'!$T$43,'caseload data'!$D:$D,"PO")/SUMIF('caseload data'!$C:$C,'divisional &amp; regional caseload%'!$T$43,'caseload data'!I:I),"")</f>
        <v/>
      </c>
      <c r="Z45" s="175" t="str">
        <f>IFERROR(SUMIFS('caseload data'!J:J,'caseload data'!$C:$C,'divisional &amp; regional caseload%'!$T$43,'caseload data'!$D:$D,"PO")/SUMIF('caseload data'!$C:$C,'divisional &amp; regional caseload%'!$T$43,'caseload data'!J:J),"")</f>
        <v/>
      </c>
      <c r="AA45" s="175" t="str">
        <f>IFERROR(SUMIFS('caseload data'!K:K,'caseload data'!$C:$C,'divisional &amp; regional caseload%'!$T$43,'caseload data'!$D:$D,"PO")/SUMIF('caseload data'!$C:$C,'divisional &amp; regional caseload%'!$T$43,'caseload data'!K:K),"")</f>
        <v/>
      </c>
      <c r="AB45" s="175" t="str">
        <f>IFERROR(SUMIFS('caseload data'!L:L,'caseload data'!$C:$C,'divisional &amp; regional caseload%'!$T$43,'caseload data'!$D:$D,"PO")/SUMIF('caseload data'!$C:$C,'divisional &amp; regional caseload%'!$T$43,'caseload data'!L:L),"")</f>
        <v/>
      </c>
      <c r="AC45" s="175" t="str">
        <f>IFERROR(SUMIFS('caseload data'!M:M,'caseload data'!$C:$C,'divisional &amp; regional caseload%'!$T$43,'caseload data'!$D:$D,"PO")/SUMIF('caseload data'!$C:$C,'divisional &amp; regional caseload%'!$T$43,'caseload data'!M:M),"")</f>
        <v/>
      </c>
      <c r="AD45" s="175" t="str">
        <f>IFERROR(SUMIFS('caseload data'!N:N,'caseload data'!$C:$C,'divisional &amp; regional caseload%'!$T$43,'caseload data'!$D:$D,"PO")/SUMIF('caseload data'!$C:$C,'divisional &amp; regional caseload%'!$T$43,'caseload data'!N:N),"")</f>
        <v/>
      </c>
      <c r="AE45" s="175" t="str">
        <f>IFERROR(SUMIFS('caseload data'!O:O,'caseload data'!$C:$C,'divisional &amp; regional caseload%'!$T$43,'caseload data'!$D:$D,"PO")/SUMIF('caseload data'!$C:$C,'divisional &amp; regional caseload%'!$T$43,'caseload data'!O:O),"")</f>
        <v/>
      </c>
      <c r="AF45" s="175" t="str">
        <f>IFERROR(SUMIFS('caseload data'!P:P,'caseload data'!$C:$C,'divisional &amp; regional caseload%'!$T$43,'caseload data'!$D:$D,"PO")/SUMIF('caseload data'!$C:$C,'divisional &amp; regional caseload%'!$T$43,'caseload data'!P:P),"")</f>
        <v/>
      </c>
      <c r="AG45" s="175" t="str">
        <f>IFERROR(SUMIFS('caseload data'!Q:Q,'caseload data'!$C:$C,'divisional &amp; regional caseload%'!$T$43,'caseload data'!$D:$D,"PO")/SUMIF('caseload data'!$C:$C,'divisional &amp; regional caseload%'!$T$43,'caseload data'!Q:Q),"")</f>
        <v/>
      </c>
      <c r="AH45" s="175" t="str">
        <f>IFERROR(SUMIFS('caseload data'!R:R,'caseload data'!$C:$C,'divisional &amp; regional caseload%'!$T$43,'caseload data'!$D:$D,"PO")/SUMIF('caseload data'!$C:$C,'divisional &amp; regional caseload%'!$T$43,'caseload data'!R:R),"")</f>
        <v/>
      </c>
      <c r="AI45" s="175" t="str">
        <f>IFERROR(SUMIFS('caseload data'!S:S,'caseload data'!$C:$C,'divisional &amp; regional caseload%'!$T$43,'caseload data'!$D:$D,"PO")/SUMIF('caseload data'!$C:$C,'divisional &amp; regional caseload%'!$T$43,'caseload data'!S:S),"")</f>
        <v/>
      </c>
      <c r="AJ45" s="175" t="str">
        <f>IFERROR(SUMIFS('caseload data'!T:T,'caseload data'!$C:$C,'divisional &amp; regional caseload%'!$T$43,'caseload data'!$D:$D,"PO")/SUMIF('caseload data'!$C:$C,'divisional &amp; regional caseload%'!$T$43,'caseload data'!T:T),"")</f>
        <v/>
      </c>
    </row>
    <row r="46" spans="2:36" x14ac:dyDescent="0.15">
      <c r="B46" s="101" t="s">
        <v>1172</v>
      </c>
      <c r="C46" s="175" t="str">
        <f>IFERROR(SUMIFS('caseload data'!E:E,'caseload data'!$C:$C,'divisional &amp; regional caseload%'!$B$43,'caseload data'!$D:$D,"PSO")/SUMIF('caseload data'!$C:$C,'divisional &amp; regional caseload%'!$B$43,'caseload data'!E:E),"")</f>
        <v/>
      </c>
      <c r="D46" s="175" t="str">
        <f>IFERROR(SUMIFS('caseload data'!F:F,'caseload data'!$C:$C,'divisional &amp; regional caseload%'!$B$43,'caseload data'!$D:$D,"PSO")/SUMIF('caseload data'!$C:$C,'divisional &amp; regional caseload%'!$B$43,'caseload data'!F:F),"")</f>
        <v/>
      </c>
      <c r="E46" s="175" t="str">
        <f>IFERROR(SUMIFS('caseload data'!G:G,'caseload data'!$C:$C,'divisional &amp; regional caseload%'!$B$43,'caseload data'!$D:$D,"PSO")/SUMIF('caseload data'!$C:$C,'divisional &amp; regional caseload%'!$B$43,'caseload data'!G:G),"")</f>
        <v/>
      </c>
      <c r="F46" s="175" t="str">
        <f>IFERROR(SUMIFS('caseload data'!H:H,'caseload data'!$C:$C,'divisional &amp; regional caseload%'!$B$43,'caseload data'!$D:$D,"PSO")/SUMIF('caseload data'!$C:$C,'divisional &amp; regional caseload%'!$B$43,'caseload data'!H:H),"")</f>
        <v/>
      </c>
      <c r="G46" s="175" t="str">
        <f>IFERROR(SUMIFS('caseload data'!I:I,'caseload data'!$C:$C,'divisional &amp; regional caseload%'!$B$43,'caseload data'!$D:$D,"PSO")/SUMIF('caseload data'!$C:$C,'divisional &amp; regional caseload%'!$B$43,'caseload data'!I:I),"")</f>
        <v/>
      </c>
      <c r="H46" s="175" t="str">
        <f>IFERROR(SUMIFS('caseload data'!J:J,'caseload data'!$C:$C,'divisional &amp; regional caseload%'!$B$43,'caseload data'!$D:$D,"PSO")/SUMIF('caseload data'!$C:$C,'divisional &amp; regional caseload%'!$B$43,'caseload data'!J:J),"")</f>
        <v/>
      </c>
      <c r="I46" s="175" t="str">
        <f>IFERROR(SUMIFS('caseload data'!K:K,'caseload data'!$C:$C,'divisional &amp; regional caseload%'!$B$43,'caseload data'!$D:$D,"PSO")/SUMIF('caseload data'!$C:$C,'divisional &amp; regional caseload%'!$B$43,'caseload data'!K:K),"")</f>
        <v/>
      </c>
      <c r="J46" s="175" t="str">
        <f>IFERROR(SUMIFS('caseload data'!L:L,'caseload data'!$C:$C,'divisional &amp; regional caseload%'!$B$43,'caseload data'!$D:$D,"PSO")/SUMIF('caseload data'!$C:$C,'divisional &amp; regional caseload%'!$B$43,'caseload data'!L:L),"")</f>
        <v/>
      </c>
      <c r="K46" s="175" t="str">
        <f>IFERROR(SUMIFS('caseload data'!M:M,'caseload data'!$C:$C,'divisional &amp; regional caseload%'!$B$43,'caseload data'!$D:$D,"PSO")/SUMIF('caseload data'!$C:$C,'divisional &amp; regional caseload%'!$B$43,'caseload data'!M:M),"")</f>
        <v/>
      </c>
      <c r="L46" s="175" t="str">
        <f>IFERROR(SUMIFS('caseload data'!N:N,'caseload data'!$C:$C,'divisional &amp; regional caseload%'!$B$43,'caseload data'!$D:$D,"PSO")/SUMIF('caseload data'!$C:$C,'divisional &amp; regional caseload%'!$B$43,'caseload data'!N:N),"")</f>
        <v/>
      </c>
      <c r="M46" s="175" t="str">
        <f>IFERROR(SUMIFS('caseload data'!O:O,'caseload data'!$C:$C,'divisional &amp; regional caseload%'!$B$43,'caseload data'!$D:$D,"PSO")/SUMIF('caseload data'!$C:$C,'divisional &amp; regional caseload%'!$B$43,'caseload data'!O:O),"")</f>
        <v/>
      </c>
      <c r="N46" s="175" t="str">
        <f>IFERROR(SUMIFS('caseload data'!P:P,'caseload data'!$C:$C,'divisional &amp; regional caseload%'!$B$43,'caseload data'!$D:$D,"PSO")/SUMIF('caseload data'!$C:$C,'divisional &amp; regional caseload%'!$B$43,'caseload data'!P:P),"")</f>
        <v/>
      </c>
      <c r="O46" s="175" t="str">
        <f>IFERROR(SUMIFS('caseload data'!Q:Q,'caseload data'!$C:$C,'divisional &amp; regional caseload%'!$B$43,'caseload data'!$D:$D,"PSO")/SUMIF('caseload data'!$C:$C,'divisional &amp; regional caseload%'!$B$43,'caseload data'!Q:Q),"")</f>
        <v/>
      </c>
      <c r="P46" s="175" t="str">
        <f>IFERROR(SUMIFS('caseload data'!R:R,'caseload data'!$C:$C,'divisional &amp; regional caseload%'!$B$43,'caseload data'!$D:$D,"PSO")/SUMIF('caseload data'!$C:$C,'divisional &amp; regional caseload%'!$B$43,'caseload data'!R:R),"")</f>
        <v/>
      </c>
      <c r="Q46" s="175" t="str">
        <f>IFERROR(SUMIFS('caseload data'!S:S,'caseload data'!$C:$C,'divisional &amp; regional caseload%'!$B$43,'caseload data'!$D:$D,"PSO")/SUMIF('caseload data'!$C:$C,'divisional &amp; regional caseload%'!$B$43,'caseload data'!S:S),"")</f>
        <v/>
      </c>
      <c r="R46" s="175" t="str">
        <f>IFERROR(SUMIFS('caseload data'!T:T,'caseload data'!$C:$C,'divisional &amp; regional caseload%'!$B$43,'caseload data'!$D:$D,"PSO")/SUMIF('caseload data'!$C:$C,'divisional &amp; regional caseload%'!$B$43,'caseload data'!T:T),"")</f>
        <v/>
      </c>
      <c r="S46" s="68"/>
      <c r="T46" s="101" t="s">
        <v>1172</v>
      </c>
      <c r="U46" s="175" t="str">
        <f>IFERROR(SUMIFS('caseload data'!E:E,'caseload data'!$C:$C,'divisional &amp; regional caseload%'!$T$43,'caseload data'!$D:$D,"PSO")/SUMIF('caseload data'!$C:$C,'divisional &amp; regional caseload%'!$T$36,'caseload data'!E:E),"")</f>
        <v/>
      </c>
      <c r="V46" s="175" t="str">
        <f>IFERROR(SUMIFS('caseload data'!F:F,'caseload data'!$C:$C,'divisional &amp; regional caseload%'!$T$43,'caseload data'!$D:$D,"PSO")/SUMIF('caseload data'!$C:$C,'divisional &amp; regional caseload%'!$T$36,'caseload data'!F:F),"")</f>
        <v/>
      </c>
      <c r="W46" s="175" t="str">
        <f>IFERROR(SUMIFS('caseload data'!G:G,'caseload data'!$C:$C,'divisional &amp; regional caseload%'!$T$43,'caseload data'!$D:$D,"PSO")/SUMIF('caseload data'!$C:$C,'divisional &amp; regional caseload%'!$T$36,'caseload data'!G:G),"")</f>
        <v/>
      </c>
      <c r="X46" s="175" t="str">
        <f>IFERROR(SUMIFS('caseload data'!H:H,'caseload data'!$C:$C,'divisional &amp; regional caseload%'!$T$43,'caseload data'!$D:$D,"PSO")/SUMIF('caseload data'!$C:$C,'divisional &amp; regional caseload%'!$T$36,'caseload data'!H:H),"")</f>
        <v/>
      </c>
      <c r="Y46" s="175" t="str">
        <f>IFERROR(SUMIFS('caseload data'!I:I,'caseload data'!$C:$C,'divisional &amp; regional caseload%'!$T$43,'caseload data'!$D:$D,"PSO")/SUMIF('caseload data'!$C:$C,'divisional &amp; regional caseload%'!$T$36,'caseload data'!I:I),"")</f>
        <v/>
      </c>
      <c r="Z46" s="175" t="str">
        <f>IFERROR(SUMIFS('caseload data'!J:J,'caseload data'!$C:$C,'divisional &amp; regional caseload%'!$T$43,'caseload data'!$D:$D,"PSO")/SUMIF('caseload data'!$C:$C,'divisional &amp; regional caseload%'!$T$36,'caseload data'!J:J),"")</f>
        <v/>
      </c>
      <c r="AA46" s="175" t="str">
        <f>IFERROR(SUMIFS('caseload data'!K:K,'caseload data'!$C:$C,'divisional &amp; regional caseload%'!$T$43,'caseload data'!$D:$D,"PSO")/SUMIF('caseload data'!$C:$C,'divisional &amp; regional caseload%'!$T$36,'caseload data'!K:K),"")</f>
        <v/>
      </c>
      <c r="AB46" s="175" t="str">
        <f>IFERROR(SUMIFS('caseload data'!L:L,'caseload data'!$C:$C,'divisional &amp; regional caseload%'!$T$43,'caseload data'!$D:$D,"PSO")/SUMIF('caseload data'!$C:$C,'divisional &amp; regional caseload%'!$T$36,'caseload data'!L:L),"")</f>
        <v/>
      </c>
      <c r="AC46" s="175" t="str">
        <f>IFERROR(SUMIFS('caseload data'!M:M,'caseload data'!$C:$C,'divisional &amp; regional caseload%'!$T$43,'caseload data'!$D:$D,"PSO")/SUMIF('caseload data'!$C:$C,'divisional &amp; regional caseload%'!$T$36,'caseload data'!M:M),"")</f>
        <v/>
      </c>
      <c r="AD46" s="175" t="str">
        <f>IFERROR(SUMIFS('caseload data'!N:N,'caseload data'!$C:$C,'divisional &amp; regional caseload%'!$T$43,'caseload data'!$D:$D,"PSO")/SUMIF('caseload data'!$C:$C,'divisional &amp; regional caseload%'!$T$36,'caseload data'!N:N),"")</f>
        <v/>
      </c>
      <c r="AE46" s="175" t="str">
        <f>IFERROR(SUMIFS('caseload data'!O:O,'caseload data'!$C:$C,'divisional &amp; regional caseload%'!$T$43,'caseload data'!$D:$D,"PSO")/SUMIF('caseload data'!$C:$C,'divisional &amp; regional caseload%'!$T$36,'caseload data'!O:O),"")</f>
        <v/>
      </c>
      <c r="AF46" s="175" t="str">
        <f>IFERROR(SUMIFS('caseload data'!P:P,'caseload data'!$C:$C,'divisional &amp; regional caseload%'!$T$43,'caseload data'!$D:$D,"PSO")/SUMIF('caseload data'!$C:$C,'divisional &amp; regional caseload%'!$T$36,'caseload data'!P:P),"")</f>
        <v/>
      </c>
      <c r="AG46" s="175" t="str">
        <f>IFERROR(SUMIFS('caseload data'!Q:Q,'caseload data'!$C:$C,'divisional &amp; regional caseload%'!$T$43,'caseload data'!$D:$D,"PSO")/SUMIF('caseload data'!$C:$C,'divisional &amp; regional caseload%'!$T$36,'caseload data'!Q:Q),"")</f>
        <v/>
      </c>
      <c r="AH46" s="175" t="str">
        <f>IFERROR(SUMIFS('caseload data'!R:R,'caseload data'!$C:$C,'divisional &amp; regional caseload%'!$T$43,'caseload data'!$D:$D,"PSO")/SUMIF('caseload data'!$C:$C,'divisional &amp; regional caseload%'!$T$36,'caseload data'!R:R),"")</f>
        <v/>
      </c>
      <c r="AI46" s="175" t="str">
        <f>IFERROR(SUMIFS('caseload data'!S:S,'caseload data'!$C:$C,'divisional &amp; regional caseload%'!$T$43,'caseload data'!$D:$D,"PSO")/SUMIF('caseload data'!$C:$C,'divisional &amp; regional caseload%'!$T$36,'caseload data'!S:S),"")</f>
        <v/>
      </c>
      <c r="AJ46" s="175" t="str">
        <f>IFERROR(SUMIFS('caseload data'!T:T,'caseload data'!$C:$C,'divisional &amp; regional caseload%'!$T$43,'caseload data'!$D:$D,"PSO")/SUMIF('caseload data'!$C:$C,'divisional &amp; regional caseload%'!$T$36,'caseload data'!T:T),"")</f>
        <v/>
      </c>
    </row>
    <row r="47" spans="2:36" x14ac:dyDescent="0.15">
      <c r="B47" s="101" t="s">
        <v>1173</v>
      </c>
      <c r="C47" s="175" t="str">
        <f>IFERROR(SUMIFS('caseload data'!E:E,'caseload data'!$C:$C,'divisional &amp; regional caseload%'!$B$43,'caseload data'!$D:$D,"TPO")/SUMIF('caseload data'!$C:$C,'divisional &amp; regional caseload%'!$B$43,'caseload data'!E:E),"")</f>
        <v/>
      </c>
      <c r="D47" s="175" t="str">
        <f>IFERROR(SUMIFS('caseload data'!F:F,'caseload data'!$C:$C,'divisional &amp; regional caseload%'!$B$43,'caseload data'!$D:$D,"TPO")/SUMIF('caseload data'!$C:$C,'divisional &amp; regional caseload%'!$B$43,'caseload data'!F:F),"")</f>
        <v/>
      </c>
      <c r="E47" s="175" t="str">
        <f>IFERROR(SUMIFS('caseload data'!G:G,'caseload data'!$C:$C,'divisional &amp; regional caseload%'!$B$43,'caseload data'!$D:$D,"TPO")/SUMIF('caseload data'!$C:$C,'divisional &amp; regional caseload%'!$B$43,'caseload data'!G:G),"")</f>
        <v/>
      </c>
      <c r="F47" s="175" t="str">
        <f>IFERROR(SUMIFS('caseload data'!H:H,'caseload data'!$C:$C,'divisional &amp; regional caseload%'!$B$43,'caseload data'!$D:$D,"TPO")/SUMIF('caseload data'!$C:$C,'divisional &amp; regional caseload%'!$B$43,'caseload data'!H:H),"")</f>
        <v/>
      </c>
      <c r="G47" s="175" t="str">
        <f>IFERROR(SUMIFS('caseload data'!I:I,'caseload data'!$C:$C,'divisional &amp; regional caseload%'!$B$43,'caseload data'!$D:$D,"TPO")/SUMIF('caseload data'!$C:$C,'divisional &amp; regional caseload%'!$B$43,'caseload data'!I:I),"")</f>
        <v/>
      </c>
      <c r="H47" s="175" t="str">
        <f>IFERROR(SUMIFS('caseload data'!J:J,'caseload data'!$C:$C,'divisional &amp; regional caseload%'!$B$43,'caseload data'!$D:$D,"TPO")/SUMIF('caseload data'!$C:$C,'divisional &amp; regional caseload%'!$B$43,'caseload data'!J:J),"")</f>
        <v/>
      </c>
      <c r="I47" s="175" t="str">
        <f>IFERROR(SUMIFS('caseload data'!K:K,'caseload data'!$C:$C,'divisional &amp; regional caseload%'!$B$43,'caseload data'!$D:$D,"TPO")/SUMIF('caseload data'!$C:$C,'divisional &amp; regional caseload%'!$B$43,'caseload data'!K:K),"")</f>
        <v/>
      </c>
      <c r="J47" s="175" t="str">
        <f>IFERROR(SUMIFS('caseload data'!L:L,'caseload data'!$C:$C,'divisional &amp; regional caseload%'!$B$43,'caseload data'!$D:$D,"TPO")/SUMIF('caseload data'!$C:$C,'divisional &amp; regional caseload%'!$B$43,'caseload data'!L:L),"")</f>
        <v/>
      </c>
      <c r="K47" s="175" t="str">
        <f>IFERROR(SUMIFS('caseload data'!M:M,'caseload data'!$C:$C,'divisional &amp; regional caseload%'!$B$43,'caseload data'!$D:$D,"TPO")/SUMIF('caseload data'!$C:$C,'divisional &amp; regional caseload%'!$B$43,'caseload data'!M:M),"")</f>
        <v/>
      </c>
      <c r="L47" s="175" t="str">
        <f>IFERROR(SUMIFS('caseload data'!N:N,'caseload data'!$C:$C,'divisional &amp; regional caseload%'!$B$43,'caseload data'!$D:$D,"TPO")/SUMIF('caseload data'!$C:$C,'divisional &amp; regional caseload%'!$B$43,'caseload data'!N:N),"")</f>
        <v/>
      </c>
      <c r="M47" s="175" t="str">
        <f>IFERROR(SUMIFS('caseload data'!O:O,'caseload data'!$C:$C,'divisional &amp; regional caseload%'!$B$43,'caseload data'!$D:$D,"TPO")/SUMIF('caseload data'!$C:$C,'divisional &amp; regional caseload%'!$B$43,'caseload data'!O:O),"")</f>
        <v/>
      </c>
      <c r="N47" s="175" t="str">
        <f>IFERROR(SUMIFS('caseload data'!P:P,'caseload data'!$C:$C,'divisional &amp; regional caseload%'!$B$43,'caseload data'!$D:$D,"TPO")/SUMIF('caseload data'!$C:$C,'divisional &amp; regional caseload%'!$B$43,'caseload data'!P:P),"")</f>
        <v/>
      </c>
      <c r="O47" s="175" t="str">
        <f>IFERROR(SUMIFS('caseload data'!Q:Q,'caseload data'!$C:$C,'divisional &amp; regional caseload%'!$B$43,'caseload data'!$D:$D,"TPO")/SUMIF('caseload data'!$C:$C,'divisional &amp; regional caseload%'!$B$43,'caseload data'!Q:Q),"")</f>
        <v/>
      </c>
      <c r="P47" s="175" t="str">
        <f>IFERROR(SUMIFS('caseload data'!R:R,'caseload data'!$C:$C,'divisional &amp; regional caseload%'!$B$43,'caseload data'!$D:$D,"TPO")/SUMIF('caseload data'!$C:$C,'divisional &amp; regional caseload%'!$B$43,'caseload data'!R:R),"")</f>
        <v/>
      </c>
      <c r="Q47" s="175" t="str">
        <f>IFERROR(SUMIFS('caseload data'!S:S,'caseload data'!$C:$C,'divisional &amp; regional caseload%'!$B$43,'caseload data'!$D:$D,"TPO")/SUMIF('caseload data'!$C:$C,'divisional &amp; regional caseload%'!$B$43,'caseload data'!S:S),"")</f>
        <v/>
      </c>
      <c r="R47" s="175" t="str">
        <f>IFERROR(SUMIFS('caseload data'!T:T,'caseload data'!$C:$C,'divisional &amp; regional caseload%'!$B$43,'caseload data'!$D:$D,"TPO")/SUMIF('caseload data'!$C:$C,'divisional &amp; regional caseload%'!$B$43,'caseload data'!T:T),"")</f>
        <v/>
      </c>
      <c r="S47" s="68"/>
      <c r="T47" s="101" t="s">
        <v>1173</v>
      </c>
      <c r="U47" s="175" t="str">
        <f>IFERROR(SUMIFS('caseload data'!E:E,'caseload data'!$C:$C,'divisional &amp; regional caseload%'!$T$43,'caseload data'!$D:$D,"TPO")/SUMIF('caseload data'!$C:$C,'divisional &amp; regional caseload%'!$T$36,'caseload data'!E:E),"")</f>
        <v/>
      </c>
      <c r="V47" s="175" t="str">
        <f>IFERROR(SUMIFS('caseload data'!F:F,'caseload data'!$C:$C,'divisional &amp; regional caseload%'!$T$43,'caseload data'!$D:$D,"TPO")/SUMIF('caseload data'!$C:$C,'divisional &amp; regional caseload%'!$T$36,'caseload data'!F:F),"")</f>
        <v/>
      </c>
      <c r="W47" s="175" t="str">
        <f>IFERROR(SUMIFS('caseload data'!G:G,'caseload data'!$C:$C,'divisional &amp; regional caseload%'!$T$43,'caseload data'!$D:$D,"TPO")/SUMIF('caseload data'!$C:$C,'divisional &amp; regional caseload%'!$T$36,'caseload data'!G:G),"")</f>
        <v/>
      </c>
      <c r="X47" s="175" t="str">
        <f>IFERROR(SUMIFS('caseload data'!H:H,'caseload data'!$C:$C,'divisional &amp; regional caseload%'!$T$43,'caseload data'!$D:$D,"TPO")/SUMIF('caseload data'!$C:$C,'divisional &amp; regional caseload%'!$T$36,'caseload data'!H:H),"")</f>
        <v/>
      </c>
      <c r="Y47" s="175" t="str">
        <f>IFERROR(SUMIFS('caseload data'!I:I,'caseload data'!$C:$C,'divisional &amp; regional caseload%'!$T$43,'caseload data'!$D:$D,"TPO")/SUMIF('caseload data'!$C:$C,'divisional &amp; regional caseload%'!$T$36,'caseload data'!I:I),"")</f>
        <v/>
      </c>
      <c r="Z47" s="175" t="str">
        <f>IFERROR(SUMIFS('caseload data'!J:J,'caseload data'!$C:$C,'divisional &amp; regional caseload%'!$T$43,'caseload data'!$D:$D,"TPO")/SUMIF('caseload data'!$C:$C,'divisional &amp; regional caseload%'!$T$36,'caseload data'!J:J),"")</f>
        <v/>
      </c>
      <c r="AA47" s="175" t="str">
        <f>IFERROR(SUMIFS('caseload data'!K:K,'caseload data'!$C:$C,'divisional &amp; regional caseload%'!$T$43,'caseload data'!$D:$D,"TPO")/SUMIF('caseload data'!$C:$C,'divisional &amp; regional caseload%'!$T$36,'caseload data'!K:K),"")</f>
        <v/>
      </c>
      <c r="AB47" s="175" t="str">
        <f>IFERROR(SUMIFS('caseload data'!L:L,'caseload data'!$C:$C,'divisional &amp; regional caseload%'!$T$43,'caseload data'!$D:$D,"TPO")/SUMIF('caseload data'!$C:$C,'divisional &amp; regional caseload%'!$T$36,'caseload data'!L:L),"")</f>
        <v/>
      </c>
      <c r="AC47" s="175" t="str">
        <f>IFERROR(SUMIFS('caseload data'!M:M,'caseload data'!$C:$C,'divisional &amp; regional caseload%'!$T$43,'caseload data'!$D:$D,"TPO")/SUMIF('caseload data'!$C:$C,'divisional &amp; regional caseload%'!$T$36,'caseload data'!M:M),"")</f>
        <v/>
      </c>
      <c r="AD47" s="175" t="str">
        <f>IFERROR(SUMIFS('caseload data'!N:N,'caseload data'!$C:$C,'divisional &amp; regional caseload%'!$T$43,'caseload data'!$D:$D,"TPO")/SUMIF('caseload data'!$C:$C,'divisional &amp; regional caseload%'!$T$36,'caseload data'!N:N),"")</f>
        <v/>
      </c>
      <c r="AE47" s="175" t="str">
        <f>IFERROR(SUMIFS('caseload data'!O:O,'caseload data'!$C:$C,'divisional &amp; regional caseload%'!$T$43,'caseload data'!$D:$D,"TPO")/SUMIF('caseload data'!$C:$C,'divisional &amp; regional caseload%'!$T$36,'caseload data'!O:O),"")</f>
        <v/>
      </c>
      <c r="AF47" s="175" t="str">
        <f>IFERROR(SUMIFS('caseload data'!P:P,'caseload data'!$C:$C,'divisional &amp; regional caseload%'!$T$43,'caseload data'!$D:$D,"TPO")/SUMIF('caseload data'!$C:$C,'divisional &amp; regional caseload%'!$T$36,'caseload data'!P:P),"")</f>
        <v/>
      </c>
      <c r="AG47" s="175" t="str">
        <f>IFERROR(SUMIFS('caseload data'!Q:Q,'caseload data'!$C:$C,'divisional &amp; regional caseload%'!$T$43,'caseload data'!$D:$D,"TPO")/SUMIF('caseload data'!$C:$C,'divisional &amp; regional caseload%'!$T$36,'caseload data'!Q:Q),"")</f>
        <v/>
      </c>
      <c r="AH47" s="175" t="str">
        <f>IFERROR(SUMIFS('caseload data'!R:R,'caseload data'!$C:$C,'divisional &amp; regional caseload%'!$T$43,'caseload data'!$D:$D,"TPO")/SUMIF('caseload data'!$C:$C,'divisional &amp; regional caseload%'!$T$36,'caseload data'!R:R),"")</f>
        <v/>
      </c>
      <c r="AI47" s="175" t="str">
        <f>IFERROR(SUMIFS('caseload data'!S:S,'caseload data'!$C:$C,'divisional &amp; regional caseload%'!$T$43,'caseload data'!$D:$D,"TPO")/SUMIF('caseload data'!$C:$C,'divisional &amp; regional caseload%'!$T$36,'caseload data'!S:S),"")</f>
        <v/>
      </c>
      <c r="AJ47" s="175" t="str">
        <f>IFERROR(SUMIFS('caseload data'!T:T,'caseload data'!$C:$C,'divisional &amp; regional caseload%'!$T$43,'caseload data'!$D:$D,"TPO")/SUMIF('caseload data'!$C:$C,'divisional &amp; regional caseload%'!$T$36,'caseload data'!T:T),"")</f>
        <v/>
      </c>
    </row>
    <row r="48" spans="2:36" x14ac:dyDescent="0.15">
      <c r="B48" s="102" t="s">
        <v>1174</v>
      </c>
      <c r="C48" s="175" t="str">
        <f>IFERROR(SUMIFS('caseload data'!E:E,'caseload data'!$C:$C,'divisional &amp; regional caseload%'!$B$43,'caseload data'!$D:$D,"SPO")/SUMIF('caseload data'!$C:$C,'divisional &amp; regional caseload%'!$B$43,'caseload data'!E:E),"")</f>
        <v/>
      </c>
      <c r="D48" s="175" t="str">
        <f>IFERROR(SUMIFS('caseload data'!F:F,'caseload data'!$C:$C,'divisional &amp; regional caseload%'!$B$43,'caseload data'!$D:$D,"SPO")/SUMIF('caseload data'!$C:$C,'divisional &amp; regional caseload%'!$B$43,'caseload data'!F:F),"")</f>
        <v/>
      </c>
      <c r="E48" s="175" t="str">
        <f>IFERROR(SUMIFS('caseload data'!G:G,'caseload data'!$C:$C,'divisional &amp; regional caseload%'!$B$43,'caseload data'!$D:$D,"SPO")/SUMIF('caseload data'!$C:$C,'divisional &amp; regional caseload%'!$B$43,'caseload data'!G:G),"")</f>
        <v/>
      </c>
      <c r="F48" s="175" t="str">
        <f>IFERROR(SUMIFS('caseload data'!H:H,'caseload data'!$C:$C,'divisional &amp; regional caseload%'!$B$43,'caseload data'!$D:$D,"SPO")/SUMIF('caseload data'!$C:$C,'divisional &amp; regional caseload%'!$B$43,'caseload data'!H:H),"")</f>
        <v/>
      </c>
      <c r="G48" s="175" t="str">
        <f>IFERROR(SUMIFS('caseload data'!I:I,'caseload data'!$C:$C,'divisional &amp; regional caseload%'!$B$43,'caseload data'!$D:$D,"SPO")/SUMIF('caseload data'!$C:$C,'divisional &amp; regional caseload%'!$B$43,'caseload data'!I:I),"")</f>
        <v/>
      </c>
      <c r="H48" s="175" t="str">
        <f>IFERROR(SUMIFS('caseload data'!J:J,'caseload data'!$C:$C,'divisional &amp; regional caseload%'!$B$43,'caseload data'!$D:$D,"SPO")/SUMIF('caseload data'!$C:$C,'divisional &amp; regional caseload%'!$B$43,'caseload data'!J:J),"")</f>
        <v/>
      </c>
      <c r="I48" s="175" t="str">
        <f>IFERROR(SUMIFS('caseload data'!K:K,'caseload data'!$C:$C,'divisional &amp; regional caseload%'!$B$43,'caseload data'!$D:$D,"SPO")/SUMIF('caseload data'!$C:$C,'divisional &amp; regional caseload%'!$B$43,'caseload data'!K:K),"")</f>
        <v/>
      </c>
      <c r="J48" s="175" t="str">
        <f>IFERROR(SUMIFS('caseload data'!L:L,'caseload data'!$C:$C,'divisional &amp; regional caseload%'!$B$43,'caseload data'!$D:$D,"SPO")/SUMIF('caseload data'!$C:$C,'divisional &amp; regional caseload%'!$B$43,'caseload data'!L:L),"")</f>
        <v/>
      </c>
      <c r="K48" s="175" t="str">
        <f>IFERROR(SUMIFS('caseload data'!M:M,'caseload data'!$C:$C,'divisional &amp; regional caseload%'!$B$43,'caseload data'!$D:$D,"SPO")/SUMIF('caseload data'!$C:$C,'divisional &amp; regional caseload%'!$B$43,'caseload data'!M:M),"")</f>
        <v/>
      </c>
      <c r="L48" s="175" t="str">
        <f>IFERROR(SUMIFS('caseload data'!N:N,'caseload data'!$C:$C,'divisional &amp; regional caseload%'!$B$43,'caseload data'!$D:$D,"SPO")/SUMIF('caseload data'!$C:$C,'divisional &amp; regional caseload%'!$B$43,'caseload data'!N:N),"")</f>
        <v/>
      </c>
      <c r="M48" s="175" t="str">
        <f>IFERROR(SUMIFS('caseload data'!O:O,'caseload data'!$C:$C,'divisional &amp; regional caseload%'!$B$43,'caseload data'!$D:$D,"SPO")/SUMIF('caseload data'!$C:$C,'divisional &amp; regional caseload%'!$B$43,'caseload data'!O:O),"")</f>
        <v/>
      </c>
      <c r="N48" s="175" t="str">
        <f>IFERROR(SUMIFS('caseload data'!P:P,'caseload data'!$C:$C,'divisional &amp; regional caseload%'!$B$43,'caseload data'!$D:$D,"SPO")/SUMIF('caseload data'!$C:$C,'divisional &amp; regional caseload%'!$B$43,'caseload data'!P:P),"")</f>
        <v/>
      </c>
      <c r="O48" s="175" t="str">
        <f>IFERROR(SUMIFS('caseload data'!Q:Q,'caseload data'!$C:$C,'divisional &amp; regional caseload%'!$B$43,'caseload data'!$D:$D,"SPO")/SUMIF('caseload data'!$C:$C,'divisional &amp; regional caseload%'!$B$43,'caseload data'!Q:Q),"")</f>
        <v/>
      </c>
      <c r="P48" s="175" t="str">
        <f>IFERROR(SUMIFS('caseload data'!R:R,'caseload data'!$C:$C,'divisional &amp; regional caseload%'!$B$43,'caseload data'!$D:$D,"SPO")/SUMIF('caseload data'!$C:$C,'divisional &amp; regional caseload%'!$B$43,'caseload data'!R:R),"")</f>
        <v/>
      </c>
      <c r="Q48" s="175" t="str">
        <f>IFERROR(SUMIFS('caseload data'!S:S,'caseload data'!$C:$C,'divisional &amp; regional caseload%'!$B$43,'caseload data'!$D:$D,"SPO")/SUMIF('caseload data'!$C:$C,'divisional &amp; regional caseload%'!$B$43,'caseload data'!S:S),"")</f>
        <v/>
      </c>
      <c r="R48" s="175" t="str">
        <f>IFERROR(SUMIFS('caseload data'!T:T,'caseload data'!$C:$C,'divisional &amp; regional caseload%'!$B$43,'caseload data'!$D:$D,"SPO")/SUMIF('caseload data'!$C:$C,'divisional &amp; regional caseload%'!$B$43,'caseload data'!T:T),"")</f>
        <v/>
      </c>
      <c r="S48" s="68"/>
      <c r="T48" s="102" t="s">
        <v>1174</v>
      </c>
      <c r="U48" s="175" t="str">
        <f>IFERROR(SUMIFS('caseload data'!E:E,'caseload data'!$C:$C,'divisional &amp; regional caseload%'!$T$43,'caseload data'!$D:$D,"SPO")/SUMIF('caseload data'!$C:$C,'divisional &amp; regional caseload%'!$T$36,'caseload data'!E:E),"")</f>
        <v/>
      </c>
      <c r="V48" s="175" t="str">
        <f>IFERROR(SUMIFS('caseload data'!F:F,'caseload data'!$C:$C,'divisional &amp; regional caseload%'!$T$43,'caseload data'!$D:$D,"SPO")/SUMIF('caseload data'!$C:$C,'divisional &amp; regional caseload%'!$T$36,'caseload data'!F:F),"")</f>
        <v/>
      </c>
      <c r="W48" s="175" t="str">
        <f>IFERROR(SUMIFS('caseload data'!G:G,'caseload data'!$C:$C,'divisional &amp; regional caseload%'!$T$43,'caseload data'!$D:$D,"SPO")/SUMIF('caseload data'!$C:$C,'divisional &amp; regional caseload%'!$T$36,'caseload data'!G:G),"")</f>
        <v/>
      </c>
      <c r="X48" s="175" t="str">
        <f>IFERROR(SUMIFS('caseload data'!H:H,'caseload data'!$C:$C,'divisional &amp; regional caseload%'!$T$43,'caseload data'!$D:$D,"SPO")/SUMIF('caseload data'!$C:$C,'divisional &amp; regional caseload%'!$T$36,'caseload data'!H:H),"")</f>
        <v/>
      </c>
      <c r="Y48" s="175" t="str">
        <f>IFERROR(SUMIFS('caseload data'!I:I,'caseload data'!$C:$C,'divisional &amp; regional caseload%'!$T$43,'caseload data'!$D:$D,"SPO")/SUMIF('caseload data'!$C:$C,'divisional &amp; regional caseload%'!$T$36,'caseload data'!I:I),"")</f>
        <v/>
      </c>
      <c r="Z48" s="175" t="str">
        <f>IFERROR(SUMIFS('caseload data'!J:J,'caseload data'!$C:$C,'divisional &amp; regional caseload%'!$T$43,'caseload data'!$D:$D,"SPO")/SUMIF('caseload data'!$C:$C,'divisional &amp; regional caseload%'!$T$36,'caseload data'!J:J),"")</f>
        <v/>
      </c>
      <c r="AA48" s="175" t="str">
        <f>IFERROR(SUMIFS('caseload data'!K:K,'caseload data'!$C:$C,'divisional &amp; regional caseload%'!$T$43,'caseload data'!$D:$D,"SPO")/SUMIF('caseload data'!$C:$C,'divisional &amp; regional caseload%'!$T$36,'caseload data'!K:K),"")</f>
        <v/>
      </c>
      <c r="AB48" s="175" t="str">
        <f>IFERROR(SUMIFS('caseload data'!L:L,'caseload data'!$C:$C,'divisional &amp; regional caseload%'!$T$43,'caseload data'!$D:$D,"SPO")/SUMIF('caseload data'!$C:$C,'divisional &amp; regional caseload%'!$T$36,'caseload data'!L:L),"")</f>
        <v/>
      </c>
      <c r="AC48" s="175" t="str">
        <f>IFERROR(SUMIFS('caseload data'!M:M,'caseload data'!$C:$C,'divisional &amp; regional caseload%'!$T$43,'caseload data'!$D:$D,"SPO")/SUMIF('caseload data'!$C:$C,'divisional &amp; regional caseload%'!$T$36,'caseload data'!M:M),"")</f>
        <v/>
      </c>
      <c r="AD48" s="175" t="str">
        <f>IFERROR(SUMIFS('caseload data'!N:N,'caseload data'!$C:$C,'divisional &amp; regional caseload%'!$T$43,'caseload data'!$D:$D,"SPO")/SUMIF('caseload data'!$C:$C,'divisional &amp; regional caseload%'!$T$36,'caseload data'!N:N),"")</f>
        <v/>
      </c>
      <c r="AE48" s="175" t="str">
        <f>IFERROR(SUMIFS('caseload data'!O:O,'caseload data'!$C:$C,'divisional &amp; regional caseload%'!$T$43,'caseload data'!$D:$D,"SPO")/SUMIF('caseload data'!$C:$C,'divisional &amp; regional caseload%'!$T$36,'caseload data'!O:O),"")</f>
        <v/>
      </c>
      <c r="AF48" s="175" t="str">
        <f>IFERROR(SUMIFS('caseload data'!P:P,'caseload data'!$C:$C,'divisional &amp; regional caseload%'!$T$43,'caseload data'!$D:$D,"SPO")/SUMIF('caseload data'!$C:$C,'divisional &amp; regional caseload%'!$T$36,'caseload data'!P:P),"")</f>
        <v/>
      </c>
      <c r="AG48" s="175" t="str">
        <f>IFERROR(SUMIFS('caseload data'!Q:Q,'caseload data'!$C:$C,'divisional &amp; regional caseload%'!$T$43,'caseload data'!$D:$D,"SPO")/SUMIF('caseload data'!$C:$C,'divisional &amp; regional caseload%'!$T$36,'caseload data'!Q:Q),"")</f>
        <v/>
      </c>
      <c r="AH48" s="175" t="str">
        <f>IFERROR(SUMIFS('caseload data'!R:R,'caseload data'!$C:$C,'divisional &amp; regional caseload%'!$T$43,'caseload data'!$D:$D,"SPO")/SUMIF('caseload data'!$C:$C,'divisional &amp; regional caseload%'!$T$36,'caseload data'!R:R),"")</f>
        <v/>
      </c>
      <c r="AI48" s="175" t="str">
        <f>IFERROR(SUMIFS('caseload data'!S:S,'caseload data'!$C:$C,'divisional &amp; regional caseload%'!$T$43,'caseload data'!$D:$D,"SPO")/SUMIF('caseload data'!$C:$C,'divisional &amp; regional caseload%'!$T$36,'caseload data'!S:S),"")</f>
        <v/>
      </c>
      <c r="AJ48" s="175" t="str">
        <f>IFERROR(SUMIFS('caseload data'!T:T,'caseload data'!$C:$C,'divisional &amp; regional caseload%'!$T$43,'caseload data'!$D:$D,"SPO")/SUMIF('caseload data'!$C:$C,'divisional &amp; regional caseload%'!$T$36,'caseload data'!T:T),"")</f>
        <v/>
      </c>
    </row>
    <row r="49" spans="2:36" x14ac:dyDescent="0.15">
      <c r="B49" s="95"/>
      <c r="C49" s="68"/>
      <c r="D49" s="68"/>
      <c r="E49" s="68"/>
      <c r="F49" s="68"/>
      <c r="G49" s="68"/>
      <c r="H49" s="68"/>
      <c r="I49" s="68"/>
      <c r="J49" s="68"/>
      <c r="K49" s="68"/>
      <c r="L49" s="68"/>
      <c r="M49" s="68"/>
      <c r="N49" s="68"/>
      <c r="O49" s="68"/>
      <c r="P49" s="68"/>
      <c r="Q49" s="68"/>
      <c r="R49" s="68"/>
      <c r="S49" s="68"/>
      <c r="T49" s="95"/>
      <c r="U49" s="68"/>
      <c r="V49" s="68"/>
      <c r="W49" s="68"/>
      <c r="X49" s="68"/>
      <c r="Y49" s="68"/>
      <c r="Z49" s="68"/>
      <c r="AA49" s="68"/>
      <c r="AB49" s="68"/>
      <c r="AC49" s="68"/>
      <c r="AD49" s="68"/>
      <c r="AE49" s="68"/>
      <c r="AF49" s="68"/>
      <c r="AG49" s="68"/>
      <c r="AH49" s="68"/>
      <c r="AI49" s="68"/>
      <c r="AJ49" s="68"/>
    </row>
    <row r="50" spans="2:36" ht="30" customHeight="1" x14ac:dyDescent="0.15">
      <c r="B50" s="302">
        <f>HLOOKUP($B$5,Region_Table,14,0)</f>
        <v>0</v>
      </c>
      <c r="C50" s="475" t="s">
        <v>1275</v>
      </c>
      <c r="D50" s="476"/>
      <c r="E50" s="476"/>
      <c r="F50" s="476"/>
      <c r="G50" s="476"/>
      <c r="H50" s="476"/>
      <c r="I50" s="476"/>
      <c r="J50" s="476"/>
      <c r="K50" s="476"/>
      <c r="L50" s="476"/>
      <c r="M50" s="477"/>
      <c r="N50" s="477"/>
      <c r="O50" s="478"/>
      <c r="P50" s="462">
        <f>SUMIF('caseload data'!$C:$C,'divisional &amp; regional caseload%'!B50,'caseload data'!V:V)</f>
        <v>0</v>
      </c>
      <c r="Q50" s="479"/>
      <c r="R50" s="480"/>
      <c r="S50" s="68"/>
      <c r="T50" s="302">
        <f>HLOOKUP($B$5,Region_Table,15,0)</f>
        <v>0</v>
      </c>
      <c r="U50" s="475" t="s">
        <v>1275</v>
      </c>
      <c r="V50" s="476"/>
      <c r="W50" s="476"/>
      <c r="X50" s="476"/>
      <c r="Y50" s="476"/>
      <c r="Z50" s="476"/>
      <c r="AA50" s="476"/>
      <c r="AB50" s="476"/>
      <c r="AC50" s="476"/>
      <c r="AD50" s="476"/>
      <c r="AE50" s="477"/>
      <c r="AF50" s="477"/>
      <c r="AG50" s="478"/>
      <c r="AH50" s="462">
        <f>SUMIF('caseload data'!$C:$C,'divisional &amp; regional caseload%'!T50,'caseload data'!V:V)</f>
        <v>0</v>
      </c>
      <c r="AI50" s="479"/>
      <c r="AJ50" s="480"/>
    </row>
    <row r="51" spans="2:36" x14ac:dyDescent="0.15">
      <c r="B51" s="99" t="s">
        <v>1171</v>
      </c>
      <c r="C51" s="40" t="s">
        <v>1022</v>
      </c>
      <c r="D51" s="40" t="s">
        <v>1023</v>
      </c>
      <c r="E51" s="40" t="s">
        <v>1024</v>
      </c>
      <c r="F51" s="40" t="s">
        <v>1025</v>
      </c>
      <c r="G51" s="40" t="s">
        <v>1026</v>
      </c>
      <c r="H51" s="40" t="s">
        <v>1027</v>
      </c>
      <c r="I51" s="40" t="s">
        <v>1028</v>
      </c>
      <c r="J51" s="40" t="s">
        <v>1029</v>
      </c>
      <c r="K51" s="40" t="s">
        <v>1030</v>
      </c>
      <c r="L51" s="40" t="s">
        <v>1031</v>
      </c>
      <c r="M51" s="40" t="s">
        <v>1032</v>
      </c>
      <c r="N51" s="40" t="s">
        <v>1033</v>
      </c>
      <c r="O51" s="40" t="s">
        <v>1034</v>
      </c>
      <c r="P51" s="40" t="s">
        <v>1035</v>
      </c>
      <c r="Q51" s="40" t="s">
        <v>1036</v>
      </c>
      <c r="R51" s="40" t="s">
        <v>1037</v>
      </c>
      <c r="S51" s="68"/>
      <c r="T51" s="99" t="s">
        <v>1171</v>
      </c>
      <c r="U51" s="40" t="s">
        <v>1022</v>
      </c>
      <c r="V51" s="40" t="s">
        <v>1023</v>
      </c>
      <c r="W51" s="40" t="s">
        <v>1024</v>
      </c>
      <c r="X51" s="40" t="s">
        <v>1025</v>
      </c>
      <c r="Y51" s="40" t="s">
        <v>1026</v>
      </c>
      <c r="Z51" s="40" t="s">
        <v>1027</v>
      </c>
      <c r="AA51" s="40" t="s">
        <v>1028</v>
      </c>
      <c r="AB51" s="40" t="s">
        <v>1029</v>
      </c>
      <c r="AC51" s="40" t="s">
        <v>1030</v>
      </c>
      <c r="AD51" s="40" t="s">
        <v>1031</v>
      </c>
      <c r="AE51" s="40" t="s">
        <v>1032</v>
      </c>
      <c r="AF51" s="40" t="s">
        <v>1033</v>
      </c>
      <c r="AG51" s="40" t="s">
        <v>1034</v>
      </c>
      <c r="AH51" s="40" t="s">
        <v>1035</v>
      </c>
      <c r="AI51" s="40" t="s">
        <v>1036</v>
      </c>
      <c r="AJ51" s="40" t="s">
        <v>1037</v>
      </c>
    </row>
    <row r="52" spans="2:36" x14ac:dyDescent="0.15">
      <c r="B52" s="100" t="s">
        <v>1166</v>
      </c>
      <c r="C52" s="175" t="str">
        <f>IFERROR(SUMIFS('caseload data'!E:E,'caseload data'!$C:$C,'divisional &amp; regional caseload%'!$B$50,'caseload data'!$D:$D,"PO")/SUMIF('caseload data'!$C:$C,'divisional &amp; regional caseload%'!$B$50,'caseload data'!E:E),"")</f>
        <v/>
      </c>
      <c r="D52" s="175" t="str">
        <f>IFERROR(SUMIFS('caseload data'!F:F,'caseload data'!$C:$C,'divisional &amp; regional caseload%'!$B$50,'caseload data'!$D:$D,"PO")/SUMIF('caseload data'!$C:$C,'divisional &amp; regional caseload%'!$B$50,'caseload data'!F:F),"")</f>
        <v/>
      </c>
      <c r="E52" s="175" t="str">
        <f>IFERROR(SUMIFS('caseload data'!G:G,'caseload data'!$C:$C,'divisional &amp; regional caseload%'!$B$50,'caseload data'!$D:$D,"PO")/SUMIF('caseload data'!$C:$C,'divisional &amp; regional caseload%'!$B$50,'caseload data'!G:G),"")</f>
        <v/>
      </c>
      <c r="F52" s="175" t="str">
        <f>IFERROR(SUMIFS('caseload data'!H:H,'caseload data'!$C:$C,'divisional &amp; regional caseload%'!$B$50,'caseload data'!$D:$D,"PO")/SUMIF('caseload data'!$C:$C,'divisional &amp; regional caseload%'!$B$50,'caseload data'!H:H),"")</f>
        <v/>
      </c>
      <c r="G52" s="175" t="str">
        <f>IFERROR(SUMIFS('caseload data'!I:I,'caseload data'!$C:$C,'divisional &amp; regional caseload%'!$B$50,'caseload data'!$D:$D,"PO")/SUMIF('caseload data'!$C:$C,'divisional &amp; regional caseload%'!$B$50,'caseload data'!I:I),"")</f>
        <v/>
      </c>
      <c r="H52" s="175" t="str">
        <f>IFERROR(SUMIFS('caseload data'!J:J,'caseload data'!$C:$C,'divisional &amp; regional caseload%'!$B$50,'caseload data'!$D:$D,"PO")/SUMIF('caseload data'!$C:$C,'divisional &amp; regional caseload%'!$B$50,'caseload data'!J:J),"")</f>
        <v/>
      </c>
      <c r="I52" s="175" t="str">
        <f>IFERROR(SUMIFS('caseload data'!K:K,'caseload data'!$C:$C,'divisional &amp; regional caseload%'!$B$50,'caseload data'!$D:$D,"PO")/SUMIF('caseload data'!$C:$C,'divisional &amp; regional caseload%'!$B$50,'caseload data'!K:K),"")</f>
        <v/>
      </c>
      <c r="J52" s="175" t="str">
        <f>IFERROR(SUMIFS('caseload data'!L:L,'caseload data'!$C:$C,'divisional &amp; regional caseload%'!$B$50,'caseload data'!$D:$D,"PO")/SUMIF('caseload data'!$C:$C,'divisional &amp; regional caseload%'!$B$50,'caseload data'!L:L),"")</f>
        <v/>
      </c>
      <c r="K52" s="175" t="str">
        <f>IFERROR(SUMIFS('caseload data'!M:M,'caseload data'!$C:$C,'divisional &amp; regional caseload%'!$B$50,'caseload data'!$D:$D,"PO")/SUMIF('caseload data'!$C:$C,'divisional &amp; regional caseload%'!$B$50,'caseload data'!M:M),"")</f>
        <v/>
      </c>
      <c r="L52" s="175" t="str">
        <f>IFERROR(SUMIFS('caseload data'!N:N,'caseload data'!$C:$C,'divisional &amp; regional caseload%'!$B$50,'caseload data'!$D:$D,"PO")/SUMIF('caseload data'!$C:$C,'divisional &amp; regional caseload%'!$B$50,'caseload data'!N:N),"")</f>
        <v/>
      </c>
      <c r="M52" s="175" t="str">
        <f>IFERROR(SUMIFS('caseload data'!O:O,'caseload data'!$C:$C,'divisional &amp; regional caseload%'!$B$50,'caseload data'!$D:$D,"PO")/SUMIF('caseload data'!$C:$C,'divisional &amp; regional caseload%'!$B$50,'caseload data'!O:O),"")</f>
        <v/>
      </c>
      <c r="N52" s="175" t="str">
        <f>IFERROR(SUMIFS('caseload data'!P:P,'caseload data'!$C:$C,'divisional &amp; regional caseload%'!$B$50,'caseload data'!$D:$D,"PO")/SUMIF('caseload data'!$C:$C,'divisional &amp; regional caseload%'!$B$50,'caseload data'!P:P),"")</f>
        <v/>
      </c>
      <c r="O52" s="175" t="str">
        <f>IFERROR(SUMIFS('caseload data'!Q:Q,'caseload data'!$C:$C,'divisional &amp; regional caseload%'!$B$50,'caseload data'!$D:$D,"PO")/SUMIF('caseload data'!$C:$C,'divisional &amp; regional caseload%'!$B$50,'caseload data'!Q:Q),"")</f>
        <v/>
      </c>
      <c r="P52" s="175" t="str">
        <f>IFERROR(SUMIFS('caseload data'!R:R,'caseload data'!$C:$C,'divisional &amp; regional caseload%'!$B$50,'caseload data'!$D:$D,"PO")/SUMIF('caseload data'!$C:$C,'divisional &amp; regional caseload%'!$B$50,'caseload data'!R:R),"")</f>
        <v/>
      </c>
      <c r="Q52" s="175" t="str">
        <f>IFERROR(SUMIFS('caseload data'!S:S,'caseload data'!$C:$C,'divisional &amp; regional caseload%'!$B$50,'caseload data'!$D:$D,"PO")/SUMIF('caseload data'!$C:$C,'divisional &amp; regional caseload%'!$B$50,'caseload data'!S:S),"")</f>
        <v/>
      </c>
      <c r="R52" s="175" t="str">
        <f>IFERROR(SUMIFS('caseload data'!T:T,'caseload data'!$C:$C,'divisional &amp; regional caseload%'!$B$50,'caseload data'!$D:$D,"PO")/SUMIF('caseload data'!$C:$C,'divisional &amp; regional caseload%'!$B$50,'caseload data'!T:T),"")</f>
        <v/>
      </c>
      <c r="S52" s="68"/>
      <c r="T52" s="100" t="s">
        <v>1166</v>
      </c>
      <c r="U52" s="175" t="str">
        <f>IFERROR(SUMIFS('caseload data'!E:E,'caseload data'!$C:$C,'divisional &amp; regional caseload%'!$T$50,'caseload data'!$D:$D,"PO")/SUMIF('caseload data'!$C:$C,'divisional &amp; regional caseload%'!$T$50,'caseload data'!E:E),"")</f>
        <v/>
      </c>
      <c r="V52" s="175" t="str">
        <f>IFERROR(SUMIFS('caseload data'!F:F,'caseload data'!$C:$C,'divisional &amp; regional caseload%'!$T$50,'caseload data'!$D:$D,"PO")/SUMIF('caseload data'!$C:$C,'divisional &amp; regional caseload%'!$T$50,'caseload data'!F:F),"")</f>
        <v/>
      </c>
      <c r="W52" s="175" t="str">
        <f>IFERROR(SUMIFS('caseload data'!G:G,'caseload data'!$C:$C,'divisional &amp; regional caseload%'!$T$50,'caseload data'!$D:$D,"PO")/SUMIF('caseload data'!$C:$C,'divisional &amp; regional caseload%'!$T$50,'caseload data'!G:G),"")</f>
        <v/>
      </c>
      <c r="X52" s="175" t="str">
        <f>IFERROR(SUMIFS('caseload data'!H:H,'caseload data'!$C:$C,'divisional &amp; regional caseload%'!$T$50,'caseload data'!$D:$D,"PO")/SUMIF('caseload data'!$C:$C,'divisional &amp; regional caseload%'!$T$50,'caseload data'!H:H),"")</f>
        <v/>
      </c>
      <c r="Y52" s="175" t="str">
        <f>IFERROR(SUMIFS('caseload data'!I:I,'caseload data'!$C:$C,'divisional &amp; regional caseload%'!$T$50,'caseload data'!$D:$D,"PO")/SUMIF('caseload data'!$C:$C,'divisional &amp; regional caseload%'!$T$50,'caseload data'!I:I),"")</f>
        <v/>
      </c>
      <c r="Z52" s="175" t="str">
        <f>IFERROR(SUMIFS('caseload data'!J:J,'caseload data'!$C:$C,'divisional &amp; regional caseload%'!$T$50,'caseload data'!$D:$D,"PO")/SUMIF('caseload data'!$C:$C,'divisional &amp; regional caseload%'!$T$50,'caseload data'!J:J),"")</f>
        <v/>
      </c>
      <c r="AA52" s="175" t="str">
        <f>IFERROR(SUMIFS('caseload data'!K:K,'caseload data'!$C:$C,'divisional &amp; regional caseload%'!$T$50,'caseload data'!$D:$D,"PO")/SUMIF('caseload data'!$C:$C,'divisional &amp; regional caseload%'!$T$50,'caseload data'!K:K),"")</f>
        <v/>
      </c>
      <c r="AB52" s="175" t="str">
        <f>IFERROR(SUMIFS('caseload data'!L:L,'caseload data'!$C:$C,'divisional &amp; regional caseload%'!$T$50,'caseload data'!$D:$D,"PO")/SUMIF('caseload data'!$C:$C,'divisional &amp; regional caseload%'!$T$50,'caseload data'!L:L),"")</f>
        <v/>
      </c>
      <c r="AC52" s="175" t="str">
        <f>IFERROR(SUMIFS('caseload data'!M:M,'caseload data'!$C:$C,'divisional &amp; regional caseload%'!$T$50,'caseload data'!$D:$D,"PO")/SUMIF('caseload data'!$C:$C,'divisional &amp; regional caseload%'!$T$50,'caseload data'!M:M),"")</f>
        <v/>
      </c>
      <c r="AD52" s="175" t="str">
        <f>IFERROR(SUMIFS('caseload data'!N:N,'caseload data'!$C:$C,'divisional &amp; regional caseload%'!$T$50,'caseload data'!$D:$D,"PO")/SUMIF('caseload data'!$C:$C,'divisional &amp; regional caseload%'!$T$50,'caseload data'!N:N),"")</f>
        <v/>
      </c>
      <c r="AE52" s="175" t="str">
        <f>IFERROR(SUMIFS('caseload data'!O:O,'caseload data'!$C:$C,'divisional &amp; regional caseload%'!$T$50,'caseload data'!$D:$D,"PO")/SUMIF('caseload data'!$C:$C,'divisional &amp; regional caseload%'!$T$50,'caseload data'!O:O),"")</f>
        <v/>
      </c>
      <c r="AF52" s="175" t="str">
        <f>IFERROR(SUMIFS('caseload data'!P:P,'caseload data'!$C:$C,'divisional &amp; regional caseload%'!$T$50,'caseload data'!$D:$D,"PO")/SUMIF('caseload data'!$C:$C,'divisional &amp; regional caseload%'!$T$50,'caseload data'!P:P),"")</f>
        <v/>
      </c>
      <c r="AG52" s="175" t="str">
        <f>IFERROR(SUMIFS('caseload data'!Q:Q,'caseload data'!$C:$C,'divisional &amp; regional caseload%'!$T$50,'caseload data'!$D:$D,"PO")/SUMIF('caseload data'!$C:$C,'divisional &amp; regional caseload%'!$T$50,'caseload data'!Q:Q),"")</f>
        <v/>
      </c>
      <c r="AH52" s="175" t="str">
        <f>IFERROR(SUMIFS('caseload data'!R:R,'caseload data'!$C:$C,'divisional &amp; regional caseload%'!$T$50,'caseload data'!$D:$D,"PO")/SUMIF('caseload data'!$C:$C,'divisional &amp; regional caseload%'!$T$50,'caseload data'!R:R),"")</f>
        <v/>
      </c>
      <c r="AI52" s="175" t="str">
        <f>IFERROR(SUMIFS('caseload data'!S:S,'caseload data'!$C:$C,'divisional &amp; regional caseload%'!$T$50,'caseload data'!$D:$D,"PO")/SUMIF('caseload data'!$C:$C,'divisional &amp; regional caseload%'!$T$50,'caseload data'!S:S),"")</f>
        <v/>
      </c>
      <c r="AJ52" s="175" t="str">
        <f>IFERROR(SUMIFS('caseload data'!T:T,'caseload data'!$C:$C,'divisional &amp; regional caseload%'!$T$50,'caseload data'!$D:$D,"PO")/SUMIF('caseload data'!$C:$C,'divisional &amp; regional caseload%'!$T$50,'caseload data'!T:T),"")</f>
        <v/>
      </c>
    </row>
    <row r="53" spans="2:36" x14ac:dyDescent="0.15">
      <c r="B53" s="101" t="s">
        <v>1172</v>
      </c>
      <c r="C53" s="175" t="str">
        <f>IFERROR(SUMIFS('caseload data'!E:E,'caseload data'!$C:$C,'divisional &amp; regional caseload%'!$B$50,'caseload data'!$D:$D,"PSO")/SUMIF('caseload data'!$C:$C,'divisional &amp; regional caseload%'!$B$50,'caseload data'!E:E),"")</f>
        <v/>
      </c>
      <c r="D53" s="175" t="str">
        <f>IFERROR(SUMIFS('caseload data'!F:F,'caseload data'!$C:$C,'divisional &amp; regional caseload%'!$B$50,'caseload data'!$D:$D,"PSO")/SUMIF('caseload data'!$C:$C,'divisional &amp; regional caseload%'!$B$50,'caseload data'!F:F),"")</f>
        <v/>
      </c>
      <c r="E53" s="175" t="str">
        <f>IFERROR(SUMIFS('caseload data'!G:G,'caseload data'!$C:$C,'divisional &amp; regional caseload%'!$B$50,'caseload data'!$D:$D,"PSO")/SUMIF('caseload data'!$C:$C,'divisional &amp; regional caseload%'!$B$50,'caseload data'!G:G),"")</f>
        <v/>
      </c>
      <c r="F53" s="175" t="str">
        <f>IFERROR(SUMIFS('caseload data'!H:H,'caseload data'!$C:$C,'divisional &amp; regional caseload%'!$B$50,'caseload data'!$D:$D,"PSO")/SUMIF('caseload data'!$C:$C,'divisional &amp; regional caseload%'!$B$50,'caseload data'!H:H),"")</f>
        <v/>
      </c>
      <c r="G53" s="175" t="str">
        <f>IFERROR(SUMIFS('caseload data'!I:I,'caseload data'!$C:$C,'divisional &amp; regional caseload%'!$B$50,'caseload data'!$D:$D,"PSO")/SUMIF('caseload data'!$C:$C,'divisional &amp; regional caseload%'!$B$50,'caseload data'!I:I),"")</f>
        <v/>
      </c>
      <c r="H53" s="175" t="str">
        <f>IFERROR(SUMIFS('caseload data'!J:J,'caseload data'!$C:$C,'divisional &amp; regional caseload%'!$B$50,'caseload data'!$D:$D,"PSO")/SUMIF('caseload data'!$C:$C,'divisional &amp; regional caseload%'!$B$50,'caseload data'!J:J),"")</f>
        <v/>
      </c>
      <c r="I53" s="175" t="str">
        <f>IFERROR(SUMIFS('caseload data'!K:K,'caseload data'!$C:$C,'divisional &amp; regional caseload%'!$B$50,'caseload data'!$D:$D,"PSO")/SUMIF('caseload data'!$C:$C,'divisional &amp; regional caseload%'!$B$50,'caseload data'!K:K),"")</f>
        <v/>
      </c>
      <c r="J53" s="175" t="str">
        <f>IFERROR(SUMIFS('caseload data'!L:L,'caseload data'!$C:$C,'divisional &amp; regional caseload%'!$B$50,'caseload data'!$D:$D,"PSO")/SUMIF('caseload data'!$C:$C,'divisional &amp; regional caseload%'!$B$50,'caseload data'!L:L),"")</f>
        <v/>
      </c>
      <c r="K53" s="175" t="str">
        <f>IFERROR(SUMIFS('caseload data'!M:M,'caseload data'!$C:$C,'divisional &amp; regional caseload%'!$B$50,'caseload data'!$D:$D,"PSO")/SUMIF('caseload data'!$C:$C,'divisional &amp; regional caseload%'!$B$50,'caseload data'!M:M),"")</f>
        <v/>
      </c>
      <c r="L53" s="175" t="str">
        <f>IFERROR(SUMIFS('caseload data'!N:N,'caseload data'!$C:$C,'divisional &amp; regional caseload%'!$B$50,'caseload data'!$D:$D,"PSO")/SUMIF('caseload data'!$C:$C,'divisional &amp; regional caseload%'!$B$50,'caseload data'!N:N),"")</f>
        <v/>
      </c>
      <c r="M53" s="175" t="str">
        <f>IFERROR(SUMIFS('caseload data'!O:O,'caseload data'!$C:$C,'divisional &amp; regional caseload%'!$B$50,'caseload data'!$D:$D,"PSO")/SUMIF('caseload data'!$C:$C,'divisional &amp; regional caseload%'!$B$50,'caseload data'!O:O),"")</f>
        <v/>
      </c>
      <c r="N53" s="175" t="str">
        <f>IFERROR(SUMIFS('caseload data'!P:P,'caseload data'!$C:$C,'divisional &amp; regional caseload%'!$B$50,'caseload data'!$D:$D,"PSO")/SUMIF('caseload data'!$C:$C,'divisional &amp; regional caseload%'!$B$50,'caseload data'!P:P),"")</f>
        <v/>
      </c>
      <c r="O53" s="175" t="str">
        <f>IFERROR(SUMIFS('caseload data'!Q:Q,'caseload data'!$C:$C,'divisional &amp; regional caseload%'!$B$50,'caseload data'!$D:$D,"PSO")/SUMIF('caseload data'!$C:$C,'divisional &amp; regional caseload%'!$B$50,'caseload data'!Q:Q),"")</f>
        <v/>
      </c>
      <c r="P53" s="175" t="str">
        <f>IFERROR(SUMIFS('caseload data'!R:R,'caseload data'!$C:$C,'divisional &amp; regional caseload%'!$B$50,'caseload data'!$D:$D,"PSO")/SUMIF('caseload data'!$C:$C,'divisional &amp; regional caseload%'!$B$50,'caseload data'!R:R),"")</f>
        <v/>
      </c>
      <c r="Q53" s="175" t="str">
        <f>IFERROR(SUMIFS('caseload data'!S:S,'caseload data'!$C:$C,'divisional &amp; regional caseload%'!$B$50,'caseload data'!$D:$D,"PSO")/SUMIF('caseload data'!$C:$C,'divisional &amp; regional caseload%'!$B$50,'caseload data'!S:S),"")</f>
        <v/>
      </c>
      <c r="R53" s="175" t="str">
        <f>IFERROR(SUMIFS('caseload data'!T:T,'caseload data'!$C:$C,'divisional &amp; regional caseload%'!$B$50,'caseload data'!$D:$D,"PSO")/SUMIF('caseload data'!$C:$C,'divisional &amp; regional caseload%'!$B$50,'caseload data'!T:T),"")</f>
        <v/>
      </c>
      <c r="S53" s="68"/>
      <c r="T53" s="101" t="s">
        <v>1172</v>
      </c>
      <c r="U53" s="175" t="str">
        <f>IFERROR(SUMIFS('caseload data'!E:E,'caseload data'!$C:$C,'divisional &amp; regional caseload%'!$T$50,'caseload data'!$D:$D,"PSO")/SUMIF('caseload data'!$C:$C,'divisional &amp; regional caseload%'!$T$50,'caseload data'!E:E),"")</f>
        <v/>
      </c>
      <c r="V53" s="175" t="str">
        <f>IFERROR(SUMIFS('caseload data'!F:F,'caseload data'!$C:$C,'divisional &amp; regional caseload%'!$T$50,'caseload data'!$D:$D,"PSO")/SUMIF('caseload data'!$C:$C,'divisional &amp; regional caseload%'!$T$50,'caseload data'!F:F),"")</f>
        <v/>
      </c>
      <c r="W53" s="175" t="str">
        <f>IFERROR(SUMIFS('caseload data'!G:G,'caseload data'!$C:$C,'divisional &amp; regional caseload%'!$T$50,'caseload data'!$D:$D,"PSO")/SUMIF('caseload data'!$C:$C,'divisional &amp; regional caseload%'!$T$50,'caseload data'!G:G),"")</f>
        <v/>
      </c>
      <c r="X53" s="175" t="str">
        <f>IFERROR(SUMIFS('caseload data'!H:H,'caseload data'!$C:$C,'divisional &amp; regional caseload%'!$T$50,'caseload data'!$D:$D,"PSO")/SUMIF('caseload data'!$C:$C,'divisional &amp; regional caseload%'!$T$50,'caseload data'!H:H),"")</f>
        <v/>
      </c>
      <c r="Y53" s="175" t="str">
        <f>IFERROR(SUMIFS('caseload data'!I:I,'caseload data'!$C:$C,'divisional &amp; regional caseload%'!$T$50,'caseload data'!$D:$D,"PSO")/SUMIF('caseload data'!$C:$C,'divisional &amp; regional caseload%'!$T$50,'caseload data'!I:I),"")</f>
        <v/>
      </c>
      <c r="Z53" s="175" t="str">
        <f>IFERROR(SUMIFS('caseload data'!J:J,'caseload data'!$C:$C,'divisional &amp; regional caseload%'!$T$50,'caseload data'!$D:$D,"PSO")/SUMIF('caseload data'!$C:$C,'divisional &amp; regional caseload%'!$T$50,'caseload data'!J:J),"")</f>
        <v/>
      </c>
      <c r="AA53" s="175" t="str">
        <f>IFERROR(SUMIFS('caseload data'!K:K,'caseload data'!$C:$C,'divisional &amp; regional caseload%'!$T$50,'caseload data'!$D:$D,"PSO")/SUMIF('caseload data'!$C:$C,'divisional &amp; regional caseload%'!$T$50,'caseload data'!K:K),"")</f>
        <v/>
      </c>
      <c r="AB53" s="175" t="str">
        <f>IFERROR(SUMIFS('caseload data'!L:L,'caseload data'!$C:$C,'divisional &amp; regional caseload%'!$T$50,'caseload data'!$D:$D,"PSO")/SUMIF('caseload data'!$C:$C,'divisional &amp; regional caseload%'!$T$50,'caseload data'!L:L),"")</f>
        <v/>
      </c>
      <c r="AC53" s="175" t="str">
        <f>IFERROR(SUMIFS('caseload data'!M:M,'caseload data'!$C:$C,'divisional &amp; regional caseload%'!$T$50,'caseload data'!$D:$D,"PSO")/SUMIF('caseload data'!$C:$C,'divisional &amp; regional caseload%'!$T$50,'caseload data'!M:M),"")</f>
        <v/>
      </c>
      <c r="AD53" s="175" t="str">
        <f>IFERROR(SUMIFS('caseload data'!N:N,'caseload data'!$C:$C,'divisional &amp; regional caseload%'!$T$50,'caseload data'!$D:$D,"PSO")/SUMIF('caseload data'!$C:$C,'divisional &amp; regional caseload%'!$T$50,'caseload data'!N:N),"")</f>
        <v/>
      </c>
      <c r="AE53" s="175" t="str">
        <f>IFERROR(SUMIFS('caseload data'!O:O,'caseload data'!$C:$C,'divisional &amp; regional caseload%'!$T$50,'caseload data'!$D:$D,"PSO")/SUMIF('caseload data'!$C:$C,'divisional &amp; regional caseload%'!$T$50,'caseload data'!O:O),"")</f>
        <v/>
      </c>
      <c r="AF53" s="175" t="str">
        <f>IFERROR(SUMIFS('caseload data'!P:P,'caseload data'!$C:$C,'divisional &amp; regional caseload%'!$T$50,'caseload data'!$D:$D,"PSO")/SUMIF('caseload data'!$C:$C,'divisional &amp; regional caseload%'!$T$50,'caseload data'!P:P),"")</f>
        <v/>
      </c>
      <c r="AG53" s="175" t="str">
        <f>IFERROR(SUMIFS('caseload data'!Q:Q,'caseload data'!$C:$C,'divisional &amp; regional caseload%'!$T$50,'caseload data'!$D:$D,"PSO")/SUMIF('caseload data'!$C:$C,'divisional &amp; regional caseload%'!$T$50,'caseload data'!Q:Q),"")</f>
        <v/>
      </c>
      <c r="AH53" s="175" t="str">
        <f>IFERROR(SUMIFS('caseload data'!R:R,'caseload data'!$C:$C,'divisional &amp; regional caseload%'!$T$50,'caseload data'!$D:$D,"PSO")/SUMIF('caseload data'!$C:$C,'divisional &amp; regional caseload%'!$T$50,'caseload data'!R:R),"")</f>
        <v/>
      </c>
      <c r="AI53" s="175" t="str">
        <f>IFERROR(SUMIFS('caseload data'!S:S,'caseload data'!$C:$C,'divisional &amp; regional caseload%'!$T$50,'caseload data'!$D:$D,"PSO")/SUMIF('caseload data'!$C:$C,'divisional &amp; regional caseload%'!$T$50,'caseload data'!S:S),"")</f>
        <v/>
      </c>
      <c r="AJ53" s="175" t="str">
        <f>IFERROR(SUMIFS('caseload data'!T:T,'caseload data'!$C:$C,'divisional &amp; regional caseload%'!$T$50,'caseload data'!$D:$D,"PSO")/SUMIF('caseload data'!$C:$C,'divisional &amp; regional caseload%'!$T$50,'caseload data'!T:T),"")</f>
        <v/>
      </c>
    </row>
    <row r="54" spans="2:36" x14ac:dyDescent="0.15">
      <c r="B54" s="101" t="s">
        <v>1173</v>
      </c>
      <c r="C54" s="175" t="str">
        <f>IFERROR(SUMIFS('caseload data'!E:E,'caseload data'!$C:$C,'divisional &amp; regional caseload%'!$B$50,'caseload data'!$D:$D,"TPO")/SUMIF('caseload data'!$C:$C,'divisional &amp; regional caseload%'!$B$50,'caseload data'!E:E),"")</f>
        <v/>
      </c>
      <c r="D54" s="175" t="str">
        <f>IFERROR(SUMIFS('caseload data'!F:F,'caseload data'!$C:$C,'divisional &amp; regional caseload%'!$B$50,'caseload data'!$D:$D,"TPO")/SUMIF('caseload data'!$C:$C,'divisional &amp; regional caseload%'!$B$50,'caseload data'!F:F),"")</f>
        <v/>
      </c>
      <c r="E54" s="175" t="str">
        <f>IFERROR(SUMIFS('caseload data'!G:G,'caseload data'!$C:$C,'divisional &amp; regional caseload%'!$B$50,'caseload data'!$D:$D,"TPO")/SUMIF('caseload data'!$C:$C,'divisional &amp; regional caseload%'!$B$50,'caseload data'!G:G),"")</f>
        <v/>
      </c>
      <c r="F54" s="175" t="str">
        <f>IFERROR(SUMIFS('caseload data'!H:H,'caseload data'!$C:$C,'divisional &amp; regional caseload%'!$B$50,'caseload data'!$D:$D,"TPO")/SUMIF('caseload data'!$C:$C,'divisional &amp; regional caseload%'!$B$50,'caseload data'!H:H),"")</f>
        <v/>
      </c>
      <c r="G54" s="175" t="str">
        <f>IFERROR(SUMIFS('caseload data'!I:I,'caseload data'!$C:$C,'divisional &amp; regional caseload%'!$B$50,'caseload data'!$D:$D,"TPO")/SUMIF('caseload data'!$C:$C,'divisional &amp; regional caseload%'!$B$50,'caseload data'!I:I),"")</f>
        <v/>
      </c>
      <c r="H54" s="175" t="str">
        <f>IFERROR(SUMIFS('caseload data'!J:J,'caseload data'!$C:$C,'divisional &amp; regional caseload%'!$B$50,'caseload data'!$D:$D,"TPO")/SUMIF('caseload data'!$C:$C,'divisional &amp; regional caseload%'!$B$50,'caseload data'!J:J),"")</f>
        <v/>
      </c>
      <c r="I54" s="175" t="str">
        <f>IFERROR(SUMIFS('caseload data'!K:K,'caseload data'!$C:$C,'divisional &amp; regional caseload%'!$B$50,'caseload data'!$D:$D,"TPO")/SUMIF('caseload data'!$C:$C,'divisional &amp; regional caseload%'!$B$50,'caseload data'!K:K),"")</f>
        <v/>
      </c>
      <c r="J54" s="175" t="str">
        <f>IFERROR(SUMIFS('caseload data'!L:L,'caseload data'!$C:$C,'divisional &amp; regional caseload%'!$B$50,'caseload data'!$D:$D,"TPO")/SUMIF('caseload data'!$C:$C,'divisional &amp; regional caseload%'!$B$50,'caseload data'!L:L),"")</f>
        <v/>
      </c>
      <c r="K54" s="175" t="str">
        <f>IFERROR(SUMIFS('caseload data'!M:M,'caseload data'!$C:$C,'divisional &amp; regional caseload%'!$B$50,'caseload data'!$D:$D,"TPO")/SUMIF('caseload data'!$C:$C,'divisional &amp; regional caseload%'!$B$50,'caseload data'!M:M),"")</f>
        <v/>
      </c>
      <c r="L54" s="175" t="str">
        <f>IFERROR(SUMIFS('caseload data'!N:N,'caseload data'!$C:$C,'divisional &amp; regional caseload%'!$B$50,'caseload data'!$D:$D,"TPO")/SUMIF('caseload data'!$C:$C,'divisional &amp; regional caseload%'!$B$50,'caseload data'!N:N),"")</f>
        <v/>
      </c>
      <c r="M54" s="175" t="str">
        <f>IFERROR(SUMIFS('caseload data'!O:O,'caseload data'!$C:$C,'divisional &amp; regional caseload%'!$B$50,'caseload data'!$D:$D,"TPO")/SUMIF('caseload data'!$C:$C,'divisional &amp; regional caseload%'!$B$50,'caseload data'!O:O),"")</f>
        <v/>
      </c>
      <c r="N54" s="175" t="str">
        <f>IFERROR(SUMIFS('caseload data'!P:P,'caseload data'!$C:$C,'divisional &amp; regional caseload%'!$B$50,'caseload data'!$D:$D,"TPO")/SUMIF('caseload data'!$C:$C,'divisional &amp; regional caseload%'!$B$50,'caseload data'!P:P),"")</f>
        <v/>
      </c>
      <c r="O54" s="175" t="str">
        <f>IFERROR(SUMIFS('caseload data'!Q:Q,'caseload data'!$C:$C,'divisional &amp; regional caseload%'!$B$50,'caseload data'!$D:$D,"TPO")/SUMIF('caseload data'!$C:$C,'divisional &amp; regional caseload%'!$B$50,'caseload data'!Q:Q),"")</f>
        <v/>
      </c>
      <c r="P54" s="175" t="str">
        <f>IFERROR(SUMIFS('caseload data'!R:R,'caseload data'!$C:$C,'divisional &amp; regional caseload%'!$B$50,'caseload data'!$D:$D,"TPO")/SUMIF('caseload data'!$C:$C,'divisional &amp; regional caseload%'!$B$50,'caseload data'!R:R),"")</f>
        <v/>
      </c>
      <c r="Q54" s="175" t="str">
        <f>IFERROR(SUMIFS('caseload data'!S:S,'caseload data'!$C:$C,'divisional &amp; regional caseload%'!$B$50,'caseload data'!$D:$D,"TPO")/SUMIF('caseload data'!$C:$C,'divisional &amp; regional caseload%'!$B$50,'caseload data'!S:S),"")</f>
        <v/>
      </c>
      <c r="R54" s="175" t="str">
        <f>IFERROR(SUMIFS('caseload data'!T:T,'caseload data'!$C:$C,'divisional &amp; regional caseload%'!$B$50,'caseload data'!$D:$D,"TPO")/SUMIF('caseload data'!$C:$C,'divisional &amp; regional caseload%'!$B$50,'caseload data'!T:T),"")</f>
        <v/>
      </c>
      <c r="S54" s="68"/>
      <c r="T54" s="101" t="s">
        <v>1173</v>
      </c>
      <c r="U54" s="175" t="str">
        <f>IFERROR(SUMIFS('caseload data'!E:E,'caseload data'!$C:$C,'divisional &amp; regional caseload%'!$T$50,'caseload data'!$D:$D,"TPO")/SUMIF('caseload data'!$C:$C,'divisional &amp; regional caseload%'!$T$50,'caseload data'!E:E),"")</f>
        <v/>
      </c>
      <c r="V54" s="175" t="str">
        <f>IFERROR(SUMIFS('caseload data'!F:F,'caseload data'!$C:$C,'divisional &amp; regional caseload%'!$T$50,'caseload data'!$D:$D,"TPO")/SUMIF('caseload data'!$C:$C,'divisional &amp; regional caseload%'!$T$50,'caseload data'!F:F),"")</f>
        <v/>
      </c>
      <c r="W54" s="175" t="str">
        <f>IFERROR(SUMIFS('caseload data'!G:G,'caseload data'!$C:$C,'divisional &amp; regional caseload%'!$T$50,'caseload data'!$D:$D,"TPO")/SUMIF('caseload data'!$C:$C,'divisional &amp; regional caseload%'!$T$50,'caseload data'!G:G),"")</f>
        <v/>
      </c>
      <c r="X54" s="175" t="str">
        <f>IFERROR(SUMIFS('caseload data'!H:H,'caseload data'!$C:$C,'divisional &amp; regional caseload%'!$T$50,'caseload data'!$D:$D,"TPO")/SUMIF('caseload data'!$C:$C,'divisional &amp; regional caseload%'!$T$50,'caseload data'!H:H),"")</f>
        <v/>
      </c>
      <c r="Y54" s="175" t="str">
        <f>IFERROR(SUMIFS('caseload data'!I:I,'caseload data'!$C:$C,'divisional &amp; regional caseload%'!$T$50,'caseload data'!$D:$D,"TPO")/SUMIF('caseload data'!$C:$C,'divisional &amp; regional caseload%'!$T$50,'caseload data'!I:I),"")</f>
        <v/>
      </c>
      <c r="Z54" s="175" t="str">
        <f>IFERROR(SUMIFS('caseload data'!J:J,'caseload data'!$C:$C,'divisional &amp; regional caseload%'!$T$50,'caseload data'!$D:$D,"TPO")/SUMIF('caseload data'!$C:$C,'divisional &amp; regional caseload%'!$T$50,'caseload data'!J:J),"")</f>
        <v/>
      </c>
      <c r="AA54" s="175" t="str">
        <f>IFERROR(SUMIFS('caseload data'!K:K,'caseload data'!$C:$C,'divisional &amp; regional caseload%'!$T$50,'caseload data'!$D:$D,"TPO")/SUMIF('caseload data'!$C:$C,'divisional &amp; regional caseload%'!$T$50,'caseload data'!K:K),"")</f>
        <v/>
      </c>
      <c r="AB54" s="175" t="str">
        <f>IFERROR(SUMIFS('caseload data'!L:L,'caseload data'!$C:$C,'divisional &amp; regional caseload%'!$T$50,'caseload data'!$D:$D,"TPO")/SUMIF('caseload data'!$C:$C,'divisional &amp; regional caseload%'!$T$50,'caseload data'!L:L),"")</f>
        <v/>
      </c>
      <c r="AC54" s="175" t="str">
        <f>IFERROR(SUMIFS('caseload data'!M:M,'caseload data'!$C:$C,'divisional &amp; regional caseload%'!$T$50,'caseload data'!$D:$D,"TPO")/SUMIF('caseload data'!$C:$C,'divisional &amp; regional caseload%'!$T$50,'caseload data'!M:M),"")</f>
        <v/>
      </c>
      <c r="AD54" s="175" t="str">
        <f>IFERROR(SUMIFS('caseload data'!N:N,'caseload data'!$C:$C,'divisional &amp; regional caseload%'!$T$50,'caseload data'!$D:$D,"TPO")/SUMIF('caseload data'!$C:$C,'divisional &amp; regional caseload%'!$T$50,'caseload data'!N:N),"")</f>
        <v/>
      </c>
      <c r="AE54" s="175" t="str">
        <f>IFERROR(SUMIFS('caseload data'!O:O,'caseload data'!$C:$C,'divisional &amp; regional caseload%'!$T$50,'caseload data'!$D:$D,"TPO")/SUMIF('caseload data'!$C:$C,'divisional &amp; regional caseload%'!$T$50,'caseload data'!O:O),"")</f>
        <v/>
      </c>
      <c r="AF54" s="175" t="str">
        <f>IFERROR(SUMIFS('caseload data'!P:P,'caseload data'!$C:$C,'divisional &amp; regional caseload%'!$T$50,'caseload data'!$D:$D,"TPO")/SUMIF('caseload data'!$C:$C,'divisional &amp; regional caseload%'!$T$50,'caseload data'!P:P),"")</f>
        <v/>
      </c>
      <c r="AG54" s="175" t="str">
        <f>IFERROR(SUMIFS('caseload data'!Q:Q,'caseload data'!$C:$C,'divisional &amp; regional caseload%'!$T$50,'caseload data'!$D:$D,"TPO")/SUMIF('caseload data'!$C:$C,'divisional &amp; regional caseload%'!$T$50,'caseload data'!Q:Q),"")</f>
        <v/>
      </c>
      <c r="AH54" s="175" t="str">
        <f>IFERROR(SUMIFS('caseload data'!R:R,'caseload data'!$C:$C,'divisional &amp; regional caseload%'!$T$50,'caseload data'!$D:$D,"TPO")/SUMIF('caseload data'!$C:$C,'divisional &amp; regional caseload%'!$T$50,'caseload data'!R:R),"")</f>
        <v/>
      </c>
      <c r="AI54" s="175" t="str">
        <f>IFERROR(SUMIFS('caseload data'!S:S,'caseload data'!$C:$C,'divisional &amp; regional caseload%'!$T$50,'caseload data'!$D:$D,"TPO")/SUMIF('caseload data'!$C:$C,'divisional &amp; regional caseload%'!$T$50,'caseload data'!S:S),"")</f>
        <v/>
      </c>
      <c r="AJ54" s="175" t="str">
        <f>IFERROR(SUMIFS('caseload data'!T:T,'caseload data'!$C:$C,'divisional &amp; regional caseload%'!$T$50,'caseload data'!$D:$D,"TPO")/SUMIF('caseload data'!$C:$C,'divisional &amp; regional caseload%'!$T$50,'caseload data'!T:T),"")</f>
        <v/>
      </c>
    </row>
    <row r="55" spans="2:36" x14ac:dyDescent="0.15">
      <c r="B55" s="102" t="s">
        <v>1174</v>
      </c>
      <c r="C55" s="175" t="str">
        <f>IFERROR(SUMIFS('caseload data'!E:E,'caseload data'!$C:$C,'divisional &amp; regional caseload%'!$B$50,'caseload data'!$D:$D,"SPO")/SUMIF('caseload data'!$C:$C,'divisional &amp; regional caseload%'!$B$50,'caseload data'!E:E),"")</f>
        <v/>
      </c>
      <c r="D55" s="175" t="str">
        <f>IFERROR(SUMIFS('caseload data'!F:F,'caseload data'!$C:$C,'divisional &amp; regional caseload%'!$B$50,'caseload data'!$D:$D,"SPO")/SUMIF('caseload data'!$C:$C,'divisional &amp; regional caseload%'!$B$50,'caseload data'!F:F),"")</f>
        <v/>
      </c>
      <c r="E55" s="175" t="str">
        <f>IFERROR(SUMIFS('caseload data'!G:G,'caseload data'!$C:$C,'divisional &amp; regional caseload%'!$B$50,'caseload data'!$D:$D,"SPO")/SUMIF('caseload data'!$C:$C,'divisional &amp; regional caseload%'!$B$50,'caseload data'!G:G),"")</f>
        <v/>
      </c>
      <c r="F55" s="175" t="str">
        <f>IFERROR(SUMIFS('caseload data'!H:H,'caseload data'!$C:$C,'divisional &amp; regional caseload%'!$B$50,'caseload data'!$D:$D,"SPO")/SUMIF('caseload data'!$C:$C,'divisional &amp; regional caseload%'!$B$50,'caseload data'!H:H),"")</f>
        <v/>
      </c>
      <c r="G55" s="175" t="str">
        <f>IFERROR(SUMIFS('caseload data'!I:I,'caseload data'!$C:$C,'divisional &amp; regional caseload%'!$B$50,'caseload data'!$D:$D,"SPO")/SUMIF('caseload data'!$C:$C,'divisional &amp; regional caseload%'!$B$50,'caseload data'!I:I),"")</f>
        <v/>
      </c>
      <c r="H55" s="175" t="str">
        <f>IFERROR(SUMIFS('caseload data'!J:J,'caseload data'!$C:$C,'divisional &amp; regional caseload%'!$B$50,'caseload data'!$D:$D,"SPO")/SUMIF('caseload data'!$C:$C,'divisional &amp; regional caseload%'!$B$50,'caseload data'!J:J),"")</f>
        <v/>
      </c>
      <c r="I55" s="175" t="str">
        <f>IFERROR(SUMIFS('caseload data'!K:K,'caseload data'!$C:$C,'divisional &amp; regional caseload%'!$B$50,'caseload data'!$D:$D,"SPO")/SUMIF('caseload data'!$C:$C,'divisional &amp; regional caseload%'!$B$50,'caseload data'!K:K),"")</f>
        <v/>
      </c>
      <c r="J55" s="175" t="str">
        <f>IFERROR(SUMIFS('caseload data'!L:L,'caseload data'!$C:$C,'divisional &amp; regional caseload%'!$B$50,'caseload data'!$D:$D,"SPO")/SUMIF('caseload data'!$C:$C,'divisional &amp; regional caseload%'!$B$50,'caseload data'!L:L),"")</f>
        <v/>
      </c>
      <c r="K55" s="175" t="str">
        <f>IFERROR(SUMIFS('caseload data'!M:M,'caseload data'!$C:$C,'divisional &amp; regional caseload%'!$B$50,'caseload data'!$D:$D,"SPO")/SUMIF('caseload data'!$C:$C,'divisional &amp; regional caseload%'!$B$50,'caseload data'!M:M),"")</f>
        <v/>
      </c>
      <c r="L55" s="175" t="str">
        <f>IFERROR(SUMIFS('caseload data'!N:N,'caseload data'!$C:$C,'divisional &amp; regional caseload%'!$B$50,'caseload data'!$D:$D,"SPO")/SUMIF('caseload data'!$C:$C,'divisional &amp; regional caseload%'!$B$50,'caseload data'!N:N),"")</f>
        <v/>
      </c>
      <c r="M55" s="175" t="str">
        <f>IFERROR(SUMIFS('caseload data'!O:O,'caseload data'!$C:$C,'divisional &amp; regional caseload%'!$B$50,'caseload data'!$D:$D,"SPO")/SUMIF('caseload data'!$C:$C,'divisional &amp; regional caseload%'!$B$50,'caseload data'!O:O),"")</f>
        <v/>
      </c>
      <c r="N55" s="175" t="str">
        <f>IFERROR(SUMIFS('caseload data'!P:P,'caseload data'!$C:$C,'divisional &amp; regional caseload%'!$B$50,'caseload data'!$D:$D,"SPO")/SUMIF('caseload data'!$C:$C,'divisional &amp; regional caseload%'!$B$50,'caseload data'!P:P),"")</f>
        <v/>
      </c>
      <c r="O55" s="175" t="str">
        <f>IFERROR(SUMIFS('caseload data'!Q:Q,'caseload data'!$C:$C,'divisional &amp; regional caseload%'!$B$50,'caseload data'!$D:$D,"SPO")/SUMIF('caseload data'!$C:$C,'divisional &amp; regional caseload%'!$B$50,'caseload data'!Q:Q),"")</f>
        <v/>
      </c>
      <c r="P55" s="175" t="str">
        <f>IFERROR(SUMIFS('caseload data'!R:R,'caseload data'!$C:$C,'divisional &amp; regional caseload%'!$B$50,'caseload data'!$D:$D,"SPO")/SUMIF('caseload data'!$C:$C,'divisional &amp; regional caseload%'!$B$50,'caseload data'!R:R),"")</f>
        <v/>
      </c>
      <c r="Q55" s="175" t="str">
        <f>IFERROR(SUMIFS('caseload data'!S:S,'caseload data'!$C:$C,'divisional &amp; regional caseload%'!$B$50,'caseload data'!$D:$D,"SPO")/SUMIF('caseload data'!$C:$C,'divisional &amp; regional caseload%'!$B$50,'caseload data'!S:S),"")</f>
        <v/>
      </c>
      <c r="R55" s="175" t="str">
        <f>IFERROR(SUMIFS('caseload data'!T:T,'caseload data'!$C:$C,'divisional &amp; regional caseload%'!$B$50,'caseload data'!$D:$D,"SPO")/SUMIF('caseload data'!$C:$C,'divisional &amp; regional caseload%'!$B$50,'caseload data'!T:T),"")</f>
        <v/>
      </c>
      <c r="S55" s="68"/>
      <c r="T55" s="102" t="s">
        <v>1174</v>
      </c>
      <c r="U55" s="175" t="str">
        <f>IFERROR(SUMIFS('caseload data'!E:E,'caseload data'!$C:$C,'divisional &amp; regional caseload%'!$T$50,'caseload data'!$D:$D,"SPO")/SUMIF('caseload data'!$C:$C,'divisional &amp; regional caseload%'!$T$50,'caseload data'!E:E),"")</f>
        <v/>
      </c>
      <c r="V55" s="175" t="str">
        <f>IFERROR(SUMIFS('caseload data'!F:F,'caseload data'!$C:$C,'divisional &amp; regional caseload%'!$T$50,'caseload data'!$D:$D,"SPO")/SUMIF('caseload data'!$C:$C,'divisional &amp; regional caseload%'!$T$50,'caseload data'!F:F),"")</f>
        <v/>
      </c>
      <c r="W55" s="175" t="str">
        <f>IFERROR(SUMIFS('caseload data'!G:G,'caseload data'!$C:$C,'divisional &amp; regional caseload%'!$T$50,'caseload data'!$D:$D,"SPO")/SUMIF('caseload data'!$C:$C,'divisional &amp; regional caseload%'!$T$50,'caseload data'!G:G),"")</f>
        <v/>
      </c>
      <c r="X55" s="175" t="str">
        <f>IFERROR(SUMIFS('caseload data'!H:H,'caseload data'!$C:$C,'divisional &amp; regional caseload%'!$T$50,'caseload data'!$D:$D,"SPO")/SUMIF('caseload data'!$C:$C,'divisional &amp; regional caseload%'!$T$50,'caseload data'!H:H),"")</f>
        <v/>
      </c>
      <c r="Y55" s="175" t="str">
        <f>IFERROR(SUMIFS('caseload data'!I:I,'caseload data'!$C:$C,'divisional &amp; regional caseload%'!$T$50,'caseload data'!$D:$D,"SPO")/SUMIF('caseload data'!$C:$C,'divisional &amp; regional caseload%'!$T$50,'caseload data'!I:I),"")</f>
        <v/>
      </c>
      <c r="Z55" s="175" t="str">
        <f>IFERROR(SUMIFS('caseload data'!J:J,'caseload data'!$C:$C,'divisional &amp; regional caseload%'!$T$50,'caseload data'!$D:$D,"SPO")/SUMIF('caseload data'!$C:$C,'divisional &amp; regional caseload%'!$T$50,'caseload data'!J:J),"")</f>
        <v/>
      </c>
      <c r="AA55" s="175" t="str">
        <f>IFERROR(SUMIFS('caseload data'!K:K,'caseload data'!$C:$C,'divisional &amp; regional caseload%'!$T$50,'caseload data'!$D:$D,"SPO")/SUMIF('caseload data'!$C:$C,'divisional &amp; regional caseload%'!$T$50,'caseload data'!K:K),"")</f>
        <v/>
      </c>
      <c r="AB55" s="175" t="str">
        <f>IFERROR(SUMIFS('caseload data'!L:L,'caseload data'!$C:$C,'divisional &amp; regional caseload%'!$T$50,'caseload data'!$D:$D,"SPO")/SUMIF('caseload data'!$C:$C,'divisional &amp; regional caseload%'!$T$50,'caseload data'!L:L),"")</f>
        <v/>
      </c>
      <c r="AC55" s="175" t="str">
        <f>IFERROR(SUMIFS('caseload data'!M:M,'caseload data'!$C:$C,'divisional &amp; regional caseload%'!$T$50,'caseload data'!$D:$D,"SPO")/SUMIF('caseload data'!$C:$C,'divisional &amp; regional caseload%'!$T$50,'caseload data'!M:M),"")</f>
        <v/>
      </c>
      <c r="AD55" s="175" t="str">
        <f>IFERROR(SUMIFS('caseload data'!N:N,'caseload data'!$C:$C,'divisional &amp; regional caseload%'!$T$50,'caseload data'!$D:$D,"SPO")/SUMIF('caseload data'!$C:$C,'divisional &amp; regional caseload%'!$T$50,'caseload data'!N:N),"")</f>
        <v/>
      </c>
      <c r="AE55" s="175" t="str">
        <f>IFERROR(SUMIFS('caseload data'!O:O,'caseload data'!$C:$C,'divisional &amp; regional caseload%'!$T$50,'caseload data'!$D:$D,"SPO")/SUMIF('caseload data'!$C:$C,'divisional &amp; regional caseload%'!$T$50,'caseload data'!O:O),"")</f>
        <v/>
      </c>
      <c r="AF55" s="175" t="str">
        <f>IFERROR(SUMIFS('caseload data'!P:P,'caseload data'!$C:$C,'divisional &amp; regional caseload%'!$T$50,'caseload data'!$D:$D,"SPO")/SUMIF('caseload data'!$C:$C,'divisional &amp; regional caseload%'!$T$50,'caseload data'!P:P),"")</f>
        <v/>
      </c>
      <c r="AG55" s="175" t="str">
        <f>IFERROR(SUMIFS('caseload data'!Q:Q,'caseload data'!$C:$C,'divisional &amp; regional caseload%'!$T$50,'caseload data'!$D:$D,"SPO")/SUMIF('caseload data'!$C:$C,'divisional &amp; regional caseload%'!$T$50,'caseload data'!Q:Q),"")</f>
        <v/>
      </c>
      <c r="AH55" s="175" t="str">
        <f>IFERROR(SUMIFS('caseload data'!R:R,'caseload data'!$C:$C,'divisional &amp; regional caseload%'!$T$50,'caseload data'!$D:$D,"SPO")/SUMIF('caseload data'!$C:$C,'divisional &amp; regional caseload%'!$T$50,'caseload data'!R:R),"")</f>
        <v/>
      </c>
      <c r="AI55" s="175" t="str">
        <f>IFERROR(SUMIFS('caseload data'!S:S,'caseload data'!$C:$C,'divisional &amp; regional caseload%'!$T$50,'caseload data'!$D:$D,"SPO")/SUMIF('caseload data'!$C:$C,'divisional &amp; regional caseload%'!$T$50,'caseload data'!S:S),"")</f>
        <v/>
      </c>
      <c r="AJ55" s="175" t="str">
        <f>IFERROR(SUMIFS('caseload data'!T:T,'caseload data'!$C:$C,'divisional &amp; regional caseload%'!$T$50,'caseload data'!$D:$D,"SPO")/SUMIF('caseload data'!$C:$C,'divisional &amp; regional caseload%'!$T$50,'caseload data'!T:T),"")</f>
        <v/>
      </c>
    </row>
    <row r="56" spans="2:36" x14ac:dyDescent="0.15">
      <c r="B56" s="95"/>
      <c r="C56" s="68"/>
      <c r="D56" s="68"/>
      <c r="E56" s="68"/>
      <c r="F56" s="68"/>
      <c r="G56" s="68"/>
      <c r="H56" s="68"/>
      <c r="I56" s="68"/>
      <c r="J56" s="68"/>
      <c r="K56" s="68"/>
      <c r="L56" s="68"/>
      <c r="M56" s="68"/>
      <c r="N56" s="68"/>
      <c r="O56" s="68"/>
      <c r="P56" s="68"/>
      <c r="Q56" s="68"/>
      <c r="R56" s="68"/>
      <c r="S56" s="68"/>
      <c r="T56" s="95"/>
      <c r="U56" s="68"/>
      <c r="V56" s="68"/>
      <c r="W56" s="68"/>
      <c r="X56" s="68"/>
      <c r="Y56" s="68"/>
      <c r="Z56" s="68"/>
      <c r="AA56" s="68"/>
      <c r="AB56" s="68"/>
      <c r="AC56" s="68"/>
      <c r="AD56" s="68"/>
      <c r="AE56" s="68"/>
      <c r="AF56" s="68"/>
      <c r="AG56" s="68"/>
      <c r="AH56" s="68"/>
      <c r="AI56" s="68"/>
      <c r="AJ56" s="68"/>
    </row>
    <row r="57" spans="2:36" ht="28.5" customHeight="1" x14ac:dyDescent="0.15">
      <c r="B57" s="302">
        <f>HLOOKUP($B$5,Region_Table,16,0)</f>
        <v>0</v>
      </c>
      <c r="C57" s="475" t="s">
        <v>1275</v>
      </c>
      <c r="D57" s="476"/>
      <c r="E57" s="476"/>
      <c r="F57" s="476"/>
      <c r="G57" s="476"/>
      <c r="H57" s="476"/>
      <c r="I57" s="476"/>
      <c r="J57" s="476"/>
      <c r="K57" s="476"/>
      <c r="L57" s="476"/>
      <c r="M57" s="477"/>
      <c r="N57" s="477"/>
      <c r="O57" s="478"/>
      <c r="P57" s="462">
        <f>SUMIF('caseload data'!$C:$C,'divisional &amp; regional caseload%'!B57,'caseload data'!V:V)</f>
        <v>0</v>
      </c>
      <c r="Q57" s="479"/>
      <c r="R57" s="480"/>
      <c r="S57" s="68"/>
      <c r="T57" s="302">
        <f>HLOOKUP($B$5,Region_Table,17,0)</f>
        <v>0</v>
      </c>
      <c r="U57" s="475" t="s">
        <v>1271</v>
      </c>
      <c r="V57" s="476"/>
      <c r="W57" s="476"/>
      <c r="X57" s="476"/>
      <c r="Y57" s="476"/>
      <c r="Z57" s="476"/>
      <c r="AA57" s="476"/>
      <c r="AB57" s="476"/>
      <c r="AC57" s="476"/>
      <c r="AD57" s="476"/>
      <c r="AE57" s="477"/>
      <c r="AF57" s="477"/>
      <c r="AG57" s="478"/>
      <c r="AH57" s="462">
        <f>SUMIF('caseload data'!$C:$C,'divisional &amp; regional caseload%'!T57,'caseload data'!V:V)</f>
        <v>0</v>
      </c>
      <c r="AI57" s="479"/>
      <c r="AJ57" s="480"/>
    </row>
    <row r="58" spans="2:36" x14ac:dyDescent="0.15">
      <c r="B58" s="99" t="s">
        <v>1171</v>
      </c>
      <c r="C58" s="40" t="s">
        <v>1022</v>
      </c>
      <c r="D58" s="40" t="s">
        <v>1023</v>
      </c>
      <c r="E58" s="40" t="s">
        <v>1024</v>
      </c>
      <c r="F58" s="40" t="s">
        <v>1025</v>
      </c>
      <c r="G58" s="40" t="s">
        <v>1026</v>
      </c>
      <c r="H58" s="40" t="s">
        <v>1027</v>
      </c>
      <c r="I58" s="40" t="s">
        <v>1028</v>
      </c>
      <c r="J58" s="40" t="s">
        <v>1029</v>
      </c>
      <c r="K58" s="40" t="s">
        <v>1030</v>
      </c>
      <c r="L58" s="40" t="s">
        <v>1031</v>
      </c>
      <c r="M58" s="40" t="s">
        <v>1032</v>
      </c>
      <c r="N58" s="40" t="s">
        <v>1033</v>
      </c>
      <c r="O58" s="40" t="s">
        <v>1034</v>
      </c>
      <c r="P58" s="40" t="s">
        <v>1035</v>
      </c>
      <c r="Q58" s="40" t="s">
        <v>1036</v>
      </c>
      <c r="R58" s="40" t="s">
        <v>1037</v>
      </c>
      <c r="S58" s="68"/>
      <c r="T58" s="99" t="s">
        <v>1171</v>
      </c>
      <c r="U58" s="40" t="s">
        <v>1022</v>
      </c>
      <c r="V58" s="40" t="s">
        <v>1023</v>
      </c>
      <c r="W58" s="40" t="s">
        <v>1024</v>
      </c>
      <c r="X58" s="40" t="s">
        <v>1025</v>
      </c>
      <c r="Y58" s="40" t="s">
        <v>1026</v>
      </c>
      <c r="Z58" s="40" t="s">
        <v>1027</v>
      </c>
      <c r="AA58" s="40" t="s">
        <v>1028</v>
      </c>
      <c r="AB58" s="40" t="s">
        <v>1029</v>
      </c>
      <c r="AC58" s="40" t="s">
        <v>1030</v>
      </c>
      <c r="AD58" s="40" t="s">
        <v>1031</v>
      </c>
      <c r="AE58" s="40" t="s">
        <v>1032</v>
      </c>
      <c r="AF58" s="40" t="s">
        <v>1033</v>
      </c>
      <c r="AG58" s="40" t="s">
        <v>1034</v>
      </c>
      <c r="AH58" s="40" t="s">
        <v>1035</v>
      </c>
      <c r="AI58" s="40" t="s">
        <v>1036</v>
      </c>
      <c r="AJ58" s="40" t="s">
        <v>1037</v>
      </c>
    </row>
    <row r="59" spans="2:36" x14ac:dyDescent="0.15">
      <c r="B59" s="100" t="s">
        <v>1166</v>
      </c>
      <c r="C59" s="175" t="str">
        <f>IFERROR(SUMIFS('caseload data'!E:E,'caseload data'!$C:$C,'divisional &amp; regional caseload%'!$B$57,'caseload data'!$D:$D,"PO")/SUMIF('caseload data'!$C:$C,'divisional &amp; regional caseload%'!$B$57,'caseload data'!E:E),"")</f>
        <v/>
      </c>
      <c r="D59" s="175" t="str">
        <f>IFERROR(SUMIFS('caseload data'!F:F,'caseload data'!$C:$C,'divisional &amp; regional caseload%'!$B$57,'caseload data'!$D:$D,"PO")/SUMIF('caseload data'!$C:$C,'divisional &amp; regional caseload%'!$B$57,'caseload data'!F:F),"")</f>
        <v/>
      </c>
      <c r="E59" s="175" t="str">
        <f>IFERROR(SUMIFS('caseload data'!G:G,'caseload data'!$C:$C,'divisional &amp; regional caseload%'!$B$57,'caseload data'!$D:$D,"PO")/SUMIF('caseload data'!$C:$C,'divisional &amp; regional caseload%'!$B$57,'caseload data'!G:G),"")</f>
        <v/>
      </c>
      <c r="F59" s="175" t="str">
        <f>IFERROR(SUMIFS('caseload data'!H:H,'caseload data'!$C:$C,'divisional &amp; regional caseload%'!$B$57,'caseload data'!$D:$D,"PO")/SUMIF('caseload data'!$C:$C,'divisional &amp; regional caseload%'!$B$57,'caseload data'!H:H),"")</f>
        <v/>
      </c>
      <c r="G59" s="175" t="str">
        <f>IFERROR(SUMIFS('caseload data'!I:I,'caseload data'!$C:$C,'divisional &amp; regional caseload%'!$B$57,'caseload data'!$D:$D,"PO")/SUMIF('caseload data'!$C:$C,'divisional &amp; regional caseload%'!$B$57,'caseload data'!I:I),"")</f>
        <v/>
      </c>
      <c r="H59" s="175" t="str">
        <f>IFERROR(SUMIFS('caseload data'!J:J,'caseload data'!$C:$C,'divisional &amp; regional caseload%'!$B$57,'caseload data'!$D:$D,"PO")/SUMIF('caseload data'!$C:$C,'divisional &amp; regional caseload%'!$B$57,'caseload data'!J:J),"")</f>
        <v/>
      </c>
      <c r="I59" s="175" t="str">
        <f>IFERROR(SUMIFS('caseload data'!K:K,'caseload data'!$C:$C,'divisional &amp; regional caseload%'!$B$57,'caseload data'!$D:$D,"PO")/SUMIF('caseload data'!$C:$C,'divisional &amp; regional caseload%'!$B$57,'caseload data'!K:K),"")</f>
        <v/>
      </c>
      <c r="J59" s="175" t="str">
        <f>IFERROR(SUMIFS('caseload data'!L:L,'caseload data'!$C:$C,'divisional &amp; regional caseload%'!$B$57,'caseload data'!$D:$D,"PO")/SUMIF('caseload data'!$C:$C,'divisional &amp; regional caseload%'!$B$57,'caseload data'!L:L),"")</f>
        <v/>
      </c>
      <c r="K59" s="175" t="str">
        <f>IFERROR(SUMIFS('caseload data'!M:M,'caseload data'!$C:$C,'divisional &amp; regional caseload%'!$B$57,'caseload data'!$D:$D,"PO")/SUMIF('caseload data'!$C:$C,'divisional &amp; regional caseload%'!$B$57,'caseload data'!M:M),"")</f>
        <v/>
      </c>
      <c r="L59" s="175" t="str">
        <f>IFERROR(SUMIFS('caseload data'!N:N,'caseload data'!$C:$C,'divisional &amp; regional caseload%'!$B$57,'caseload data'!$D:$D,"PO")/SUMIF('caseload data'!$C:$C,'divisional &amp; regional caseload%'!$B$57,'caseload data'!N:N),"")</f>
        <v/>
      </c>
      <c r="M59" s="175" t="str">
        <f>IFERROR(SUMIFS('caseload data'!O:O,'caseload data'!$C:$C,'divisional &amp; regional caseload%'!$B$57,'caseload data'!$D:$D,"PO")/SUMIF('caseload data'!$C:$C,'divisional &amp; regional caseload%'!$B$57,'caseload data'!O:O),"")</f>
        <v/>
      </c>
      <c r="N59" s="175" t="str">
        <f>IFERROR(SUMIFS('caseload data'!P:P,'caseload data'!$C:$C,'divisional &amp; regional caseload%'!$B$57,'caseload data'!$D:$D,"PO")/SUMIF('caseload data'!$C:$C,'divisional &amp; regional caseload%'!$B$57,'caseload data'!P:P),"")</f>
        <v/>
      </c>
      <c r="O59" s="175" t="str">
        <f>IFERROR(SUMIFS('caseload data'!Q:Q,'caseload data'!$C:$C,'divisional &amp; regional caseload%'!$B$57,'caseload data'!$D:$D,"PO")/SUMIF('caseload data'!$C:$C,'divisional &amp; regional caseload%'!$B$57,'caseload data'!Q:Q),"")</f>
        <v/>
      </c>
      <c r="P59" s="175" t="str">
        <f>IFERROR(SUMIFS('caseload data'!R:R,'caseload data'!$C:$C,'divisional &amp; regional caseload%'!$B$57,'caseload data'!$D:$D,"PO")/SUMIF('caseload data'!$C:$C,'divisional &amp; regional caseload%'!$B$57,'caseload data'!R:R),"")</f>
        <v/>
      </c>
      <c r="Q59" s="175" t="str">
        <f>IFERROR(SUMIFS('caseload data'!S:S,'caseload data'!$C:$C,'divisional &amp; regional caseload%'!$B$57,'caseload data'!$D:$D,"PO")/SUMIF('caseload data'!$C:$C,'divisional &amp; regional caseload%'!$B$57,'caseload data'!S:S),"")</f>
        <v/>
      </c>
      <c r="R59" s="175" t="str">
        <f>IFERROR(SUMIFS('caseload data'!T:T,'caseload data'!$C:$C,'divisional &amp; regional caseload%'!$B$57,'caseload data'!$D:$D,"PO")/SUMIF('caseload data'!$C:$C,'divisional &amp; regional caseload%'!$B$57,'caseload data'!T:T),"")</f>
        <v/>
      </c>
      <c r="S59" s="68"/>
      <c r="T59" s="100" t="s">
        <v>1166</v>
      </c>
      <c r="U59" s="175" t="str">
        <f>IFERROR(SUMIFS('caseload data'!E:E,'caseload data'!$C:$C,'divisional &amp; regional caseload%'!$T$57,'caseload data'!$D:$D,"PO")/SUMIF('caseload data'!$C:$C,'divisional &amp; regional caseload%'!$T$57,'caseload data'!E:E),"")</f>
        <v/>
      </c>
      <c r="V59" s="175" t="str">
        <f>IFERROR(SUMIFS('caseload data'!F:F,'caseload data'!$C:$C,'divisional &amp; regional caseload%'!$T$57,'caseload data'!$D:$D,"PO")/SUMIF('caseload data'!$C:$C,'divisional &amp; regional caseload%'!$T$57,'caseload data'!F:F),"")</f>
        <v/>
      </c>
      <c r="W59" s="175" t="str">
        <f>IFERROR(SUMIFS('caseload data'!G:G,'caseload data'!$C:$C,'divisional &amp; regional caseload%'!$T$57,'caseload data'!$D:$D,"PO")/SUMIF('caseload data'!$C:$C,'divisional &amp; regional caseload%'!$T$57,'caseload data'!G:G),"")</f>
        <v/>
      </c>
      <c r="X59" s="175" t="str">
        <f>IFERROR(SUMIFS('caseload data'!H:H,'caseload data'!$C:$C,'divisional &amp; regional caseload%'!$T$57,'caseload data'!$D:$D,"PO")/SUMIF('caseload data'!$C:$C,'divisional &amp; regional caseload%'!$T$57,'caseload data'!H:H),"")</f>
        <v/>
      </c>
      <c r="Y59" s="175" t="str">
        <f>IFERROR(SUMIFS('caseload data'!I:I,'caseload data'!$C:$C,'divisional &amp; regional caseload%'!$T$57,'caseload data'!$D:$D,"PO")/SUMIF('caseload data'!$C:$C,'divisional &amp; regional caseload%'!$T$57,'caseload data'!I:I),"")</f>
        <v/>
      </c>
      <c r="Z59" s="175" t="str">
        <f>IFERROR(SUMIFS('caseload data'!J:J,'caseload data'!$C:$C,'divisional &amp; regional caseload%'!$T$57,'caseload data'!$D:$D,"PO")/SUMIF('caseload data'!$C:$C,'divisional &amp; regional caseload%'!$T$57,'caseload data'!J:J),"")</f>
        <v/>
      </c>
      <c r="AA59" s="175" t="str">
        <f>IFERROR(SUMIFS('caseload data'!K:K,'caseload data'!$C:$C,'divisional &amp; regional caseload%'!$T$57,'caseload data'!$D:$D,"PO")/SUMIF('caseload data'!$C:$C,'divisional &amp; regional caseload%'!$T$57,'caseload data'!K:K),"")</f>
        <v/>
      </c>
      <c r="AB59" s="175" t="str">
        <f>IFERROR(SUMIFS('caseload data'!L:L,'caseload data'!$C:$C,'divisional &amp; regional caseload%'!$T$57,'caseload data'!$D:$D,"PO")/SUMIF('caseload data'!$C:$C,'divisional &amp; regional caseload%'!$T$57,'caseload data'!L:L),"")</f>
        <v/>
      </c>
      <c r="AC59" s="175" t="str">
        <f>IFERROR(SUMIFS('caseload data'!M:M,'caseload data'!$C:$C,'divisional &amp; regional caseload%'!$T$57,'caseload data'!$D:$D,"PO")/SUMIF('caseload data'!$C:$C,'divisional &amp; regional caseload%'!$T$57,'caseload data'!M:M),"")</f>
        <v/>
      </c>
      <c r="AD59" s="175" t="str">
        <f>IFERROR(SUMIFS('caseload data'!N:N,'caseload data'!$C:$C,'divisional &amp; regional caseload%'!$T$57,'caseload data'!$D:$D,"PO")/SUMIF('caseload data'!$C:$C,'divisional &amp; regional caseload%'!$T$57,'caseload data'!N:N),"")</f>
        <v/>
      </c>
      <c r="AE59" s="175" t="str">
        <f>IFERROR(SUMIFS('caseload data'!O:O,'caseload data'!$C:$C,'divisional &amp; regional caseload%'!$T$57,'caseload data'!$D:$D,"PO")/SUMIF('caseload data'!$C:$C,'divisional &amp; regional caseload%'!$T$57,'caseload data'!O:O),"")</f>
        <v/>
      </c>
      <c r="AF59" s="175" t="str">
        <f>IFERROR(SUMIFS('caseload data'!P:P,'caseload data'!$C:$C,'divisional &amp; regional caseload%'!$T$57,'caseload data'!$D:$D,"PO")/SUMIF('caseload data'!$C:$C,'divisional &amp; regional caseload%'!$T$57,'caseload data'!P:P),"")</f>
        <v/>
      </c>
      <c r="AG59" s="175" t="str">
        <f>IFERROR(SUMIFS('caseload data'!Q:Q,'caseload data'!$C:$C,'divisional &amp; regional caseload%'!$T$57,'caseload data'!$D:$D,"PO")/SUMIF('caseload data'!$C:$C,'divisional &amp; regional caseload%'!$T$57,'caseload data'!Q:Q),"")</f>
        <v/>
      </c>
      <c r="AH59" s="175" t="str">
        <f>IFERROR(SUMIFS('caseload data'!R:R,'caseload data'!$C:$C,'divisional &amp; regional caseload%'!$T$57,'caseload data'!$D:$D,"PO")/SUMIF('caseload data'!$C:$C,'divisional &amp; regional caseload%'!$T$57,'caseload data'!R:R),"")</f>
        <v/>
      </c>
      <c r="AI59" s="175" t="str">
        <f>IFERROR(SUMIFS('caseload data'!S:S,'caseload data'!$C:$C,'divisional &amp; regional caseload%'!$T$57,'caseload data'!$D:$D,"PO")/SUMIF('caseload data'!$C:$C,'divisional &amp; regional caseload%'!$T$57,'caseload data'!S:S),"")</f>
        <v/>
      </c>
      <c r="AJ59" s="175" t="str">
        <f>IFERROR(SUMIFS('caseload data'!T:T,'caseload data'!$C:$C,'divisional &amp; regional caseload%'!$T$57,'caseload data'!$D:$D,"PO")/SUMIF('caseload data'!$C:$C,'divisional &amp; regional caseload%'!$T$57,'caseload data'!T:T),"")</f>
        <v/>
      </c>
    </row>
    <row r="60" spans="2:36" x14ac:dyDescent="0.15">
      <c r="B60" s="101" t="s">
        <v>1172</v>
      </c>
      <c r="C60" s="175" t="str">
        <f>IFERROR(SUMIFS('caseload data'!E:E,'caseload data'!$C:$C,'divisional &amp; regional caseload%'!$B$57,'caseload data'!$D:$D,"PSO")/SUMIF('caseload data'!$C:$C,'divisional &amp; regional caseload%'!$B$57,'caseload data'!E:E),"")</f>
        <v/>
      </c>
      <c r="D60" s="175" t="str">
        <f>IFERROR(SUMIFS('caseload data'!F:F,'caseload data'!$C:$C,'divisional &amp; regional caseload%'!$B$57,'caseload data'!$D:$D,"PSO")/SUMIF('caseload data'!$C:$C,'divisional &amp; regional caseload%'!$B$57,'caseload data'!F:F),"")</f>
        <v/>
      </c>
      <c r="E60" s="175" t="str">
        <f>IFERROR(SUMIFS('caseload data'!G:G,'caseload data'!$C:$C,'divisional &amp; regional caseload%'!$B$57,'caseload data'!$D:$D,"PSO")/SUMIF('caseload data'!$C:$C,'divisional &amp; regional caseload%'!$B$57,'caseload data'!G:G),"")</f>
        <v/>
      </c>
      <c r="F60" s="175" t="str">
        <f>IFERROR(SUMIFS('caseload data'!H:H,'caseload data'!$C:$C,'divisional &amp; regional caseload%'!$B$57,'caseload data'!$D:$D,"PSO")/SUMIF('caseload data'!$C:$C,'divisional &amp; regional caseload%'!$B$57,'caseload data'!H:H),"")</f>
        <v/>
      </c>
      <c r="G60" s="175" t="str">
        <f>IFERROR(SUMIFS('caseload data'!I:I,'caseload data'!$C:$C,'divisional &amp; regional caseload%'!$B$57,'caseload data'!$D:$D,"PSO")/SUMIF('caseload data'!$C:$C,'divisional &amp; regional caseload%'!$B$57,'caseload data'!I:I),"")</f>
        <v/>
      </c>
      <c r="H60" s="175" t="str">
        <f>IFERROR(SUMIFS('caseload data'!J:J,'caseload data'!$C:$C,'divisional &amp; regional caseload%'!$B$57,'caseload data'!$D:$D,"PSO")/SUMIF('caseload data'!$C:$C,'divisional &amp; regional caseload%'!$B$57,'caseload data'!J:J),"")</f>
        <v/>
      </c>
      <c r="I60" s="175" t="str">
        <f>IFERROR(SUMIFS('caseload data'!K:K,'caseload data'!$C:$C,'divisional &amp; regional caseload%'!$B$57,'caseload data'!$D:$D,"PSO")/SUMIF('caseload data'!$C:$C,'divisional &amp; regional caseload%'!$B$57,'caseload data'!K:K),"")</f>
        <v/>
      </c>
      <c r="J60" s="175" t="str">
        <f>IFERROR(SUMIFS('caseload data'!L:L,'caseload data'!$C:$C,'divisional &amp; regional caseload%'!$B$57,'caseload data'!$D:$D,"PSO")/SUMIF('caseload data'!$C:$C,'divisional &amp; regional caseload%'!$B$57,'caseload data'!L:L),"")</f>
        <v/>
      </c>
      <c r="K60" s="175" t="str">
        <f>IFERROR(SUMIFS('caseload data'!M:M,'caseload data'!$C:$C,'divisional &amp; regional caseload%'!$B$57,'caseload data'!$D:$D,"PSO")/SUMIF('caseload data'!$C:$C,'divisional &amp; regional caseload%'!$B$57,'caseload data'!M:M),"")</f>
        <v/>
      </c>
      <c r="L60" s="175" t="str">
        <f>IFERROR(SUMIFS('caseload data'!N:N,'caseload data'!$C:$C,'divisional &amp; regional caseload%'!$B$57,'caseload data'!$D:$D,"PSO")/SUMIF('caseload data'!$C:$C,'divisional &amp; regional caseload%'!$B$57,'caseload data'!N:N),"")</f>
        <v/>
      </c>
      <c r="M60" s="175" t="str">
        <f>IFERROR(SUMIFS('caseload data'!O:O,'caseload data'!$C:$C,'divisional &amp; regional caseload%'!$B$57,'caseload data'!$D:$D,"PSO")/SUMIF('caseload data'!$C:$C,'divisional &amp; regional caseload%'!$B$57,'caseload data'!O:O),"")</f>
        <v/>
      </c>
      <c r="N60" s="175" t="str">
        <f>IFERROR(SUMIFS('caseload data'!P:P,'caseload data'!$C:$C,'divisional &amp; regional caseload%'!$B$57,'caseload data'!$D:$D,"PSO")/SUMIF('caseload data'!$C:$C,'divisional &amp; regional caseload%'!$B$57,'caseload data'!P:P),"")</f>
        <v/>
      </c>
      <c r="O60" s="175" t="str">
        <f>IFERROR(SUMIFS('caseload data'!Q:Q,'caseload data'!$C:$C,'divisional &amp; regional caseload%'!$B$57,'caseload data'!$D:$D,"PSO")/SUMIF('caseload data'!$C:$C,'divisional &amp; regional caseload%'!$B$57,'caseload data'!Q:Q),"")</f>
        <v/>
      </c>
      <c r="P60" s="175" t="str">
        <f>IFERROR(SUMIFS('caseload data'!R:R,'caseload data'!$C:$C,'divisional &amp; regional caseload%'!$B$57,'caseload data'!$D:$D,"PSO")/SUMIF('caseload data'!$C:$C,'divisional &amp; regional caseload%'!$B$57,'caseload data'!R:R),"")</f>
        <v/>
      </c>
      <c r="Q60" s="175" t="str">
        <f>IFERROR(SUMIFS('caseload data'!S:S,'caseload data'!$C:$C,'divisional &amp; regional caseload%'!$B$57,'caseload data'!$D:$D,"PSO")/SUMIF('caseload data'!$C:$C,'divisional &amp; regional caseload%'!$B$57,'caseload data'!S:S),"")</f>
        <v/>
      </c>
      <c r="R60" s="175" t="str">
        <f>IFERROR(SUMIFS('caseload data'!T:T,'caseload data'!$C:$C,'divisional &amp; regional caseload%'!$B$57,'caseload data'!$D:$D,"PSO")/SUMIF('caseload data'!$C:$C,'divisional &amp; regional caseload%'!$B$57,'caseload data'!T:T),"")</f>
        <v/>
      </c>
      <c r="S60" s="68"/>
      <c r="T60" s="101" t="s">
        <v>1172</v>
      </c>
      <c r="U60" s="175" t="str">
        <f>IFERROR(SUMIFS('caseload data'!E:E,'caseload data'!$C:$C,'divisional &amp; regional caseload%'!$T$57,'caseload data'!$D:$D,"PSO")/SUMIF('caseload data'!$C:$C,'divisional &amp; regional caseload%'!$T$57,'caseload data'!E:E),"")</f>
        <v/>
      </c>
      <c r="V60" s="175" t="str">
        <f>IFERROR(SUMIFS('caseload data'!F:F,'caseload data'!$C:$C,'divisional &amp; regional caseload%'!$T$57,'caseload data'!$D:$D,"PSO")/SUMIF('caseload data'!$C:$C,'divisional &amp; regional caseload%'!$T$57,'caseload data'!F:F),"")</f>
        <v/>
      </c>
      <c r="W60" s="175" t="str">
        <f>IFERROR(SUMIFS('caseload data'!G:G,'caseload data'!$C:$C,'divisional &amp; regional caseload%'!$T$57,'caseload data'!$D:$D,"PSO")/SUMIF('caseload data'!$C:$C,'divisional &amp; regional caseload%'!$T$57,'caseload data'!G:G),"")</f>
        <v/>
      </c>
      <c r="X60" s="175" t="str">
        <f>IFERROR(SUMIFS('caseload data'!H:H,'caseload data'!$C:$C,'divisional &amp; regional caseload%'!$T$57,'caseload data'!$D:$D,"PSO")/SUMIF('caseload data'!$C:$C,'divisional &amp; regional caseload%'!$T$57,'caseload data'!H:H),"")</f>
        <v/>
      </c>
      <c r="Y60" s="175" t="str">
        <f>IFERROR(SUMIFS('caseload data'!I:I,'caseload data'!$C:$C,'divisional &amp; regional caseload%'!$T$57,'caseload data'!$D:$D,"PSO")/SUMIF('caseload data'!$C:$C,'divisional &amp; regional caseload%'!$T$57,'caseload data'!I:I),"")</f>
        <v/>
      </c>
      <c r="Z60" s="175" t="str">
        <f>IFERROR(SUMIFS('caseload data'!J:J,'caseload data'!$C:$C,'divisional &amp; regional caseload%'!$T$57,'caseload data'!$D:$D,"PSO")/SUMIF('caseload data'!$C:$C,'divisional &amp; regional caseload%'!$T$57,'caseload data'!J:J),"")</f>
        <v/>
      </c>
      <c r="AA60" s="175" t="str">
        <f>IFERROR(SUMIFS('caseload data'!K:K,'caseload data'!$C:$C,'divisional &amp; regional caseload%'!$T$57,'caseload data'!$D:$D,"PSO")/SUMIF('caseload data'!$C:$C,'divisional &amp; regional caseload%'!$T$57,'caseload data'!K:K),"")</f>
        <v/>
      </c>
      <c r="AB60" s="175" t="str">
        <f>IFERROR(SUMIFS('caseload data'!L:L,'caseload data'!$C:$C,'divisional &amp; regional caseload%'!$T$57,'caseload data'!$D:$D,"PSO")/SUMIF('caseload data'!$C:$C,'divisional &amp; regional caseload%'!$T$57,'caseload data'!L:L),"")</f>
        <v/>
      </c>
      <c r="AC60" s="175" t="str">
        <f>IFERROR(SUMIFS('caseload data'!M:M,'caseload data'!$C:$C,'divisional &amp; regional caseload%'!$T$57,'caseload data'!$D:$D,"PSO")/SUMIF('caseload data'!$C:$C,'divisional &amp; regional caseload%'!$T$57,'caseload data'!M:M),"")</f>
        <v/>
      </c>
      <c r="AD60" s="175" t="str">
        <f>IFERROR(SUMIFS('caseload data'!N:N,'caseload data'!$C:$C,'divisional &amp; regional caseload%'!$T$57,'caseload data'!$D:$D,"PSO")/SUMIF('caseload data'!$C:$C,'divisional &amp; regional caseload%'!$T$57,'caseload data'!N:N),"")</f>
        <v/>
      </c>
      <c r="AE60" s="175" t="str">
        <f>IFERROR(SUMIFS('caseload data'!O:O,'caseload data'!$C:$C,'divisional &amp; regional caseload%'!$T$57,'caseload data'!$D:$D,"PSO")/SUMIF('caseload data'!$C:$C,'divisional &amp; regional caseload%'!$T$57,'caseload data'!O:O),"")</f>
        <v/>
      </c>
      <c r="AF60" s="175" t="str">
        <f>IFERROR(SUMIFS('caseload data'!P:P,'caseload data'!$C:$C,'divisional &amp; regional caseload%'!$T$57,'caseload data'!$D:$D,"PSO")/SUMIF('caseload data'!$C:$C,'divisional &amp; regional caseload%'!$T$57,'caseload data'!P:P),"")</f>
        <v/>
      </c>
      <c r="AG60" s="175" t="str">
        <f>IFERROR(SUMIFS('caseload data'!Q:Q,'caseload data'!$C:$C,'divisional &amp; regional caseload%'!$T$57,'caseload data'!$D:$D,"PSO")/SUMIF('caseload data'!$C:$C,'divisional &amp; regional caseload%'!$T$57,'caseload data'!Q:Q),"")</f>
        <v/>
      </c>
      <c r="AH60" s="175" t="str">
        <f>IFERROR(SUMIFS('caseload data'!R:R,'caseload data'!$C:$C,'divisional &amp; regional caseload%'!$T$57,'caseload data'!$D:$D,"PSO")/SUMIF('caseload data'!$C:$C,'divisional &amp; regional caseload%'!$T$57,'caseload data'!R:R),"")</f>
        <v/>
      </c>
      <c r="AI60" s="175" t="str">
        <f>IFERROR(SUMIFS('caseload data'!S:S,'caseload data'!$C:$C,'divisional &amp; regional caseload%'!$T$57,'caseload data'!$D:$D,"PSO")/SUMIF('caseload data'!$C:$C,'divisional &amp; regional caseload%'!$T$57,'caseload data'!S:S),"")</f>
        <v/>
      </c>
      <c r="AJ60" s="175" t="str">
        <f>IFERROR(SUMIFS('caseload data'!T:T,'caseload data'!$C:$C,'divisional &amp; regional caseload%'!$T$57,'caseload data'!$D:$D,"PSO")/SUMIF('caseload data'!$C:$C,'divisional &amp; regional caseload%'!$T$57,'caseload data'!T:T),"")</f>
        <v/>
      </c>
    </row>
    <row r="61" spans="2:36" x14ac:dyDescent="0.15">
      <c r="B61" s="101" t="s">
        <v>1173</v>
      </c>
      <c r="C61" s="175" t="str">
        <f>IFERROR(SUMIFS('caseload data'!E:E,'caseload data'!$C:$C,'divisional &amp; regional caseload%'!$B$57,'caseload data'!$D:$D,"TPO")/SUMIF('caseload data'!$C:$C,'divisional &amp; regional caseload%'!$B$57,'caseload data'!E:E),"")</f>
        <v/>
      </c>
      <c r="D61" s="175" t="str">
        <f>IFERROR(SUMIFS('caseload data'!F:F,'caseload data'!$C:$C,'divisional &amp; regional caseload%'!$B$57,'caseload data'!$D:$D,"TPO")/SUMIF('caseload data'!$C:$C,'divisional &amp; regional caseload%'!$B$57,'caseload data'!F:F),"")</f>
        <v/>
      </c>
      <c r="E61" s="175" t="str">
        <f>IFERROR(SUMIFS('caseload data'!G:G,'caseload data'!$C:$C,'divisional &amp; regional caseload%'!$B$57,'caseload data'!$D:$D,"TPO")/SUMIF('caseload data'!$C:$C,'divisional &amp; regional caseload%'!$B$57,'caseload data'!G:G),"")</f>
        <v/>
      </c>
      <c r="F61" s="175" t="str">
        <f>IFERROR(SUMIFS('caseload data'!H:H,'caseload data'!$C:$C,'divisional &amp; regional caseload%'!$B$57,'caseload data'!$D:$D,"TPO")/SUMIF('caseload data'!$C:$C,'divisional &amp; regional caseload%'!$B$57,'caseload data'!H:H),"")</f>
        <v/>
      </c>
      <c r="G61" s="175" t="str">
        <f>IFERROR(SUMIFS('caseload data'!I:I,'caseload data'!$C:$C,'divisional &amp; regional caseload%'!$B$57,'caseload data'!$D:$D,"TPO")/SUMIF('caseload data'!$C:$C,'divisional &amp; regional caseload%'!$B$57,'caseload data'!I:I),"")</f>
        <v/>
      </c>
      <c r="H61" s="175" t="str">
        <f>IFERROR(SUMIFS('caseload data'!J:J,'caseload data'!$C:$C,'divisional &amp; regional caseload%'!$B$57,'caseload data'!$D:$D,"TPO")/SUMIF('caseload data'!$C:$C,'divisional &amp; regional caseload%'!$B$57,'caseload data'!J:J),"")</f>
        <v/>
      </c>
      <c r="I61" s="175" t="str">
        <f>IFERROR(SUMIFS('caseload data'!K:K,'caseload data'!$C:$C,'divisional &amp; regional caseload%'!$B$57,'caseload data'!$D:$D,"TPO")/SUMIF('caseload data'!$C:$C,'divisional &amp; regional caseload%'!$B$57,'caseload data'!K:K),"")</f>
        <v/>
      </c>
      <c r="J61" s="175" t="str">
        <f>IFERROR(SUMIFS('caseload data'!L:L,'caseload data'!$C:$C,'divisional &amp; regional caseload%'!$B$57,'caseload data'!$D:$D,"TPO")/SUMIF('caseload data'!$C:$C,'divisional &amp; regional caseload%'!$B$57,'caseload data'!L:L),"")</f>
        <v/>
      </c>
      <c r="K61" s="175" t="str">
        <f>IFERROR(SUMIFS('caseload data'!M:M,'caseload data'!$C:$C,'divisional &amp; regional caseload%'!$B$57,'caseload data'!$D:$D,"TPO")/SUMIF('caseload data'!$C:$C,'divisional &amp; regional caseload%'!$B$57,'caseload data'!M:M),"")</f>
        <v/>
      </c>
      <c r="L61" s="175" t="str">
        <f>IFERROR(SUMIFS('caseload data'!N:N,'caseload data'!$C:$C,'divisional &amp; regional caseload%'!$B$57,'caseload data'!$D:$D,"TPO")/SUMIF('caseload data'!$C:$C,'divisional &amp; regional caseload%'!$B$57,'caseload data'!N:N),"")</f>
        <v/>
      </c>
      <c r="M61" s="175" t="str">
        <f>IFERROR(SUMIFS('caseload data'!O:O,'caseload data'!$C:$C,'divisional &amp; regional caseload%'!$B$57,'caseload data'!$D:$D,"TPO")/SUMIF('caseload data'!$C:$C,'divisional &amp; regional caseload%'!$B$57,'caseload data'!O:O),"")</f>
        <v/>
      </c>
      <c r="N61" s="175" t="str">
        <f>IFERROR(SUMIFS('caseload data'!P:P,'caseload data'!$C:$C,'divisional &amp; regional caseload%'!$B$57,'caseload data'!$D:$D,"TPO")/SUMIF('caseload data'!$C:$C,'divisional &amp; regional caseload%'!$B$57,'caseload data'!P:P),"")</f>
        <v/>
      </c>
      <c r="O61" s="175" t="str">
        <f>IFERROR(SUMIFS('caseload data'!Q:Q,'caseload data'!$C:$C,'divisional &amp; regional caseload%'!$B$57,'caseload data'!$D:$D,"TPO")/SUMIF('caseload data'!$C:$C,'divisional &amp; regional caseload%'!$B$57,'caseload data'!Q:Q),"")</f>
        <v/>
      </c>
      <c r="P61" s="175" t="str">
        <f>IFERROR(SUMIFS('caseload data'!R:R,'caseload data'!$C:$C,'divisional &amp; regional caseload%'!$B$57,'caseload data'!$D:$D,"TPO")/SUMIF('caseload data'!$C:$C,'divisional &amp; regional caseload%'!$B$57,'caseload data'!R:R),"")</f>
        <v/>
      </c>
      <c r="Q61" s="175" t="str">
        <f>IFERROR(SUMIFS('caseload data'!S:S,'caseload data'!$C:$C,'divisional &amp; regional caseload%'!$B$57,'caseload data'!$D:$D,"TPO")/SUMIF('caseload data'!$C:$C,'divisional &amp; regional caseload%'!$B$57,'caseload data'!S:S),"")</f>
        <v/>
      </c>
      <c r="R61" s="175" t="str">
        <f>IFERROR(SUMIFS('caseload data'!T:T,'caseload data'!$C:$C,'divisional &amp; regional caseload%'!$B$57,'caseload data'!$D:$D,"TPO")/SUMIF('caseload data'!$C:$C,'divisional &amp; regional caseload%'!$B$57,'caseload data'!T:T),"")</f>
        <v/>
      </c>
      <c r="S61" s="68"/>
      <c r="T61" s="101" t="s">
        <v>1173</v>
      </c>
      <c r="U61" s="175" t="str">
        <f>IFERROR(SUMIFS('caseload data'!E:E,'caseload data'!$C:$C,'divisional &amp; regional caseload%'!$T$57,'caseload data'!$D:$D,"TPO")/SUMIF('caseload data'!$C:$C,'divisional &amp; regional caseload%'!$T$57,'caseload data'!E:E),"")</f>
        <v/>
      </c>
      <c r="V61" s="175" t="str">
        <f>IFERROR(SUMIFS('caseload data'!F:F,'caseload data'!$C:$C,'divisional &amp; regional caseload%'!$T$57,'caseload data'!$D:$D,"TPO")/SUMIF('caseload data'!$C:$C,'divisional &amp; regional caseload%'!$T$57,'caseload data'!F:F),"")</f>
        <v/>
      </c>
      <c r="W61" s="175" t="str">
        <f>IFERROR(SUMIFS('caseload data'!G:G,'caseload data'!$C:$C,'divisional &amp; regional caseload%'!$T$57,'caseload data'!$D:$D,"TPO")/SUMIF('caseload data'!$C:$C,'divisional &amp; regional caseload%'!$T$57,'caseload data'!G:G),"")</f>
        <v/>
      </c>
      <c r="X61" s="175" t="str">
        <f>IFERROR(SUMIFS('caseload data'!H:H,'caseload data'!$C:$C,'divisional &amp; regional caseload%'!$T$57,'caseload data'!$D:$D,"TPO")/SUMIF('caseload data'!$C:$C,'divisional &amp; regional caseload%'!$T$57,'caseload data'!H:H),"")</f>
        <v/>
      </c>
      <c r="Y61" s="175" t="str">
        <f>IFERROR(SUMIFS('caseload data'!I:I,'caseload data'!$C:$C,'divisional &amp; regional caseload%'!$T$57,'caseload data'!$D:$D,"TPO")/SUMIF('caseload data'!$C:$C,'divisional &amp; regional caseload%'!$T$57,'caseload data'!I:I),"")</f>
        <v/>
      </c>
      <c r="Z61" s="175" t="str">
        <f>IFERROR(SUMIFS('caseload data'!J:J,'caseload data'!$C:$C,'divisional &amp; regional caseload%'!$T$57,'caseload data'!$D:$D,"TPO")/SUMIF('caseload data'!$C:$C,'divisional &amp; regional caseload%'!$T$57,'caseload data'!J:J),"")</f>
        <v/>
      </c>
      <c r="AA61" s="175" t="str">
        <f>IFERROR(SUMIFS('caseload data'!K:K,'caseload data'!$C:$C,'divisional &amp; regional caseload%'!$T$57,'caseload data'!$D:$D,"TPO")/SUMIF('caseload data'!$C:$C,'divisional &amp; regional caseload%'!$T$57,'caseload data'!K:K),"")</f>
        <v/>
      </c>
      <c r="AB61" s="175" t="str">
        <f>IFERROR(SUMIFS('caseload data'!L:L,'caseload data'!$C:$C,'divisional &amp; regional caseload%'!$T$57,'caseload data'!$D:$D,"TPO")/SUMIF('caseload data'!$C:$C,'divisional &amp; regional caseload%'!$T$57,'caseload data'!L:L),"")</f>
        <v/>
      </c>
      <c r="AC61" s="175" t="str">
        <f>IFERROR(SUMIFS('caseload data'!M:M,'caseload data'!$C:$C,'divisional &amp; regional caseload%'!$T$57,'caseload data'!$D:$D,"TPO")/SUMIF('caseload data'!$C:$C,'divisional &amp; regional caseload%'!$T$57,'caseload data'!M:M),"")</f>
        <v/>
      </c>
      <c r="AD61" s="175" t="str">
        <f>IFERROR(SUMIFS('caseload data'!N:N,'caseload data'!$C:$C,'divisional &amp; regional caseload%'!$T$57,'caseload data'!$D:$D,"TPO")/SUMIF('caseload data'!$C:$C,'divisional &amp; regional caseload%'!$T$57,'caseload data'!N:N),"")</f>
        <v/>
      </c>
      <c r="AE61" s="175" t="str">
        <f>IFERROR(SUMIFS('caseload data'!O:O,'caseload data'!$C:$C,'divisional &amp; regional caseload%'!$T$57,'caseload data'!$D:$D,"TPO")/SUMIF('caseload data'!$C:$C,'divisional &amp; regional caseload%'!$T$57,'caseload data'!O:O),"")</f>
        <v/>
      </c>
      <c r="AF61" s="175" t="str">
        <f>IFERROR(SUMIFS('caseload data'!P:P,'caseload data'!$C:$C,'divisional &amp; regional caseload%'!$T$57,'caseload data'!$D:$D,"TPO")/SUMIF('caseload data'!$C:$C,'divisional &amp; regional caseload%'!$T$57,'caseload data'!P:P),"")</f>
        <v/>
      </c>
      <c r="AG61" s="175" t="str">
        <f>IFERROR(SUMIFS('caseload data'!Q:Q,'caseload data'!$C:$C,'divisional &amp; regional caseload%'!$T$57,'caseload data'!$D:$D,"TPO")/SUMIF('caseload data'!$C:$C,'divisional &amp; regional caseload%'!$T$57,'caseload data'!Q:Q),"")</f>
        <v/>
      </c>
      <c r="AH61" s="175" t="str">
        <f>IFERROR(SUMIFS('caseload data'!R:R,'caseload data'!$C:$C,'divisional &amp; regional caseload%'!$T$57,'caseload data'!$D:$D,"TPO")/SUMIF('caseload data'!$C:$C,'divisional &amp; regional caseload%'!$T$57,'caseload data'!R:R),"")</f>
        <v/>
      </c>
      <c r="AI61" s="175" t="str">
        <f>IFERROR(SUMIFS('caseload data'!S:S,'caseload data'!$C:$C,'divisional &amp; regional caseload%'!$T$57,'caseload data'!$D:$D,"TPO")/SUMIF('caseload data'!$C:$C,'divisional &amp; regional caseload%'!$T$57,'caseload data'!S:S),"")</f>
        <v/>
      </c>
      <c r="AJ61" s="175" t="str">
        <f>IFERROR(SUMIFS('caseload data'!T:T,'caseload data'!$C:$C,'divisional &amp; regional caseload%'!$T$57,'caseload data'!$D:$D,"TPO")/SUMIF('caseload data'!$C:$C,'divisional &amp; regional caseload%'!$T$57,'caseload data'!T:T),"")</f>
        <v/>
      </c>
    </row>
    <row r="62" spans="2:36" x14ac:dyDescent="0.15">
      <c r="B62" s="102" t="s">
        <v>1174</v>
      </c>
      <c r="C62" s="175" t="str">
        <f>IFERROR(SUMIFS('caseload data'!E:E,'caseload data'!$C:$C,'divisional &amp; regional caseload%'!$B$57,'caseload data'!$D:$D,"SPO")/SUMIF('caseload data'!$C:$C,'divisional &amp; regional caseload%'!$B$57,'caseload data'!E:E),"")</f>
        <v/>
      </c>
      <c r="D62" s="175" t="str">
        <f>IFERROR(SUMIFS('caseload data'!F:F,'caseload data'!$C:$C,'divisional &amp; regional caseload%'!$B$57,'caseload data'!$D:$D,"SPO")/SUMIF('caseload data'!$C:$C,'divisional &amp; regional caseload%'!$B$57,'caseload data'!F:F),"")</f>
        <v/>
      </c>
      <c r="E62" s="175" t="str">
        <f>IFERROR(SUMIFS('caseload data'!G:G,'caseload data'!$C:$C,'divisional &amp; regional caseload%'!$B$57,'caseload data'!$D:$D,"SPO")/SUMIF('caseload data'!$C:$C,'divisional &amp; regional caseload%'!$B$57,'caseload data'!G:G),"")</f>
        <v/>
      </c>
      <c r="F62" s="175" t="str">
        <f>IFERROR(SUMIFS('caseload data'!H:H,'caseload data'!$C:$C,'divisional &amp; regional caseload%'!$B$57,'caseload data'!$D:$D,"SPO")/SUMIF('caseload data'!$C:$C,'divisional &amp; regional caseload%'!$B$57,'caseload data'!H:H),"")</f>
        <v/>
      </c>
      <c r="G62" s="175" t="str">
        <f>IFERROR(SUMIFS('caseload data'!I:I,'caseload data'!$C:$C,'divisional &amp; regional caseload%'!$B$57,'caseload data'!$D:$D,"SPO")/SUMIF('caseload data'!$C:$C,'divisional &amp; regional caseload%'!$B$57,'caseload data'!I:I),"")</f>
        <v/>
      </c>
      <c r="H62" s="175" t="str">
        <f>IFERROR(SUMIFS('caseload data'!J:J,'caseload data'!$C:$C,'divisional &amp; regional caseload%'!$B$57,'caseload data'!$D:$D,"SPO")/SUMIF('caseload data'!$C:$C,'divisional &amp; regional caseload%'!$B$57,'caseload data'!J:J),"")</f>
        <v/>
      </c>
      <c r="I62" s="175" t="str">
        <f>IFERROR(SUMIFS('caseload data'!K:K,'caseload data'!$C:$C,'divisional &amp; regional caseload%'!$B$57,'caseload data'!$D:$D,"SPO")/SUMIF('caseload data'!$C:$C,'divisional &amp; regional caseload%'!$B$57,'caseload data'!K:K),"")</f>
        <v/>
      </c>
      <c r="J62" s="175" t="str">
        <f>IFERROR(SUMIFS('caseload data'!L:L,'caseload data'!$C:$C,'divisional &amp; regional caseload%'!$B$57,'caseload data'!$D:$D,"SPO")/SUMIF('caseload data'!$C:$C,'divisional &amp; regional caseload%'!$B$57,'caseload data'!L:L),"")</f>
        <v/>
      </c>
      <c r="K62" s="175" t="str">
        <f>IFERROR(SUMIFS('caseload data'!M:M,'caseload data'!$C:$C,'divisional &amp; regional caseload%'!$B$57,'caseload data'!$D:$D,"SPO")/SUMIF('caseload data'!$C:$C,'divisional &amp; regional caseload%'!$B$57,'caseload data'!M:M),"")</f>
        <v/>
      </c>
      <c r="L62" s="175" t="str">
        <f>IFERROR(SUMIFS('caseload data'!N:N,'caseload data'!$C:$C,'divisional &amp; regional caseload%'!$B$57,'caseload data'!$D:$D,"SPO")/SUMIF('caseload data'!$C:$C,'divisional &amp; regional caseload%'!$B$57,'caseload data'!N:N),"")</f>
        <v/>
      </c>
      <c r="M62" s="175" t="str">
        <f>IFERROR(SUMIFS('caseload data'!O:O,'caseload data'!$C:$C,'divisional &amp; regional caseload%'!$B$57,'caseload data'!$D:$D,"SPO")/SUMIF('caseload data'!$C:$C,'divisional &amp; regional caseload%'!$B$57,'caseload data'!O:O),"")</f>
        <v/>
      </c>
      <c r="N62" s="175" t="str">
        <f>IFERROR(SUMIFS('caseload data'!P:P,'caseload data'!$C:$C,'divisional &amp; regional caseload%'!$B$57,'caseload data'!$D:$D,"SPO")/SUMIF('caseload data'!$C:$C,'divisional &amp; regional caseload%'!$B$57,'caseload data'!P:P),"")</f>
        <v/>
      </c>
      <c r="O62" s="175" t="str">
        <f>IFERROR(SUMIFS('caseload data'!Q:Q,'caseload data'!$C:$C,'divisional &amp; regional caseload%'!$B$57,'caseload data'!$D:$D,"SPO")/SUMIF('caseload data'!$C:$C,'divisional &amp; regional caseload%'!$B$57,'caseload data'!Q:Q),"")</f>
        <v/>
      </c>
      <c r="P62" s="175" t="str">
        <f>IFERROR(SUMIFS('caseload data'!R:R,'caseload data'!$C:$C,'divisional &amp; regional caseload%'!$B$57,'caseload data'!$D:$D,"SPO")/SUMIF('caseload data'!$C:$C,'divisional &amp; regional caseload%'!$B$57,'caseload data'!R:R),"")</f>
        <v/>
      </c>
      <c r="Q62" s="175" t="str">
        <f>IFERROR(SUMIFS('caseload data'!S:S,'caseload data'!$C:$C,'divisional &amp; regional caseload%'!$B$57,'caseload data'!$D:$D,"SPO")/SUMIF('caseload data'!$C:$C,'divisional &amp; regional caseload%'!$B$57,'caseload data'!S:S),"")</f>
        <v/>
      </c>
      <c r="R62" s="175" t="str">
        <f>IFERROR(SUMIFS('caseload data'!T:T,'caseload data'!$C:$C,'divisional &amp; regional caseload%'!$B$57,'caseload data'!$D:$D,"SPO")/SUMIF('caseload data'!$C:$C,'divisional &amp; regional caseload%'!$B$57,'caseload data'!T:T),"")</f>
        <v/>
      </c>
      <c r="S62" s="68"/>
      <c r="T62" s="102" t="s">
        <v>1174</v>
      </c>
      <c r="U62" s="175" t="str">
        <f>IFERROR(SUMIFS('caseload data'!E:E,'caseload data'!$C:$C,'divisional &amp; regional caseload%'!$T$57,'caseload data'!$D:$D,"SPO")/SUMIF('caseload data'!$C:$C,'divisional &amp; regional caseload%'!$T$57,'caseload data'!E:E),"")</f>
        <v/>
      </c>
      <c r="V62" s="175" t="str">
        <f>IFERROR(SUMIFS('caseload data'!F:F,'caseload data'!$C:$C,'divisional &amp; regional caseload%'!$T$57,'caseload data'!$D:$D,"SPO")/SUMIF('caseload data'!$C:$C,'divisional &amp; regional caseload%'!$T$57,'caseload data'!F:F),"")</f>
        <v/>
      </c>
      <c r="W62" s="175" t="str">
        <f>IFERROR(SUMIFS('caseload data'!G:G,'caseload data'!$C:$C,'divisional &amp; regional caseload%'!$T$57,'caseload data'!$D:$D,"SPO")/SUMIF('caseload data'!$C:$C,'divisional &amp; regional caseload%'!$T$57,'caseload data'!G:G),"")</f>
        <v/>
      </c>
      <c r="X62" s="175" t="str">
        <f>IFERROR(SUMIFS('caseload data'!H:H,'caseload data'!$C:$C,'divisional &amp; regional caseload%'!$T$57,'caseload data'!$D:$D,"SPO")/SUMIF('caseload data'!$C:$C,'divisional &amp; regional caseload%'!$T$57,'caseload data'!H:H),"")</f>
        <v/>
      </c>
      <c r="Y62" s="175" t="str">
        <f>IFERROR(SUMIFS('caseload data'!I:I,'caseload data'!$C:$C,'divisional &amp; regional caseload%'!$T$57,'caseload data'!$D:$D,"SPO")/SUMIF('caseload data'!$C:$C,'divisional &amp; regional caseload%'!$T$57,'caseload data'!I:I),"")</f>
        <v/>
      </c>
      <c r="Z62" s="175" t="str">
        <f>IFERROR(SUMIFS('caseload data'!J:J,'caseload data'!$C:$C,'divisional &amp; regional caseload%'!$T$57,'caseload data'!$D:$D,"SPO")/SUMIF('caseload data'!$C:$C,'divisional &amp; regional caseload%'!$T$57,'caseload data'!J:J),"")</f>
        <v/>
      </c>
      <c r="AA62" s="175" t="str">
        <f>IFERROR(SUMIFS('caseload data'!K:K,'caseload data'!$C:$C,'divisional &amp; regional caseload%'!$T$57,'caseload data'!$D:$D,"SPO")/SUMIF('caseload data'!$C:$C,'divisional &amp; regional caseload%'!$T$57,'caseload data'!K:K),"")</f>
        <v/>
      </c>
      <c r="AB62" s="175" t="str">
        <f>IFERROR(SUMIFS('caseload data'!L:L,'caseload data'!$C:$C,'divisional &amp; regional caseload%'!$T$57,'caseload data'!$D:$D,"SPO")/SUMIF('caseload data'!$C:$C,'divisional &amp; regional caseload%'!$T$57,'caseload data'!L:L),"")</f>
        <v/>
      </c>
      <c r="AC62" s="175" t="str">
        <f>IFERROR(SUMIFS('caseload data'!M:M,'caseload data'!$C:$C,'divisional &amp; regional caseload%'!$T$57,'caseload data'!$D:$D,"SPO")/SUMIF('caseload data'!$C:$C,'divisional &amp; regional caseload%'!$T$57,'caseload data'!M:M),"")</f>
        <v/>
      </c>
      <c r="AD62" s="175" t="str">
        <f>IFERROR(SUMIFS('caseload data'!N:N,'caseload data'!$C:$C,'divisional &amp; regional caseload%'!$T$57,'caseload data'!$D:$D,"SPO")/SUMIF('caseload data'!$C:$C,'divisional &amp; regional caseload%'!$T$57,'caseload data'!N:N),"")</f>
        <v/>
      </c>
      <c r="AE62" s="175" t="str">
        <f>IFERROR(SUMIFS('caseload data'!O:O,'caseload data'!$C:$C,'divisional &amp; regional caseload%'!$T$57,'caseload data'!$D:$D,"SPO")/SUMIF('caseload data'!$C:$C,'divisional &amp; regional caseload%'!$T$57,'caseload data'!O:O),"")</f>
        <v/>
      </c>
      <c r="AF62" s="175" t="str">
        <f>IFERROR(SUMIFS('caseload data'!P:P,'caseload data'!$C:$C,'divisional &amp; regional caseload%'!$T$57,'caseload data'!$D:$D,"SPO")/SUMIF('caseload data'!$C:$C,'divisional &amp; regional caseload%'!$T$57,'caseload data'!P:P),"")</f>
        <v/>
      </c>
      <c r="AG62" s="175" t="str">
        <f>IFERROR(SUMIFS('caseload data'!Q:Q,'caseload data'!$C:$C,'divisional &amp; regional caseload%'!$T$57,'caseload data'!$D:$D,"SPO")/SUMIF('caseload data'!$C:$C,'divisional &amp; regional caseload%'!$T$57,'caseload data'!Q:Q),"")</f>
        <v/>
      </c>
      <c r="AH62" s="175" t="str">
        <f>IFERROR(SUMIFS('caseload data'!R:R,'caseload data'!$C:$C,'divisional &amp; regional caseload%'!$T$57,'caseload data'!$D:$D,"SPO")/SUMIF('caseload data'!$C:$C,'divisional &amp; regional caseload%'!$T$57,'caseload data'!R:R),"")</f>
        <v/>
      </c>
      <c r="AI62" s="175" t="str">
        <f>IFERROR(SUMIFS('caseload data'!S:S,'caseload data'!$C:$C,'divisional &amp; regional caseload%'!$T$57,'caseload data'!$D:$D,"SPO")/SUMIF('caseload data'!$C:$C,'divisional &amp; regional caseload%'!$T$57,'caseload data'!S:S),"")</f>
        <v/>
      </c>
      <c r="AJ62" s="175" t="str">
        <f>IFERROR(SUMIFS('caseload data'!T:T,'caseload data'!$C:$C,'divisional &amp; regional caseload%'!$T$57,'caseload data'!$D:$D,"SPO")/SUMIF('caseload data'!$C:$C,'divisional &amp; regional caseload%'!$T$57,'caseload data'!T:T),"")</f>
        <v/>
      </c>
    </row>
    <row r="64" spans="2:36" ht="29.5" customHeight="1" x14ac:dyDescent="0.15">
      <c r="B64" s="302">
        <f>HLOOKUP($B$5,Region_Table,18,0)</f>
        <v>0</v>
      </c>
      <c r="C64" s="475" t="s">
        <v>1275</v>
      </c>
      <c r="D64" s="476"/>
      <c r="E64" s="476"/>
      <c r="F64" s="476"/>
      <c r="G64" s="476"/>
      <c r="H64" s="476"/>
      <c r="I64" s="476"/>
      <c r="J64" s="476"/>
      <c r="K64" s="476"/>
      <c r="L64" s="476"/>
      <c r="M64" s="477"/>
      <c r="N64" s="477"/>
      <c r="O64" s="478"/>
      <c r="P64" s="462">
        <f>SUMIF('caseload data'!$C:$C,'divisional &amp; regional caseload%'!B64,'caseload data'!V:V)</f>
        <v>0</v>
      </c>
      <c r="Q64" s="479"/>
      <c r="R64" s="480"/>
      <c r="S64" s="68"/>
      <c r="T64" s="302">
        <f>HLOOKUP($B$5,Region_Table,19,0)</f>
        <v>0</v>
      </c>
      <c r="U64" s="475" t="s">
        <v>1275</v>
      </c>
      <c r="V64" s="476"/>
      <c r="W64" s="476"/>
      <c r="X64" s="476"/>
      <c r="Y64" s="476"/>
      <c r="Z64" s="476"/>
      <c r="AA64" s="476"/>
      <c r="AB64" s="476"/>
      <c r="AC64" s="476"/>
      <c r="AD64" s="476"/>
      <c r="AE64" s="477"/>
      <c r="AF64" s="477"/>
      <c r="AG64" s="478"/>
      <c r="AH64" s="462">
        <f>SUMIF('caseload data'!$C:$C,'divisional &amp; regional caseload%'!T64,'caseload data'!V:V)</f>
        <v>0</v>
      </c>
      <c r="AI64" s="479"/>
      <c r="AJ64" s="480"/>
    </row>
    <row r="65" spans="2:36" x14ac:dyDescent="0.15">
      <c r="B65" s="99" t="s">
        <v>1171</v>
      </c>
      <c r="C65" s="40" t="s">
        <v>1022</v>
      </c>
      <c r="D65" s="40" t="s">
        <v>1023</v>
      </c>
      <c r="E65" s="40" t="s">
        <v>1024</v>
      </c>
      <c r="F65" s="40" t="s">
        <v>1025</v>
      </c>
      <c r="G65" s="40" t="s">
        <v>1026</v>
      </c>
      <c r="H65" s="40" t="s">
        <v>1027</v>
      </c>
      <c r="I65" s="40" t="s">
        <v>1028</v>
      </c>
      <c r="J65" s="40" t="s">
        <v>1029</v>
      </c>
      <c r="K65" s="40" t="s">
        <v>1030</v>
      </c>
      <c r="L65" s="40" t="s">
        <v>1031</v>
      </c>
      <c r="M65" s="40" t="s">
        <v>1032</v>
      </c>
      <c r="N65" s="40" t="s">
        <v>1033</v>
      </c>
      <c r="O65" s="40" t="s">
        <v>1034</v>
      </c>
      <c r="P65" s="40" t="s">
        <v>1035</v>
      </c>
      <c r="Q65" s="40" t="s">
        <v>1036</v>
      </c>
      <c r="R65" s="40" t="s">
        <v>1037</v>
      </c>
      <c r="S65" s="68"/>
      <c r="T65" s="99" t="s">
        <v>1171</v>
      </c>
      <c r="U65" s="40" t="s">
        <v>1022</v>
      </c>
      <c r="V65" s="40" t="s">
        <v>1023</v>
      </c>
      <c r="W65" s="40" t="s">
        <v>1024</v>
      </c>
      <c r="X65" s="40" t="s">
        <v>1025</v>
      </c>
      <c r="Y65" s="40" t="s">
        <v>1026</v>
      </c>
      <c r="Z65" s="40" t="s">
        <v>1027</v>
      </c>
      <c r="AA65" s="40" t="s">
        <v>1028</v>
      </c>
      <c r="AB65" s="40" t="s">
        <v>1029</v>
      </c>
      <c r="AC65" s="40" t="s">
        <v>1030</v>
      </c>
      <c r="AD65" s="40" t="s">
        <v>1031</v>
      </c>
      <c r="AE65" s="40" t="s">
        <v>1032</v>
      </c>
      <c r="AF65" s="40" t="s">
        <v>1033</v>
      </c>
      <c r="AG65" s="40" t="s">
        <v>1034</v>
      </c>
      <c r="AH65" s="40" t="s">
        <v>1035</v>
      </c>
      <c r="AI65" s="40" t="s">
        <v>1036</v>
      </c>
      <c r="AJ65" s="40" t="s">
        <v>1037</v>
      </c>
    </row>
    <row r="66" spans="2:36" x14ac:dyDescent="0.15">
      <c r="B66" s="100" t="s">
        <v>1166</v>
      </c>
      <c r="C66" s="175" t="str">
        <f>IFERROR(SUMIFS('caseload data'!E:E,'caseload data'!$C:$C,'divisional &amp; regional caseload%'!$B$64,'caseload data'!$D:$D,"PO")/SUMIF('caseload data'!$C:$C,'divisional &amp; regional caseload%'!$B$64,'caseload data'!E:E),"")</f>
        <v/>
      </c>
      <c r="D66" s="175" t="str">
        <f>IFERROR(SUMIFS('caseload data'!F:F,'caseload data'!$C:$C,'divisional &amp; regional caseload%'!$B$64,'caseload data'!$D:$D,"PO")/SUMIF('caseload data'!$C:$C,'divisional &amp; regional caseload%'!$B$64,'caseload data'!F:F),"")</f>
        <v/>
      </c>
      <c r="E66" s="175" t="str">
        <f>IFERROR(SUMIFS('caseload data'!G:G,'caseload data'!$C:$C,'divisional &amp; regional caseload%'!$B$64,'caseload data'!$D:$D,"PO")/SUMIF('caseload data'!$C:$C,'divisional &amp; regional caseload%'!$B$64,'caseload data'!G:G),"")</f>
        <v/>
      </c>
      <c r="F66" s="175" t="str">
        <f>IFERROR(SUMIFS('caseload data'!H:H,'caseload data'!$C:$C,'divisional &amp; regional caseload%'!$B$64,'caseload data'!$D:$D,"PO")/SUMIF('caseload data'!$C:$C,'divisional &amp; regional caseload%'!$B$64,'caseload data'!H:H),"")</f>
        <v/>
      </c>
      <c r="G66" s="175" t="str">
        <f>IFERROR(SUMIFS('caseload data'!I:I,'caseload data'!$C:$C,'divisional &amp; regional caseload%'!$B$64,'caseload data'!$D:$D,"PO")/SUMIF('caseload data'!$C:$C,'divisional &amp; regional caseload%'!$B$64,'caseload data'!I:I),"")</f>
        <v/>
      </c>
      <c r="H66" s="175" t="str">
        <f>IFERROR(SUMIFS('caseload data'!J:J,'caseload data'!$C:$C,'divisional &amp; regional caseload%'!$B$64,'caseload data'!$D:$D,"PO")/SUMIF('caseload data'!$C:$C,'divisional &amp; regional caseload%'!$B$64,'caseload data'!J:J),"")</f>
        <v/>
      </c>
      <c r="I66" s="175" t="str">
        <f>IFERROR(SUMIFS('caseload data'!K:K,'caseload data'!$C:$C,'divisional &amp; regional caseload%'!$B$64,'caseload data'!$D:$D,"PO")/SUMIF('caseload data'!$C:$C,'divisional &amp; regional caseload%'!$B$64,'caseload data'!K:K),"")</f>
        <v/>
      </c>
      <c r="J66" s="175" t="str">
        <f>IFERROR(SUMIFS('caseload data'!L:L,'caseload data'!$C:$C,'divisional &amp; regional caseload%'!$B$64,'caseload data'!$D:$D,"PO")/SUMIF('caseload data'!$C:$C,'divisional &amp; regional caseload%'!$B$64,'caseload data'!L:L),"")</f>
        <v/>
      </c>
      <c r="K66" s="175" t="str">
        <f>IFERROR(SUMIFS('caseload data'!M:M,'caseload data'!$C:$C,'divisional &amp; regional caseload%'!$B$64,'caseload data'!$D:$D,"PO")/SUMIF('caseload data'!$C:$C,'divisional &amp; regional caseload%'!$B$64,'caseload data'!M:M),"")</f>
        <v/>
      </c>
      <c r="L66" s="175" t="str">
        <f>IFERROR(SUMIFS('caseload data'!N:N,'caseload data'!$C:$C,'divisional &amp; regional caseload%'!$B$64,'caseload data'!$D:$D,"PO")/SUMIF('caseload data'!$C:$C,'divisional &amp; regional caseload%'!$B$64,'caseload data'!N:N),"")</f>
        <v/>
      </c>
      <c r="M66" s="175" t="str">
        <f>IFERROR(SUMIFS('caseload data'!O:O,'caseload data'!$C:$C,'divisional &amp; regional caseload%'!$B$64,'caseload data'!$D:$D,"PO")/SUMIF('caseload data'!$C:$C,'divisional &amp; regional caseload%'!$B$64,'caseload data'!O:O),"")</f>
        <v/>
      </c>
      <c r="N66" s="175" t="str">
        <f>IFERROR(SUMIFS('caseload data'!P:P,'caseload data'!$C:$C,'divisional &amp; regional caseload%'!$B$64,'caseload data'!$D:$D,"PO")/SUMIF('caseload data'!$C:$C,'divisional &amp; regional caseload%'!$B$64,'caseload data'!P:P),"")</f>
        <v/>
      </c>
      <c r="O66" s="175" t="str">
        <f>IFERROR(SUMIFS('caseload data'!Q:Q,'caseload data'!$C:$C,'divisional &amp; regional caseload%'!$B$64,'caseload data'!$D:$D,"PO")/SUMIF('caseload data'!$C:$C,'divisional &amp; regional caseload%'!$B$64,'caseload data'!Q:Q),"")</f>
        <v/>
      </c>
      <c r="P66" s="175" t="str">
        <f>IFERROR(SUMIFS('caseload data'!R:R,'caseload data'!$C:$C,'divisional &amp; regional caseload%'!$B$64,'caseload data'!$D:$D,"PO")/SUMIF('caseload data'!$C:$C,'divisional &amp; regional caseload%'!$B$64,'caseload data'!R:R),"")</f>
        <v/>
      </c>
      <c r="Q66" s="175" t="str">
        <f>IFERROR(SUMIFS('caseload data'!S:S,'caseload data'!$C:$C,'divisional &amp; regional caseload%'!$B$64,'caseload data'!$D:$D,"PO")/SUMIF('caseload data'!$C:$C,'divisional &amp; regional caseload%'!$B$64,'caseload data'!S:S),"")</f>
        <v/>
      </c>
      <c r="R66" s="175" t="str">
        <f>IFERROR(SUMIFS('caseload data'!T:T,'caseload data'!$C:$C,'divisional &amp; regional caseload%'!$B$64,'caseload data'!$D:$D,"PO")/SUMIF('caseload data'!$C:$C,'divisional &amp; regional caseload%'!$B$64,'caseload data'!T:T),"")</f>
        <v/>
      </c>
      <c r="S66" s="68"/>
      <c r="T66" s="100" t="s">
        <v>1166</v>
      </c>
      <c r="U66" s="175" t="str">
        <f>IFERROR(SUMIFS('caseload data'!E:E,'caseload data'!$C:$C,'divisional &amp; regional caseload%'!$T$64,'caseload data'!$D:$D,"PO")/SUMIF('caseload data'!$C:$C,'divisional &amp; regional caseload%'!$T$64,'caseload data'!E:E),"")</f>
        <v/>
      </c>
      <c r="V66" s="175" t="str">
        <f>IFERROR(SUMIFS('caseload data'!F:F,'caseload data'!$C:$C,'divisional &amp; regional caseload%'!$T$64,'caseload data'!$D:$D,"PO")/SUMIF('caseload data'!$C:$C,'divisional &amp; regional caseload%'!$T$64,'caseload data'!F:F),"")</f>
        <v/>
      </c>
      <c r="W66" s="175" t="str">
        <f>IFERROR(SUMIFS('caseload data'!G:G,'caseload data'!$C:$C,'divisional &amp; regional caseload%'!$T$64,'caseload data'!$D:$D,"PO")/SUMIF('caseload data'!$C:$C,'divisional &amp; regional caseload%'!$T$64,'caseload data'!G:G),"")</f>
        <v/>
      </c>
      <c r="X66" s="175" t="str">
        <f>IFERROR(SUMIFS('caseload data'!H:H,'caseload data'!$C:$C,'divisional &amp; regional caseload%'!$T$64,'caseload data'!$D:$D,"PO")/SUMIF('caseload data'!$C:$C,'divisional &amp; regional caseload%'!$T$64,'caseload data'!H:H),"")</f>
        <v/>
      </c>
      <c r="Y66" s="175" t="str">
        <f>IFERROR(SUMIFS('caseload data'!I:I,'caseload data'!$C:$C,'divisional &amp; regional caseload%'!$T$64,'caseload data'!$D:$D,"PO")/SUMIF('caseload data'!$C:$C,'divisional &amp; regional caseload%'!$T$64,'caseload data'!I:I),"")</f>
        <v/>
      </c>
      <c r="Z66" s="175" t="str">
        <f>IFERROR(SUMIFS('caseload data'!J:J,'caseload data'!$C:$C,'divisional &amp; regional caseload%'!$T$64,'caseload data'!$D:$D,"PO")/SUMIF('caseload data'!$C:$C,'divisional &amp; regional caseload%'!$T$64,'caseload data'!J:J),"")</f>
        <v/>
      </c>
      <c r="AA66" s="175" t="str">
        <f>IFERROR(SUMIFS('caseload data'!K:K,'caseload data'!$C:$C,'divisional &amp; regional caseload%'!$T$64,'caseload data'!$D:$D,"PO")/SUMIF('caseload data'!$C:$C,'divisional &amp; regional caseload%'!$T$64,'caseload data'!K:K),"")</f>
        <v/>
      </c>
      <c r="AB66" s="175" t="str">
        <f>IFERROR(SUMIFS('caseload data'!L:L,'caseload data'!$C:$C,'divisional &amp; regional caseload%'!$T$64,'caseload data'!$D:$D,"PO")/SUMIF('caseload data'!$C:$C,'divisional &amp; regional caseload%'!$T$64,'caseload data'!L:L),"")</f>
        <v/>
      </c>
      <c r="AC66" s="175" t="str">
        <f>IFERROR(SUMIFS('caseload data'!M:M,'caseload data'!$C:$C,'divisional &amp; regional caseload%'!$T$64,'caseload data'!$D:$D,"PO")/SUMIF('caseload data'!$C:$C,'divisional &amp; regional caseload%'!$T$64,'caseload data'!M:M),"")</f>
        <v/>
      </c>
      <c r="AD66" s="175" t="str">
        <f>IFERROR(SUMIFS('caseload data'!N:N,'caseload data'!$C:$C,'divisional &amp; regional caseload%'!$T$64,'caseload data'!$D:$D,"PO")/SUMIF('caseload data'!$C:$C,'divisional &amp; regional caseload%'!$T$64,'caseload data'!N:N),"")</f>
        <v/>
      </c>
      <c r="AE66" s="175" t="str">
        <f>IFERROR(SUMIFS('caseload data'!O:O,'caseload data'!$C:$C,'divisional &amp; regional caseload%'!$T$64,'caseload data'!$D:$D,"PO")/SUMIF('caseload data'!$C:$C,'divisional &amp; regional caseload%'!$T$64,'caseload data'!O:O),"")</f>
        <v/>
      </c>
      <c r="AF66" s="175" t="str">
        <f>IFERROR(SUMIFS('caseload data'!P:P,'caseload data'!$C:$C,'divisional &amp; regional caseload%'!$T$64,'caseload data'!$D:$D,"PO")/SUMIF('caseload data'!$C:$C,'divisional &amp; regional caseload%'!$T$64,'caseload data'!P:P),"")</f>
        <v/>
      </c>
      <c r="AG66" s="175" t="str">
        <f>IFERROR(SUMIFS('caseload data'!Q:Q,'caseload data'!$C:$C,'divisional &amp; regional caseload%'!$T$64,'caseload data'!$D:$D,"PO")/SUMIF('caseload data'!$C:$C,'divisional &amp; regional caseload%'!$T$64,'caseload data'!Q:Q),"")</f>
        <v/>
      </c>
      <c r="AH66" s="175" t="str">
        <f>IFERROR(SUMIFS('caseload data'!R:R,'caseload data'!$C:$C,'divisional &amp; regional caseload%'!$T$64,'caseload data'!$D:$D,"PO")/SUMIF('caseload data'!$C:$C,'divisional &amp; regional caseload%'!$T$64,'caseload data'!R:R),"")</f>
        <v/>
      </c>
      <c r="AI66" s="175" t="str">
        <f>IFERROR(SUMIFS('caseload data'!S:S,'caseload data'!$C:$C,'divisional &amp; regional caseload%'!$T$64,'caseload data'!$D:$D,"PO")/SUMIF('caseload data'!$C:$C,'divisional &amp; regional caseload%'!$T$64,'caseload data'!S:S),"")</f>
        <v/>
      </c>
      <c r="AJ66" s="175" t="str">
        <f>IFERROR(SUMIFS('caseload data'!T:T,'caseload data'!$C:$C,'divisional &amp; regional caseload%'!$T$64,'caseload data'!$D:$D,"PO")/SUMIF('caseload data'!$C:$C,'divisional &amp; regional caseload%'!$T$64,'caseload data'!T:T),"")</f>
        <v/>
      </c>
    </row>
    <row r="67" spans="2:36" x14ac:dyDescent="0.15">
      <c r="B67" s="101" t="s">
        <v>1172</v>
      </c>
      <c r="C67" s="175" t="str">
        <f>IFERROR(SUMIFS('caseload data'!E:E,'caseload data'!$C:$C,'divisional &amp; regional caseload%'!$B$64,'caseload data'!$D:$D,"PSO")/SUMIF('caseload data'!$C:$C,'divisional &amp; regional caseload%'!$B$64,'caseload data'!E:E),"")</f>
        <v/>
      </c>
      <c r="D67" s="175" t="str">
        <f>IFERROR(SUMIFS('caseload data'!F:F,'caseload data'!$C:$C,'divisional &amp; regional caseload%'!$B$64,'caseload data'!$D:$D,"PSO")/SUMIF('caseload data'!$C:$C,'divisional &amp; regional caseload%'!$B$64,'caseload data'!F:F),"")</f>
        <v/>
      </c>
      <c r="E67" s="175" t="str">
        <f>IFERROR(SUMIFS('caseload data'!G:G,'caseload data'!$C:$C,'divisional &amp; regional caseload%'!$B$64,'caseload data'!$D:$D,"PSO")/SUMIF('caseload data'!$C:$C,'divisional &amp; regional caseload%'!$B$64,'caseload data'!G:G),"")</f>
        <v/>
      </c>
      <c r="F67" s="175" t="str">
        <f>IFERROR(SUMIFS('caseload data'!H:H,'caseload data'!$C:$C,'divisional &amp; regional caseload%'!$B$64,'caseload data'!$D:$D,"PSO")/SUMIF('caseload data'!$C:$C,'divisional &amp; regional caseload%'!$B$64,'caseload data'!H:H),"")</f>
        <v/>
      </c>
      <c r="G67" s="175" t="str">
        <f>IFERROR(SUMIFS('caseload data'!I:I,'caseload data'!$C:$C,'divisional &amp; regional caseload%'!$B$64,'caseload data'!$D:$D,"PSO")/SUMIF('caseload data'!$C:$C,'divisional &amp; regional caseload%'!$B$64,'caseload data'!I:I),"")</f>
        <v/>
      </c>
      <c r="H67" s="175" t="str">
        <f>IFERROR(SUMIFS('caseload data'!J:J,'caseload data'!$C:$C,'divisional &amp; regional caseload%'!$B$64,'caseload data'!$D:$D,"PSO")/SUMIF('caseload data'!$C:$C,'divisional &amp; regional caseload%'!$B$64,'caseload data'!J:J),"")</f>
        <v/>
      </c>
      <c r="I67" s="175" t="str">
        <f>IFERROR(SUMIFS('caseload data'!K:K,'caseload data'!$C:$C,'divisional &amp; regional caseload%'!$B$64,'caseload data'!$D:$D,"PSO")/SUMIF('caseload data'!$C:$C,'divisional &amp; regional caseload%'!$B$64,'caseload data'!K:K),"")</f>
        <v/>
      </c>
      <c r="J67" s="175" t="str">
        <f>IFERROR(SUMIFS('caseload data'!L:L,'caseload data'!$C:$C,'divisional &amp; regional caseload%'!$B$64,'caseload data'!$D:$D,"PSO")/SUMIF('caseload data'!$C:$C,'divisional &amp; regional caseload%'!$B$64,'caseload data'!L:L),"")</f>
        <v/>
      </c>
      <c r="K67" s="175" t="str">
        <f>IFERROR(SUMIFS('caseload data'!M:M,'caseload data'!$C:$C,'divisional &amp; regional caseload%'!$B$64,'caseload data'!$D:$D,"PSO")/SUMIF('caseload data'!$C:$C,'divisional &amp; regional caseload%'!$B$64,'caseload data'!M:M),"")</f>
        <v/>
      </c>
      <c r="L67" s="175" t="str">
        <f>IFERROR(SUMIFS('caseload data'!N:N,'caseload data'!$C:$C,'divisional &amp; regional caseload%'!$B$64,'caseload data'!$D:$D,"PSO")/SUMIF('caseload data'!$C:$C,'divisional &amp; regional caseload%'!$B$64,'caseload data'!N:N),"")</f>
        <v/>
      </c>
      <c r="M67" s="175" t="str">
        <f>IFERROR(SUMIFS('caseload data'!O:O,'caseload data'!$C:$C,'divisional &amp; regional caseload%'!$B$64,'caseload data'!$D:$D,"PSO")/SUMIF('caseload data'!$C:$C,'divisional &amp; regional caseload%'!$B$64,'caseload data'!O:O),"")</f>
        <v/>
      </c>
      <c r="N67" s="175" t="str">
        <f>IFERROR(SUMIFS('caseload data'!P:P,'caseload data'!$C:$C,'divisional &amp; regional caseload%'!$B$64,'caseload data'!$D:$D,"PSO")/SUMIF('caseload data'!$C:$C,'divisional &amp; regional caseload%'!$B$64,'caseload data'!P:P),"")</f>
        <v/>
      </c>
      <c r="O67" s="175" t="str">
        <f>IFERROR(SUMIFS('caseload data'!Q:Q,'caseload data'!$C:$C,'divisional &amp; regional caseload%'!$B$64,'caseload data'!$D:$D,"PSO")/SUMIF('caseload data'!$C:$C,'divisional &amp; regional caseload%'!$B$64,'caseload data'!Q:Q),"")</f>
        <v/>
      </c>
      <c r="P67" s="175" t="str">
        <f>IFERROR(SUMIFS('caseload data'!R:R,'caseload data'!$C:$C,'divisional &amp; regional caseload%'!$B$64,'caseload data'!$D:$D,"PSO")/SUMIF('caseload data'!$C:$C,'divisional &amp; regional caseload%'!$B$64,'caseload data'!R:R),"")</f>
        <v/>
      </c>
      <c r="Q67" s="175" t="str">
        <f>IFERROR(SUMIFS('caseload data'!S:S,'caseload data'!$C:$C,'divisional &amp; regional caseload%'!$B$64,'caseload data'!$D:$D,"PSO")/SUMIF('caseload data'!$C:$C,'divisional &amp; regional caseload%'!$B$64,'caseload data'!S:S),"")</f>
        <v/>
      </c>
      <c r="R67" s="175" t="str">
        <f>IFERROR(SUMIFS('caseload data'!T:T,'caseload data'!$C:$C,'divisional &amp; regional caseload%'!$B$64,'caseload data'!$D:$D,"PSO")/SUMIF('caseload data'!$C:$C,'divisional &amp; regional caseload%'!$B$64,'caseload data'!T:T),"")</f>
        <v/>
      </c>
      <c r="S67" s="68"/>
      <c r="T67" s="101" t="s">
        <v>1172</v>
      </c>
      <c r="U67" s="175" t="str">
        <f>IFERROR(SUMIFS('caseload data'!E:E,'caseload data'!$C:$C,'divisional &amp; regional caseload%'!$T$64,'caseload data'!$D:$D,"PSO")/SUMIF('caseload data'!$C:$C,'divisional &amp; regional caseload%'!$T$64,'caseload data'!E:E),"")</f>
        <v/>
      </c>
      <c r="V67" s="175" t="str">
        <f>IFERROR(SUMIFS('caseload data'!F:F,'caseload data'!$C:$C,'divisional &amp; regional caseload%'!$T$64,'caseload data'!$D:$D,"PSO")/SUMIF('caseload data'!$C:$C,'divisional &amp; regional caseload%'!$T$64,'caseload data'!F:F),"")</f>
        <v/>
      </c>
      <c r="W67" s="175" t="str">
        <f>IFERROR(SUMIFS('caseload data'!G:G,'caseload data'!$C:$C,'divisional &amp; regional caseload%'!$T$64,'caseload data'!$D:$D,"PSO")/SUMIF('caseload data'!$C:$C,'divisional &amp; regional caseload%'!$T$64,'caseload data'!G:G),"")</f>
        <v/>
      </c>
      <c r="X67" s="175" t="str">
        <f>IFERROR(SUMIFS('caseload data'!H:H,'caseload data'!$C:$C,'divisional &amp; regional caseload%'!$T$64,'caseload data'!$D:$D,"PSO")/SUMIF('caseload data'!$C:$C,'divisional &amp; regional caseload%'!$T$64,'caseload data'!H:H),"")</f>
        <v/>
      </c>
      <c r="Y67" s="175" t="str">
        <f>IFERROR(SUMIFS('caseload data'!I:I,'caseload data'!$C:$C,'divisional &amp; regional caseload%'!$T$64,'caseload data'!$D:$D,"PSO")/SUMIF('caseload data'!$C:$C,'divisional &amp; regional caseload%'!$T$64,'caseload data'!I:I),"")</f>
        <v/>
      </c>
      <c r="Z67" s="175" t="str">
        <f>IFERROR(SUMIFS('caseload data'!J:J,'caseload data'!$C:$C,'divisional &amp; regional caseload%'!$T$64,'caseload data'!$D:$D,"PSO")/SUMIF('caseload data'!$C:$C,'divisional &amp; regional caseload%'!$T$64,'caseload data'!J:J),"")</f>
        <v/>
      </c>
      <c r="AA67" s="175" t="str">
        <f>IFERROR(SUMIFS('caseload data'!K:K,'caseload data'!$C:$C,'divisional &amp; regional caseload%'!$T$64,'caseload data'!$D:$D,"PSO")/SUMIF('caseload data'!$C:$C,'divisional &amp; regional caseload%'!$T$64,'caseload data'!K:K),"")</f>
        <v/>
      </c>
      <c r="AB67" s="175" t="str">
        <f>IFERROR(SUMIFS('caseload data'!L:L,'caseload data'!$C:$C,'divisional &amp; regional caseload%'!$T$64,'caseload data'!$D:$D,"PSO")/SUMIF('caseload data'!$C:$C,'divisional &amp; regional caseload%'!$T$64,'caseload data'!L:L),"")</f>
        <v/>
      </c>
      <c r="AC67" s="175" t="str">
        <f>IFERROR(SUMIFS('caseload data'!M:M,'caseload data'!$C:$C,'divisional &amp; regional caseload%'!$T$64,'caseload data'!$D:$D,"PSO")/SUMIF('caseload data'!$C:$C,'divisional &amp; regional caseload%'!$T$64,'caseload data'!M:M),"")</f>
        <v/>
      </c>
      <c r="AD67" s="175" t="str">
        <f>IFERROR(SUMIFS('caseload data'!N:N,'caseload data'!$C:$C,'divisional &amp; regional caseload%'!$T$64,'caseload data'!$D:$D,"PSO")/SUMIF('caseload data'!$C:$C,'divisional &amp; regional caseload%'!$T$64,'caseload data'!N:N),"")</f>
        <v/>
      </c>
      <c r="AE67" s="175" t="str">
        <f>IFERROR(SUMIFS('caseload data'!O:O,'caseload data'!$C:$C,'divisional &amp; regional caseload%'!$T$64,'caseload data'!$D:$D,"PSO")/SUMIF('caseload data'!$C:$C,'divisional &amp; regional caseload%'!$T$64,'caseload data'!O:O),"")</f>
        <v/>
      </c>
      <c r="AF67" s="175" t="str">
        <f>IFERROR(SUMIFS('caseload data'!P:P,'caseload data'!$C:$C,'divisional &amp; regional caseload%'!$T$64,'caseload data'!$D:$D,"PSO")/SUMIF('caseload data'!$C:$C,'divisional &amp; regional caseload%'!$T$64,'caseload data'!P:P),"")</f>
        <v/>
      </c>
      <c r="AG67" s="175" t="str">
        <f>IFERROR(SUMIFS('caseload data'!Q:Q,'caseload data'!$C:$C,'divisional &amp; regional caseload%'!$T$64,'caseload data'!$D:$D,"PSO")/SUMIF('caseload data'!$C:$C,'divisional &amp; regional caseload%'!$T$64,'caseload data'!Q:Q),"")</f>
        <v/>
      </c>
      <c r="AH67" s="175" t="str">
        <f>IFERROR(SUMIFS('caseload data'!R:R,'caseload data'!$C:$C,'divisional &amp; regional caseload%'!$T$64,'caseload data'!$D:$D,"PSO")/SUMIF('caseload data'!$C:$C,'divisional &amp; regional caseload%'!$T$64,'caseload data'!R:R),"")</f>
        <v/>
      </c>
      <c r="AI67" s="175" t="str">
        <f>IFERROR(SUMIFS('caseload data'!S:S,'caseload data'!$C:$C,'divisional &amp; regional caseload%'!$T$64,'caseload data'!$D:$D,"PSO")/SUMIF('caseload data'!$C:$C,'divisional &amp; regional caseload%'!$T$64,'caseload data'!S:S),"")</f>
        <v/>
      </c>
      <c r="AJ67" s="175" t="str">
        <f>IFERROR(SUMIFS('caseload data'!T:T,'caseload data'!$C:$C,'divisional &amp; regional caseload%'!$T$64,'caseload data'!$D:$D,"PSO")/SUMIF('caseload data'!$C:$C,'divisional &amp; regional caseload%'!$T$64,'caseload data'!T:T),"")</f>
        <v/>
      </c>
    </row>
    <row r="68" spans="2:36" x14ac:dyDescent="0.15">
      <c r="B68" s="101" t="s">
        <v>1173</v>
      </c>
      <c r="C68" s="175" t="str">
        <f>IFERROR(SUMIFS('caseload data'!E:E,'caseload data'!$C:$C,'divisional &amp; regional caseload%'!$B$64,'caseload data'!$D:$D,"TPO")/SUMIF('caseload data'!$C:$C,'divisional &amp; regional caseload%'!$B$64,'caseload data'!E:E),"")</f>
        <v/>
      </c>
      <c r="D68" s="175" t="str">
        <f>IFERROR(SUMIFS('caseload data'!F:F,'caseload data'!$C:$C,'divisional &amp; regional caseload%'!$B$64,'caseload data'!$D:$D,"TPO")/SUMIF('caseload data'!$C:$C,'divisional &amp; regional caseload%'!$B$64,'caseload data'!F:F),"")</f>
        <v/>
      </c>
      <c r="E68" s="175" t="str">
        <f>IFERROR(SUMIFS('caseload data'!G:G,'caseload data'!$C:$C,'divisional &amp; regional caseload%'!$B$64,'caseload data'!$D:$D,"TPO")/SUMIF('caseload data'!$C:$C,'divisional &amp; regional caseload%'!$B$64,'caseload data'!G:G),"")</f>
        <v/>
      </c>
      <c r="F68" s="175" t="str">
        <f>IFERROR(SUMIFS('caseload data'!H:H,'caseload data'!$C:$C,'divisional &amp; regional caseload%'!$B$64,'caseload data'!$D:$D,"TPO")/SUMIF('caseload data'!$C:$C,'divisional &amp; regional caseload%'!$B$64,'caseload data'!H:H),"")</f>
        <v/>
      </c>
      <c r="G68" s="175" t="str">
        <f>IFERROR(SUMIFS('caseload data'!I:I,'caseload data'!$C:$C,'divisional &amp; regional caseload%'!$B$64,'caseload data'!$D:$D,"TPO")/SUMIF('caseload data'!$C:$C,'divisional &amp; regional caseload%'!$B$64,'caseload data'!I:I),"")</f>
        <v/>
      </c>
      <c r="H68" s="175" t="str">
        <f>IFERROR(SUMIFS('caseload data'!J:J,'caseload data'!$C:$C,'divisional &amp; regional caseload%'!$B$64,'caseload data'!$D:$D,"TPO")/SUMIF('caseload data'!$C:$C,'divisional &amp; regional caseload%'!$B$64,'caseload data'!J:J),"")</f>
        <v/>
      </c>
      <c r="I68" s="175" t="str">
        <f>IFERROR(SUMIFS('caseload data'!K:K,'caseload data'!$C:$C,'divisional &amp; regional caseload%'!$B$64,'caseload data'!$D:$D,"TPO")/SUMIF('caseload data'!$C:$C,'divisional &amp; regional caseload%'!$B$64,'caseload data'!K:K),"")</f>
        <v/>
      </c>
      <c r="J68" s="175" t="str">
        <f>IFERROR(SUMIFS('caseload data'!L:L,'caseload data'!$C:$C,'divisional &amp; regional caseload%'!$B$64,'caseload data'!$D:$D,"TPO")/SUMIF('caseload data'!$C:$C,'divisional &amp; regional caseload%'!$B$64,'caseload data'!L:L),"")</f>
        <v/>
      </c>
      <c r="K68" s="175" t="str">
        <f>IFERROR(SUMIFS('caseload data'!M:M,'caseload data'!$C:$C,'divisional &amp; regional caseload%'!$B$64,'caseload data'!$D:$D,"TPO")/SUMIF('caseload data'!$C:$C,'divisional &amp; regional caseload%'!$B$64,'caseload data'!M:M),"")</f>
        <v/>
      </c>
      <c r="L68" s="175" t="str">
        <f>IFERROR(SUMIFS('caseload data'!N:N,'caseload data'!$C:$C,'divisional &amp; regional caseload%'!$B$64,'caseload data'!$D:$D,"TPO")/SUMIF('caseload data'!$C:$C,'divisional &amp; regional caseload%'!$B$64,'caseload data'!N:N),"")</f>
        <v/>
      </c>
      <c r="M68" s="175" t="str">
        <f>IFERROR(SUMIFS('caseload data'!O:O,'caseload data'!$C:$C,'divisional &amp; regional caseload%'!$B$64,'caseload data'!$D:$D,"TPO")/SUMIF('caseload data'!$C:$C,'divisional &amp; regional caseload%'!$B$64,'caseload data'!O:O),"")</f>
        <v/>
      </c>
      <c r="N68" s="175" t="str">
        <f>IFERROR(SUMIFS('caseload data'!P:P,'caseload data'!$C:$C,'divisional &amp; regional caseload%'!$B$64,'caseload data'!$D:$D,"TPO")/SUMIF('caseload data'!$C:$C,'divisional &amp; regional caseload%'!$B$64,'caseload data'!P:P),"")</f>
        <v/>
      </c>
      <c r="O68" s="175" t="str">
        <f>IFERROR(SUMIFS('caseload data'!Q:Q,'caseload data'!$C:$C,'divisional &amp; regional caseload%'!$B$64,'caseload data'!$D:$D,"TPO")/SUMIF('caseload data'!$C:$C,'divisional &amp; regional caseload%'!$B$64,'caseload data'!Q:Q),"")</f>
        <v/>
      </c>
      <c r="P68" s="175" t="str">
        <f>IFERROR(SUMIFS('caseload data'!R:R,'caseload data'!$C:$C,'divisional &amp; regional caseload%'!$B$64,'caseload data'!$D:$D,"TPO")/SUMIF('caseload data'!$C:$C,'divisional &amp; regional caseload%'!$B$64,'caseload data'!R:R),"")</f>
        <v/>
      </c>
      <c r="Q68" s="175" t="str">
        <f>IFERROR(SUMIFS('caseload data'!S:S,'caseload data'!$C:$C,'divisional &amp; regional caseload%'!$B$64,'caseload data'!$D:$D,"TPO")/SUMIF('caseload data'!$C:$C,'divisional &amp; regional caseload%'!$B$64,'caseload data'!S:S),"")</f>
        <v/>
      </c>
      <c r="R68" s="175" t="str">
        <f>IFERROR(SUMIFS('caseload data'!T:T,'caseload data'!$C:$C,'divisional &amp; regional caseload%'!$B$64,'caseload data'!$D:$D,"TPO")/SUMIF('caseload data'!$C:$C,'divisional &amp; regional caseload%'!$B$64,'caseload data'!T:T),"")</f>
        <v/>
      </c>
      <c r="S68" s="68"/>
      <c r="T68" s="101" t="s">
        <v>1173</v>
      </c>
      <c r="U68" s="175" t="str">
        <f>IFERROR(SUMIFS('caseload data'!E:E,'caseload data'!$C:$C,'divisional &amp; regional caseload%'!$T$64,'caseload data'!$D:$D,"TPO")/SUMIF('caseload data'!$C:$C,'divisional &amp; regional caseload%'!$T$64,'caseload data'!E:E),"")</f>
        <v/>
      </c>
      <c r="V68" s="175" t="str">
        <f>IFERROR(SUMIFS('caseload data'!F:F,'caseload data'!$C:$C,'divisional &amp; regional caseload%'!$T$64,'caseload data'!$D:$D,"TPO")/SUMIF('caseload data'!$C:$C,'divisional &amp; regional caseload%'!$T$64,'caseload data'!F:F),"")</f>
        <v/>
      </c>
      <c r="W68" s="175" t="str">
        <f>IFERROR(SUMIFS('caseload data'!G:G,'caseload data'!$C:$C,'divisional &amp; regional caseload%'!$T$64,'caseload data'!$D:$D,"TPO")/SUMIF('caseload data'!$C:$C,'divisional &amp; regional caseload%'!$T$64,'caseload data'!G:G),"")</f>
        <v/>
      </c>
      <c r="X68" s="175" t="str">
        <f>IFERROR(SUMIFS('caseload data'!H:H,'caseload data'!$C:$C,'divisional &amp; regional caseload%'!$T$64,'caseload data'!$D:$D,"TPO")/SUMIF('caseload data'!$C:$C,'divisional &amp; regional caseload%'!$T$64,'caseload data'!H:H),"")</f>
        <v/>
      </c>
      <c r="Y68" s="175" t="str">
        <f>IFERROR(SUMIFS('caseload data'!I:I,'caseload data'!$C:$C,'divisional &amp; regional caseload%'!$T$64,'caseload data'!$D:$D,"TPO")/SUMIF('caseload data'!$C:$C,'divisional &amp; regional caseload%'!$T$64,'caseload data'!I:I),"")</f>
        <v/>
      </c>
      <c r="Z68" s="175" t="str">
        <f>IFERROR(SUMIFS('caseload data'!J:J,'caseload data'!$C:$C,'divisional &amp; regional caseload%'!$T$64,'caseload data'!$D:$D,"TPO")/SUMIF('caseload data'!$C:$C,'divisional &amp; regional caseload%'!$T$64,'caseload data'!J:J),"")</f>
        <v/>
      </c>
      <c r="AA68" s="175" t="str">
        <f>IFERROR(SUMIFS('caseload data'!K:K,'caseload data'!$C:$C,'divisional &amp; regional caseload%'!$T$64,'caseload data'!$D:$D,"TPO")/SUMIF('caseload data'!$C:$C,'divisional &amp; regional caseload%'!$T$64,'caseload data'!K:K),"")</f>
        <v/>
      </c>
      <c r="AB68" s="175" t="str">
        <f>IFERROR(SUMIFS('caseload data'!L:L,'caseload data'!$C:$C,'divisional &amp; regional caseload%'!$T$64,'caseload data'!$D:$D,"TPO")/SUMIF('caseload data'!$C:$C,'divisional &amp; regional caseload%'!$T$64,'caseload data'!L:L),"")</f>
        <v/>
      </c>
      <c r="AC68" s="175" t="str">
        <f>IFERROR(SUMIFS('caseload data'!M:M,'caseload data'!$C:$C,'divisional &amp; regional caseload%'!$T$64,'caseload data'!$D:$D,"TPO")/SUMIF('caseload data'!$C:$C,'divisional &amp; regional caseload%'!$T$64,'caseload data'!M:M),"")</f>
        <v/>
      </c>
      <c r="AD68" s="175" t="str">
        <f>IFERROR(SUMIFS('caseload data'!N:N,'caseload data'!$C:$C,'divisional &amp; regional caseload%'!$T$64,'caseload data'!$D:$D,"TPO")/SUMIF('caseload data'!$C:$C,'divisional &amp; regional caseload%'!$T$64,'caseload data'!N:N),"")</f>
        <v/>
      </c>
      <c r="AE68" s="175" t="str">
        <f>IFERROR(SUMIFS('caseload data'!O:O,'caseload data'!$C:$C,'divisional &amp; regional caseload%'!$T$64,'caseload data'!$D:$D,"TPO")/SUMIF('caseload data'!$C:$C,'divisional &amp; regional caseload%'!$T$64,'caseload data'!O:O),"")</f>
        <v/>
      </c>
      <c r="AF68" s="175" t="str">
        <f>IFERROR(SUMIFS('caseload data'!P:P,'caseload data'!$C:$C,'divisional &amp; regional caseload%'!$T$64,'caseload data'!$D:$D,"TPO")/SUMIF('caseload data'!$C:$C,'divisional &amp; regional caseload%'!$T$64,'caseload data'!P:P),"")</f>
        <v/>
      </c>
      <c r="AG68" s="175" t="str">
        <f>IFERROR(SUMIFS('caseload data'!Q:Q,'caseload data'!$C:$C,'divisional &amp; regional caseload%'!$T$64,'caseload data'!$D:$D,"TPO")/SUMIF('caseload data'!$C:$C,'divisional &amp; regional caseload%'!$T$64,'caseload data'!Q:Q),"")</f>
        <v/>
      </c>
      <c r="AH68" s="175" t="str">
        <f>IFERROR(SUMIFS('caseload data'!R:R,'caseload data'!$C:$C,'divisional &amp; regional caseload%'!$T$64,'caseload data'!$D:$D,"TPO")/SUMIF('caseload data'!$C:$C,'divisional &amp; regional caseload%'!$T$64,'caseload data'!R:R),"")</f>
        <v/>
      </c>
      <c r="AI68" s="175" t="str">
        <f>IFERROR(SUMIFS('caseload data'!S:S,'caseload data'!$C:$C,'divisional &amp; regional caseload%'!$T$64,'caseload data'!$D:$D,"TPO")/SUMIF('caseload data'!$C:$C,'divisional &amp; regional caseload%'!$T$64,'caseload data'!S:S),"")</f>
        <v/>
      </c>
      <c r="AJ68" s="175" t="str">
        <f>IFERROR(SUMIFS('caseload data'!T:T,'caseload data'!$C:$C,'divisional &amp; regional caseload%'!$T$64,'caseload data'!$D:$D,"TPO")/SUMIF('caseload data'!$C:$C,'divisional &amp; regional caseload%'!$T$64,'caseload data'!T:T),"")</f>
        <v/>
      </c>
    </row>
    <row r="69" spans="2:36" x14ac:dyDescent="0.15">
      <c r="B69" s="102" t="s">
        <v>1174</v>
      </c>
      <c r="C69" s="175" t="str">
        <f>IFERROR(SUMIFS('caseload data'!E:E,'caseload data'!$C:$C,'divisional &amp; regional caseload%'!$B$64,'caseload data'!$D:$D,"SPO")/SUMIF('caseload data'!$C:$C,'divisional &amp; regional caseload%'!$B$64,'caseload data'!E:E),"")</f>
        <v/>
      </c>
      <c r="D69" s="175" t="str">
        <f>IFERROR(SUMIFS('caseload data'!F:F,'caseload data'!$C:$C,'divisional &amp; regional caseload%'!$B$64,'caseload data'!$D:$D,"SPO")/SUMIF('caseload data'!$C:$C,'divisional &amp; regional caseload%'!$B$64,'caseload data'!F:F),"")</f>
        <v/>
      </c>
      <c r="E69" s="175" t="str">
        <f>IFERROR(SUMIFS('caseload data'!G:G,'caseload data'!$C:$C,'divisional &amp; regional caseload%'!$B$64,'caseload data'!$D:$D,"SPO")/SUMIF('caseload data'!$C:$C,'divisional &amp; regional caseload%'!$B$64,'caseload data'!G:G),"")</f>
        <v/>
      </c>
      <c r="F69" s="175" t="str">
        <f>IFERROR(SUMIFS('caseload data'!H:H,'caseload data'!$C:$C,'divisional &amp; regional caseload%'!$B$64,'caseload data'!$D:$D,"SPO")/SUMIF('caseload data'!$C:$C,'divisional &amp; regional caseload%'!$B$64,'caseload data'!H:H),"")</f>
        <v/>
      </c>
      <c r="G69" s="175" t="str">
        <f>IFERROR(SUMIFS('caseload data'!I:I,'caseload data'!$C:$C,'divisional &amp; regional caseload%'!$B$64,'caseload data'!$D:$D,"SPO")/SUMIF('caseload data'!$C:$C,'divisional &amp; regional caseload%'!$B$64,'caseload data'!I:I),"")</f>
        <v/>
      </c>
      <c r="H69" s="175" t="str">
        <f>IFERROR(SUMIFS('caseload data'!J:J,'caseload data'!$C:$C,'divisional &amp; regional caseload%'!$B$64,'caseload data'!$D:$D,"SPO")/SUMIF('caseload data'!$C:$C,'divisional &amp; regional caseload%'!$B$64,'caseload data'!J:J),"")</f>
        <v/>
      </c>
      <c r="I69" s="175" t="str">
        <f>IFERROR(SUMIFS('caseload data'!K:K,'caseload data'!$C:$C,'divisional &amp; regional caseload%'!$B$64,'caseload data'!$D:$D,"SPO")/SUMIF('caseload data'!$C:$C,'divisional &amp; regional caseload%'!$B$64,'caseload data'!K:K),"")</f>
        <v/>
      </c>
      <c r="J69" s="175" t="str">
        <f>IFERROR(SUMIFS('caseload data'!L:L,'caseload data'!$C:$C,'divisional &amp; regional caseload%'!$B$64,'caseload data'!$D:$D,"SPO")/SUMIF('caseload data'!$C:$C,'divisional &amp; regional caseload%'!$B$64,'caseload data'!L:L),"")</f>
        <v/>
      </c>
      <c r="K69" s="175" t="str">
        <f>IFERROR(SUMIFS('caseload data'!M:M,'caseload data'!$C:$C,'divisional &amp; regional caseload%'!$B$64,'caseload data'!$D:$D,"SPO")/SUMIF('caseload data'!$C:$C,'divisional &amp; regional caseload%'!$B$64,'caseload data'!M:M),"")</f>
        <v/>
      </c>
      <c r="L69" s="175" t="str">
        <f>IFERROR(SUMIFS('caseload data'!N:N,'caseload data'!$C:$C,'divisional &amp; regional caseload%'!$B$64,'caseload data'!$D:$D,"SPO")/SUMIF('caseload data'!$C:$C,'divisional &amp; regional caseload%'!$B$64,'caseload data'!N:N),"")</f>
        <v/>
      </c>
      <c r="M69" s="175" t="str">
        <f>IFERROR(SUMIFS('caseload data'!O:O,'caseload data'!$C:$C,'divisional &amp; regional caseload%'!$B$64,'caseload data'!$D:$D,"SPO")/SUMIF('caseload data'!$C:$C,'divisional &amp; regional caseload%'!$B$64,'caseload data'!O:O),"")</f>
        <v/>
      </c>
      <c r="N69" s="175" t="str">
        <f>IFERROR(SUMIFS('caseload data'!P:P,'caseload data'!$C:$C,'divisional &amp; regional caseload%'!$B$64,'caseload data'!$D:$D,"SPO")/SUMIF('caseload data'!$C:$C,'divisional &amp; regional caseload%'!$B$64,'caseload data'!P:P),"")</f>
        <v/>
      </c>
      <c r="O69" s="175" t="str">
        <f>IFERROR(SUMIFS('caseload data'!Q:Q,'caseload data'!$C:$C,'divisional &amp; regional caseload%'!$B$64,'caseload data'!$D:$D,"SPO")/SUMIF('caseload data'!$C:$C,'divisional &amp; regional caseload%'!$B$64,'caseload data'!Q:Q),"")</f>
        <v/>
      </c>
      <c r="P69" s="175" t="str">
        <f>IFERROR(SUMIFS('caseload data'!R:R,'caseload data'!$C:$C,'divisional &amp; regional caseload%'!$B$64,'caseload data'!$D:$D,"SPO")/SUMIF('caseload data'!$C:$C,'divisional &amp; regional caseload%'!$B$64,'caseload data'!R:R),"")</f>
        <v/>
      </c>
      <c r="Q69" s="175" t="str">
        <f>IFERROR(SUMIFS('caseload data'!S:S,'caseload data'!$C:$C,'divisional &amp; regional caseload%'!$B$64,'caseload data'!$D:$D,"SPO")/SUMIF('caseload data'!$C:$C,'divisional &amp; regional caseload%'!$B$64,'caseload data'!S:S),"")</f>
        <v/>
      </c>
      <c r="R69" s="175" t="str">
        <f>IFERROR(SUMIFS('caseload data'!T:T,'caseload data'!$C:$C,'divisional &amp; regional caseload%'!$B$64,'caseload data'!$D:$D,"SPO")/SUMIF('caseload data'!$C:$C,'divisional &amp; regional caseload%'!$B$64,'caseload data'!T:T),"")</f>
        <v/>
      </c>
      <c r="S69" s="68"/>
      <c r="T69" s="102" t="s">
        <v>1174</v>
      </c>
      <c r="U69" s="175" t="str">
        <f>IFERROR(SUMIFS('caseload data'!E:E,'caseload data'!$C:$C,'divisional &amp; regional caseload%'!$T$64,'caseload data'!$D:$D,"SPO")/SUMIF('caseload data'!$C:$C,'divisional &amp; regional caseload%'!$T$64,'caseload data'!E:E),"")</f>
        <v/>
      </c>
      <c r="V69" s="175" t="str">
        <f>IFERROR(SUMIFS('caseload data'!F:F,'caseload data'!$C:$C,'divisional &amp; regional caseload%'!$T$64,'caseload data'!$D:$D,"SPO")/SUMIF('caseload data'!$C:$C,'divisional &amp; regional caseload%'!$T$64,'caseload data'!F:F),"")</f>
        <v/>
      </c>
      <c r="W69" s="175" t="str">
        <f>IFERROR(SUMIFS('caseload data'!G:G,'caseload data'!$C:$C,'divisional &amp; regional caseload%'!$T$64,'caseload data'!$D:$D,"SPO")/SUMIF('caseload data'!$C:$C,'divisional &amp; regional caseload%'!$T$64,'caseload data'!G:G),"")</f>
        <v/>
      </c>
      <c r="X69" s="175" t="str">
        <f>IFERROR(SUMIFS('caseload data'!H:H,'caseload data'!$C:$C,'divisional &amp; regional caseload%'!$T$64,'caseload data'!$D:$D,"SPO")/SUMIF('caseload data'!$C:$C,'divisional &amp; regional caseload%'!$T$64,'caseload data'!H:H),"")</f>
        <v/>
      </c>
      <c r="Y69" s="175" t="str">
        <f>IFERROR(SUMIFS('caseload data'!I:I,'caseload data'!$C:$C,'divisional &amp; regional caseload%'!$T$64,'caseload data'!$D:$D,"SPO")/SUMIF('caseload data'!$C:$C,'divisional &amp; regional caseload%'!$T$64,'caseload data'!I:I),"")</f>
        <v/>
      </c>
      <c r="Z69" s="175" t="str">
        <f>IFERROR(SUMIFS('caseload data'!J:J,'caseload data'!$C:$C,'divisional &amp; regional caseload%'!$T$64,'caseload data'!$D:$D,"SPO")/SUMIF('caseload data'!$C:$C,'divisional &amp; regional caseload%'!$T$64,'caseload data'!J:J),"")</f>
        <v/>
      </c>
      <c r="AA69" s="175" t="str">
        <f>IFERROR(SUMIFS('caseload data'!K:K,'caseload data'!$C:$C,'divisional &amp; regional caseload%'!$T$64,'caseload data'!$D:$D,"SPO")/SUMIF('caseload data'!$C:$C,'divisional &amp; regional caseload%'!$T$64,'caseload data'!K:K),"")</f>
        <v/>
      </c>
      <c r="AB69" s="175" t="str">
        <f>IFERROR(SUMIFS('caseload data'!L:L,'caseload data'!$C:$C,'divisional &amp; regional caseload%'!$T$64,'caseload data'!$D:$D,"SPO")/SUMIF('caseload data'!$C:$C,'divisional &amp; regional caseload%'!$T$64,'caseload data'!L:L),"")</f>
        <v/>
      </c>
      <c r="AC69" s="175" t="str">
        <f>IFERROR(SUMIFS('caseload data'!M:M,'caseload data'!$C:$C,'divisional &amp; regional caseload%'!$T$64,'caseload data'!$D:$D,"SPO")/SUMIF('caseload data'!$C:$C,'divisional &amp; regional caseload%'!$T$64,'caseload data'!M:M),"")</f>
        <v/>
      </c>
      <c r="AD69" s="175" t="str">
        <f>IFERROR(SUMIFS('caseload data'!N:N,'caseload data'!$C:$C,'divisional &amp; regional caseload%'!$T$64,'caseload data'!$D:$D,"SPO")/SUMIF('caseload data'!$C:$C,'divisional &amp; regional caseload%'!$T$64,'caseload data'!N:N),"")</f>
        <v/>
      </c>
      <c r="AE69" s="175" t="str">
        <f>IFERROR(SUMIFS('caseload data'!O:O,'caseload data'!$C:$C,'divisional &amp; regional caseload%'!$T$64,'caseload data'!$D:$D,"SPO")/SUMIF('caseload data'!$C:$C,'divisional &amp; regional caseload%'!$T$64,'caseload data'!O:O),"")</f>
        <v/>
      </c>
      <c r="AF69" s="175" t="str">
        <f>IFERROR(SUMIFS('caseload data'!P:P,'caseload data'!$C:$C,'divisional &amp; regional caseload%'!$T$64,'caseload data'!$D:$D,"SPO")/SUMIF('caseload data'!$C:$C,'divisional &amp; regional caseload%'!$T$64,'caseload data'!P:P),"")</f>
        <v/>
      </c>
      <c r="AG69" s="175" t="str">
        <f>IFERROR(SUMIFS('caseload data'!Q:Q,'caseload data'!$C:$C,'divisional &amp; regional caseload%'!$T$64,'caseload data'!$D:$D,"SPO")/SUMIF('caseload data'!$C:$C,'divisional &amp; regional caseload%'!$T$64,'caseload data'!Q:Q),"")</f>
        <v/>
      </c>
      <c r="AH69" s="175" t="str">
        <f>IFERROR(SUMIFS('caseload data'!R:R,'caseload data'!$C:$C,'divisional &amp; regional caseload%'!$T$64,'caseload data'!$D:$D,"SPO")/SUMIF('caseload data'!$C:$C,'divisional &amp; regional caseload%'!$T$64,'caseload data'!R:R),"")</f>
        <v/>
      </c>
      <c r="AI69" s="175" t="str">
        <f>IFERROR(SUMIFS('caseload data'!S:S,'caseload data'!$C:$C,'divisional &amp; regional caseload%'!$T$64,'caseload data'!$D:$D,"SPO")/SUMIF('caseload data'!$C:$C,'divisional &amp; regional caseload%'!$T$64,'caseload data'!S:S),"")</f>
        <v/>
      </c>
      <c r="AJ69" s="175" t="str">
        <f>IFERROR(SUMIFS('caseload data'!T:T,'caseload data'!$C:$C,'divisional &amp; regional caseload%'!$T$64,'caseload data'!$D:$D,"SPO")/SUMIF('caseload data'!$C:$C,'divisional &amp; regional caseload%'!$T$64,'caseload data'!T:T),"")</f>
        <v/>
      </c>
    </row>
    <row r="71" spans="2:36" ht="27.75" customHeight="1" x14ac:dyDescent="0.15">
      <c r="B71" s="302">
        <f>HLOOKUP($B$5,Region_Table,20,0)</f>
        <v>0</v>
      </c>
      <c r="C71" s="475" t="s">
        <v>1275</v>
      </c>
      <c r="D71" s="476"/>
      <c r="E71" s="476"/>
      <c r="F71" s="476"/>
      <c r="G71" s="476"/>
      <c r="H71" s="476"/>
      <c r="I71" s="476"/>
      <c r="J71" s="476"/>
      <c r="K71" s="476"/>
      <c r="L71" s="476"/>
      <c r="M71" s="477"/>
      <c r="N71" s="477"/>
      <c r="O71" s="478"/>
      <c r="P71" s="462">
        <f>SUMIF('caseload data'!$C:$C,'divisional &amp; regional caseload%'!B71,'caseload data'!V:V)</f>
        <v>0</v>
      </c>
      <c r="Q71" s="479"/>
      <c r="R71" s="480"/>
      <c r="T71" s="302">
        <f>HLOOKUP($B$5,Region_Table,21,0)</f>
        <v>0</v>
      </c>
      <c r="U71" s="475" t="s">
        <v>1275</v>
      </c>
      <c r="V71" s="476"/>
      <c r="W71" s="476"/>
      <c r="X71" s="476"/>
      <c r="Y71" s="476"/>
      <c r="Z71" s="476"/>
      <c r="AA71" s="476"/>
      <c r="AB71" s="476"/>
      <c r="AC71" s="476"/>
      <c r="AD71" s="476"/>
      <c r="AE71" s="477"/>
      <c r="AF71" s="477"/>
      <c r="AG71" s="478"/>
      <c r="AH71" s="462">
        <f>SUMIF('caseload data'!$C:$C,'divisional &amp; regional caseload%'!T71,'caseload data'!V:V)</f>
        <v>0</v>
      </c>
      <c r="AI71" s="479"/>
      <c r="AJ71" s="480"/>
    </row>
    <row r="72" spans="2:36" x14ac:dyDescent="0.15">
      <c r="B72" s="99" t="s">
        <v>1171</v>
      </c>
      <c r="C72" s="40" t="s">
        <v>1022</v>
      </c>
      <c r="D72" s="40" t="s">
        <v>1023</v>
      </c>
      <c r="E72" s="40" t="s">
        <v>1024</v>
      </c>
      <c r="F72" s="40" t="s">
        <v>1025</v>
      </c>
      <c r="G72" s="40" t="s">
        <v>1026</v>
      </c>
      <c r="H72" s="40" t="s">
        <v>1027</v>
      </c>
      <c r="I72" s="40" t="s">
        <v>1028</v>
      </c>
      <c r="J72" s="40" t="s">
        <v>1029</v>
      </c>
      <c r="K72" s="40" t="s">
        <v>1030</v>
      </c>
      <c r="L72" s="40" t="s">
        <v>1031</v>
      </c>
      <c r="M72" s="40" t="s">
        <v>1032</v>
      </c>
      <c r="N72" s="40" t="s">
        <v>1033</v>
      </c>
      <c r="O72" s="40" t="s">
        <v>1034</v>
      </c>
      <c r="P72" s="40" t="s">
        <v>1035</v>
      </c>
      <c r="Q72" s="40" t="s">
        <v>1036</v>
      </c>
      <c r="R72" s="40" t="s">
        <v>1037</v>
      </c>
      <c r="T72" s="99" t="s">
        <v>1171</v>
      </c>
      <c r="U72" s="40" t="s">
        <v>1022</v>
      </c>
      <c r="V72" s="40" t="s">
        <v>1023</v>
      </c>
      <c r="W72" s="40" t="s">
        <v>1024</v>
      </c>
      <c r="X72" s="40" t="s">
        <v>1025</v>
      </c>
      <c r="Y72" s="40" t="s">
        <v>1026</v>
      </c>
      <c r="Z72" s="40" t="s">
        <v>1027</v>
      </c>
      <c r="AA72" s="40" t="s">
        <v>1028</v>
      </c>
      <c r="AB72" s="40" t="s">
        <v>1029</v>
      </c>
      <c r="AC72" s="40" t="s">
        <v>1030</v>
      </c>
      <c r="AD72" s="40" t="s">
        <v>1031</v>
      </c>
      <c r="AE72" s="40" t="s">
        <v>1032</v>
      </c>
      <c r="AF72" s="40" t="s">
        <v>1033</v>
      </c>
      <c r="AG72" s="40" t="s">
        <v>1034</v>
      </c>
      <c r="AH72" s="40" t="s">
        <v>1035</v>
      </c>
      <c r="AI72" s="40" t="s">
        <v>1036</v>
      </c>
      <c r="AJ72" s="40" t="s">
        <v>1037</v>
      </c>
    </row>
    <row r="73" spans="2:36" x14ac:dyDescent="0.15">
      <c r="B73" s="100" t="s">
        <v>1166</v>
      </c>
      <c r="C73" s="175" t="str">
        <f>IFERROR(SUMIFS('caseload data'!E:E,'caseload data'!$C:$C,'divisional &amp; regional caseload%'!$B$71,'caseload data'!$D:$D,"PO")/SUMIF('caseload data'!$C:$C,'divisional &amp; regional caseload%'!$B$71,'caseload data'!E:E),"")</f>
        <v/>
      </c>
      <c r="D73" s="175" t="str">
        <f>IFERROR(SUMIFS('caseload data'!F:F,'caseload data'!$C:$C,'divisional &amp; regional caseload%'!$B$71,'caseload data'!$D:$D,"PO")/SUMIF('caseload data'!$C:$C,'divisional &amp; regional caseload%'!$B$71,'caseload data'!F:F),"")</f>
        <v/>
      </c>
      <c r="E73" s="175" t="str">
        <f>IFERROR(SUMIFS('caseload data'!G:G,'caseload data'!$C:$C,'divisional &amp; regional caseload%'!$B$71,'caseload data'!$D:$D,"PO")/SUMIF('caseload data'!$C:$C,'divisional &amp; regional caseload%'!$B$71,'caseload data'!G:G),"")</f>
        <v/>
      </c>
      <c r="F73" s="175" t="str">
        <f>IFERROR(SUMIFS('caseload data'!H:H,'caseload data'!$C:$C,'divisional &amp; regional caseload%'!$B$71,'caseload data'!$D:$D,"PO")/SUMIF('caseload data'!$C:$C,'divisional &amp; regional caseload%'!$B$71,'caseload data'!H:H),"")</f>
        <v/>
      </c>
      <c r="G73" s="175" t="str">
        <f>IFERROR(SUMIFS('caseload data'!I:I,'caseload data'!$C:$C,'divisional &amp; regional caseload%'!$B$71,'caseload data'!$D:$D,"PO")/SUMIF('caseload data'!$C:$C,'divisional &amp; regional caseload%'!$B$71,'caseload data'!I:I),"")</f>
        <v/>
      </c>
      <c r="H73" s="175" t="str">
        <f>IFERROR(SUMIFS('caseload data'!J:J,'caseload data'!$C:$C,'divisional &amp; regional caseload%'!$B$71,'caseload data'!$D:$D,"PO")/SUMIF('caseload data'!$C:$C,'divisional &amp; regional caseload%'!$B$71,'caseload data'!J:J),"")</f>
        <v/>
      </c>
      <c r="I73" s="175" t="str">
        <f>IFERROR(SUMIFS('caseload data'!K:K,'caseload data'!$C:$C,'divisional &amp; regional caseload%'!$B$71,'caseload data'!$D:$D,"PO")/SUMIF('caseload data'!$C:$C,'divisional &amp; regional caseload%'!$B$71,'caseload data'!K:K),"")</f>
        <v/>
      </c>
      <c r="J73" s="175" t="str">
        <f>IFERROR(SUMIFS('caseload data'!L:L,'caseload data'!$C:$C,'divisional &amp; regional caseload%'!$B$71,'caseload data'!$D:$D,"PO")/SUMIF('caseload data'!$C:$C,'divisional &amp; regional caseload%'!$B$71,'caseload data'!L:L),"")</f>
        <v/>
      </c>
      <c r="K73" s="175" t="str">
        <f>IFERROR(SUMIFS('caseload data'!M:M,'caseload data'!$C:$C,'divisional &amp; regional caseload%'!$B$71,'caseload data'!$D:$D,"PO")/SUMIF('caseload data'!$C:$C,'divisional &amp; regional caseload%'!$B$71,'caseload data'!M:M),"")</f>
        <v/>
      </c>
      <c r="L73" s="175" t="str">
        <f>IFERROR(SUMIFS('caseload data'!N:N,'caseload data'!$C:$C,'divisional &amp; regional caseload%'!$B$71,'caseload data'!$D:$D,"PO")/SUMIF('caseload data'!$C:$C,'divisional &amp; regional caseload%'!$B$71,'caseload data'!N:N),"")</f>
        <v/>
      </c>
      <c r="M73" s="175" t="str">
        <f>IFERROR(SUMIFS('caseload data'!O:O,'caseload data'!$C:$C,'divisional &amp; regional caseload%'!$B$71,'caseload data'!$D:$D,"PO")/SUMIF('caseload data'!$C:$C,'divisional &amp; regional caseload%'!$B$71,'caseload data'!O:O),"")</f>
        <v/>
      </c>
      <c r="N73" s="175" t="str">
        <f>IFERROR(SUMIFS('caseload data'!P:P,'caseload data'!$C:$C,'divisional &amp; regional caseload%'!$B$71,'caseload data'!$D:$D,"PO")/SUMIF('caseload data'!$C:$C,'divisional &amp; regional caseload%'!$B$71,'caseload data'!P:P),"")</f>
        <v/>
      </c>
      <c r="O73" s="175" t="str">
        <f>IFERROR(SUMIFS('caseload data'!Q:Q,'caseload data'!$C:$C,'divisional &amp; regional caseload%'!$B$71,'caseload data'!$D:$D,"PO")/SUMIF('caseload data'!$C:$C,'divisional &amp; regional caseload%'!$B$71,'caseload data'!Q:Q),"")</f>
        <v/>
      </c>
      <c r="P73" s="175" t="str">
        <f>IFERROR(SUMIFS('caseload data'!R:R,'caseload data'!$C:$C,'divisional &amp; regional caseload%'!$B$71,'caseload data'!$D:$D,"PO")/SUMIF('caseload data'!$C:$C,'divisional &amp; regional caseload%'!$B$71,'caseload data'!R:R),"")</f>
        <v/>
      </c>
      <c r="Q73" s="175" t="str">
        <f>IFERROR(SUMIFS('caseload data'!S:S,'caseload data'!$C:$C,'divisional &amp; regional caseload%'!$B$71,'caseload data'!$D:$D,"PO")/SUMIF('caseload data'!$C:$C,'divisional &amp; regional caseload%'!$B$71,'caseload data'!S:S),"")</f>
        <v/>
      </c>
      <c r="R73" s="175" t="str">
        <f>IFERROR(SUMIFS('caseload data'!T:T,'caseload data'!$C:$C,'divisional &amp; regional caseload%'!$B$71,'caseload data'!$D:$D,"PO")/SUMIF('caseload data'!$C:$C,'divisional &amp; regional caseload%'!$B$71,'caseload data'!T:T),"")</f>
        <v/>
      </c>
      <c r="T73" s="100" t="s">
        <v>1166</v>
      </c>
      <c r="U73" s="175" t="str">
        <f>IFERROR(SUMIFS('caseload data'!E:E,'caseload data'!$C:$C,'divisional &amp; regional caseload%'!$T$71,'caseload data'!$D:$D,"PO")/SUMIF('caseload data'!$C:$C,'divisional &amp; regional caseload%'!$T$71,'caseload data'!E:E),"")</f>
        <v/>
      </c>
      <c r="V73" s="175" t="str">
        <f>IFERROR(SUMIFS('caseload data'!F:F,'caseload data'!$C:$C,'divisional &amp; regional caseload%'!$T$71,'caseload data'!$D:$D,"PO")/SUMIF('caseload data'!$C:$C,'divisional &amp; regional caseload%'!$T$71,'caseload data'!F:F),"")</f>
        <v/>
      </c>
      <c r="W73" s="175" t="str">
        <f>IFERROR(SUMIFS('caseload data'!G:G,'caseload data'!$C:$C,'divisional &amp; regional caseload%'!$T$71,'caseload data'!$D:$D,"PO")/SUMIF('caseload data'!$C:$C,'divisional &amp; regional caseload%'!$T$71,'caseload data'!G:G),"")</f>
        <v/>
      </c>
      <c r="X73" s="175" t="str">
        <f>IFERROR(SUMIFS('caseload data'!H:H,'caseload data'!$C:$C,'divisional &amp; regional caseload%'!$T$71,'caseload data'!$D:$D,"PO")/SUMIF('caseload data'!$C:$C,'divisional &amp; regional caseload%'!$T$71,'caseload data'!H:H),"")</f>
        <v/>
      </c>
      <c r="Y73" s="175" t="str">
        <f>IFERROR(SUMIFS('caseload data'!I:I,'caseload data'!$C:$C,'divisional &amp; regional caseload%'!$T$71,'caseload data'!$D:$D,"PO")/SUMIF('caseload data'!$C:$C,'divisional &amp; regional caseload%'!$T$71,'caseload data'!I:I),"")</f>
        <v/>
      </c>
      <c r="Z73" s="175" t="str">
        <f>IFERROR(SUMIFS('caseload data'!J:J,'caseload data'!$C:$C,'divisional &amp; regional caseload%'!$T$71,'caseload data'!$D:$D,"PO")/SUMIF('caseload data'!$C:$C,'divisional &amp; regional caseload%'!$T$71,'caseload data'!J:J),"")</f>
        <v/>
      </c>
      <c r="AA73" s="175" t="str">
        <f>IFERROR(SUMIFS('caseload data'!K:K,'caseload data'!$C:$C,'divisional &amp; regional caseload%'!$T$71,'caseload data'!$D:$D,"PO")/SUMIF('caseload data'!$C:$C,'divisional &amp; regional caseload%'!$T$71,'caseload data'!K:K),"")</f>
        <v/>
      </c>
      <c r="AB73" s="175" t="str">
        <f>IFERROR(SUMIFS('caseload data'!L:L,'caseload data'!$C:$C,'divisional &amp; regional caseload%'!$T$71,'caseload data'!$D:$D,"PO")/SUMIF('caseload data'!$C:$C,'divisional &amp; regional caseload%'!$T$71,'caseload data'!L:L),"")</f>
        <v/>
      </c>
      <c r="AC73" s="175" t="str">
        <f>IFERROR(SUMIFS('caseload data'!M:M,'caseload data'!$C:$C,'divisional &amp; regional caseload%'!$T$71,'caseload data'!$D:$D,"PO")/SUMIF('caseload data'!$C:$C,'divisional &amp; regional caseload%'!$T$71,'caseload data'!M:M),"")</f>
        <v/>
      </c>
      <c r="AD73" s="175" t="str">
        <f>IFERROR(SUMIFS('caseload data'!N:N,'caseload data'!$C:$C,'divisional &amp; regional caseload%'!$T$71,'caseload data'!$D:$D,"PO")/SUMIF('caseload data'!$C:$C,'divisional &amp; regional caseload%'!$T$71,'caseload data'!N:N),"")</f>
        <v/>
      </c>
      <c r="AE73" s="175" t="str">
        <f>IFERROR(SUMIFS('caseload data'!O:O,'caseload data'!$C:$C,'divisional &amp; regional caseload%'!$T$71,'caseload data'!$D:$D,"PO")/SUMIF('caseload data'!$C:$C,'divisional &amp; regional caseload%'!$T$71,'caseload data'!O:O),"")</f>
        <v/>
      </c>
      <c r="AF73" s="175" t="str">
        <f>IFERROR(SUMIFS('caseload data'!P:P,'caseload data'!$C:$C,'divisional &amp; regional caseload%'!$T$71,'caseload data'!$D:$D,"PO")/SUMIF('caseload data'!$C:$C,'divisional &amp; regional caseload%'!$T$71,'caseload data'!P:P),"")</f>
        <v/>
      </c>
      <c r="AG73" s="175" t="str">
        <f>IFERROR(SUMIFS('caseload data'!Q:Q,'caseload data'!$C:$C,'divisional &amp; regional caseload%'!$T$71,'caseload data'!$D:$D,"PO")/SUMIF('caseload data'!$C:$C,'divisional &amp; regional caseload%'!$T$71,'caseload data'!Q:Q),"")</f>
        <v/>
      </c>
      <c r="AH73" s="175" t="str">
        <f>IFERROR(SUMIFS('caseload data'!R:R,'caseload data'!$C:$C,'divisional &amp; regional caseload%'!$T$71,'caseload data'!$D:$D,"PO")/SUMIF('caseload data'!$C:$C,'divisional &amp; regional caseload%'!$T$71,'caseload data'!R:R),"")</f>
        <v/>
      </c>
      <c r="AI73" s="175" t="str">
        <f>IFERROR(SUMIFS('caseload data'!S:S,'caseload data'!$C:$C,'divisional &amp; regional caseload%'!$T$71,'caseload data'!$D:$D,"PO")/SUMIF('caseload data'!$C:$C,'divisional &amp; regional caseload%'!$T$71,'caseload data'!S:S),"")</f>
        <v/>
      </c>
      <c r="AJ73" s="175" t="str">
        <f>IFERROR(SUMIFS('caseload data'!T:T,'caseload data'!$C:$C,'divisional &amp; regional caseload%'!$T$71,'caseload data'!$D:$D,"PO")/SUMIF('caseload data'!$C:$C,'divisional &amp; regional caseload%'!$T$71,'caseload data'!T:T),"")</f>
        <v/>
      </c>
    </row>
    <row r="74" spans="2:36" x14ac:dyDescent="0.15">
      <c r="B74" s="101" t="s">
        <v>1172</v>
      </c>
      <c r="C74" s="175" t="str">
        <f>IFERROR(SUMIFS('caseload data'!E:E,'caseload data'!$C:$C,'divisional &amp; regional caseload%'!$B$71,'caseload data'!$D:$D,"PSO")/SUMIF('caseload data'!$C:$C,'divisional &amp; regional caseload%'!$B$71,'caseload data'!E:E),"")</f>
        <v/>
      </c>
      <c r="D74" s="175" t="str">
        <f>IFERROR(SUMIFS('caseload data'!F:F,'caseload data'!$C:$C,'divisional &amp; regional caseload%'!$B$71,'caseload data'!$D:$D,"PSO")/SUMIF('caseload data'!$C:$C,'divisional &amp; regional caseload%'!$B$71,'caseload data'!F:F),"")</f>
        <v/>
      </c>
      <c r="E74" s="175" t="str">
        <f>IFERROR(SUMIFS('caseload data'!G:G,'caseload data'!$C:$C,'divisional &amp; regional caseload%'!$B$71,'caseload data'!$D:$D,"PSO")/SUMIF('caseload data'!$C:$C,'divisional &amp; regional caseload%'!$B$71,'caseload data'!G:G),"")</f>
        <v/>
      </c>
      <c r="F74" s="175" t="str">
        <f>IFERROR(SUMIFS('caseload data'!H:H,'caseload data'!$C:$C,'divisional &amp; regional caseload%'!$B$71,'caseload data'!$D:$D,"PSO")/SUMIF('caseload data'!$C:$C,'divisional &amp; regional caseload%'!$B$71,'caseload data'!H:H),"")</f>
        <v/>
      </c>
      <c r="G74" s="175" t="str">
        <f>IFERROR(SUMIFS('caseload data'!I:I,'caseload data'!$C:$C,'divisional &amp; regional caseload%'!$B$71,'caseload data'!$D:$D,"PSO")/SUMIF('caseload data'!$C:$C,'divisional &amp; regional caseload%'!$B$71,'caseload data'!I:I),"")</f>
        <v/>
      </c>
      <c r="H74" s="175" t="str">
        <f>IFERROR(SUMIFS('caseload data'!J:J,'caseload data'!$C:$C,'divisional &amp; regional caseload%'!$B$71,'caseload data'!$D:$D,"PSO")/SUMIF('caseload data'!$C:$C,'divisional &amp; regional caseload%'!$B$71,'caseload data'!J:J),"")</f>
        <v/>
      </c>
      <c r="I74" s="175" t="str">
        <f>IFERROR(SUMIFS('caseload data'!K:K,'caseload data'!$C:$C,'divisional &amp; regional caseload%'!$B$71,'caseload data'!$D:$D,"PSO")/SUMIF('caseload data'!$C:$C,'divisional &amp; regional caseload%'!$B$71,'caseload data'!K:K),"")</f>
        <v/>
      </c>
      <c r="J74" s="175" t="str">
        <f>IFERROR(SUMIFS('caseload data'!L:L,'caseload data'!$C:$C,'divisional &amp; regional caseload%'!$B$71,'caseload data'!$D:$D,"PSO")/SUMIF('caseload data'!$C:$C,'divisional &amp; regional caseload%'!$B$71,'caseload data'!L:L),"")</f>
        <v/>
      </c>
      <c r="K74" s="175" t="str">
        <f>IFERROR(SUMIFS('caseload data'!M:M,'caseload data'!$C:$C,'divisional &amp; regional caseload%'!$B$71,'caseload data'!$D:$D,"PSO")/SUMIF('caseload data'!$C:$C,'divisional &amp; regional caseload%'!$B$71,'caseload data'!M:M),"")</f>
        <v/>
      </c>
      <c r="L74" s="175" t="str">
        <f>IFERROR(SUMIFS('caseload data'!N:N,'caseload data'!$C:$C,'divisional &amp; regional caseload%'!$B$71,'caseload data'!$D:$D,"PSO")/SUMIF('caseload data'!$C:$C,'divisional &amp; regional caseload%'!$B$71,'caseload data'!N:N),"")</f>
        <v/>
      </c>
      <c r="M74" s="175" t="str">
        <f>IFERROR(SUMIFS('caseload data'!O:O,'caseload data'!$C:$C,'divisional &amp; regional caseload%'!$B$71,'caseload data'!$D:$D,"PSO")/SUMIF('caseload data'!$C:$C,'divisional &amp; regional caseload%'!$B$71,'caseload data'!O:O),"")</f>
        <v/>
      </c>
      <c r="N74" s="175" t="str">
        <f>IFERROR(SUMIFS('caseload data'!P:P,'caseload data'!$C:$C,'divisional &amp; regional caseload%'!$B$71,'caseload data'!$D:$D,"PSO")/SUMIF('caseload data'!$C:$C,'divisional &amp; regional caseload%'!$B$71,'caseload data'!P:P),"")</f>
        <v/>
      </c>
      <c r="O74" s="175" t="str">
        <f>IFERROR(SUMIFS('caseload data'!Q:Q,'caseload data'!$C:$C,'divisional &amp; regional caseload%'!$B$71,'caseload data'!$D:$D,"PSO")/SUMIF('caseload data'!$C:$C,'divisional &amp; regional caseload%'!$B$71,'caseload data'!Q:Q),"")</f>
        <v/>
      </c>
      <c r="P74" s="175" t="str">
        <f>IFERROR(SUMIFS('caseload data'!R:R,'caseload data'!$C:$C,'divisional &amp; regional caseload%'!$B$71,'caseload data'!$D:$D,"PSO")/SUMIF('caseload data'!$C:$C,'divisional &amp; regional caseload%'!$B$71,'caseload data'!R:R),"")</f>
        <v/>
      </c>
      <c r="Q74" s="175" t="str">
        <f>IFERROR(SUMIFS('caseload data'!S:S,'caseload data'!$C:$C,'divisional &amp; regional caseload%'!$B$71,'caseload data'!$D:$D,"PSO")/SUMIF('caseload data'!$C:$C,'divisional &amp; regional caseload%'!$B$71,'caseload data'!S:S),"")</f>
        <v/>
      </c>
      <c r="R74" s="175" t="str">
        <f>IFERROR(SUMIFS('caseload data'!T:T,'caseload data'!$C:$C,'divisional &amp; regional caseload%'!$B$71,'caseload data'!$D:$D,"PSO")/SUMIF('caseload data'!$C:$C,'divisional &amp; regional caseload%'!$B$71,'caseload data'!T:T),"")</f>
        <v/>
      </c>
      <c r="T74" s="101" t="s">
        <v>1172</v>
      </c>
      <c r="U74" s="175" t="str">
        <f>IFERROR(SUMIFS('caseload data'!E:E,'caseload data'!$C:$C,'divisional &amp; regional caseload%'!$T$71,'caseload data'!$D:$D,"PSO")/SUMIF('caseload data'!$C:$C,'divisional &amp; regional caseload%'!$T$71,'caseload data'!E:E),"")</f>
        <v/>
      </c>
      <c r="V74" s="175" t="str">
        <f>IFERROR(SUMIFS('caseload data'!F:F,'caseload data'!$C:$C,'divisional &amp; regional caseload%'!$T$71,'caseload data'!$D:$D,"PSO")/SUMIF('caseload data'!$C:$C,'divisional &amp; regional caseload%'!$T$71,'caseload data'!F:F),"")</f>
        <v/>
      </c>
      <c r="W74" s="175" t="str">
        <f>IFERROR(SUMIFS('caseload data'!G:G,'caseload data'!$C:$C,'divisional &amp; regional caseload%'!$T$71,'caseload data'!$D:$D,"PSO")/SUMIF('caseload data'!$C:$C,'divisional &amp; regional caseload%'!$T$71,'caseload data'!G:G),"")</f>
        <v/>
      </c>
      <c r="X74" s="175" t="str">
        <f>IFERROR(SUMIFS('caseload data'!H:H,'caseload data'!$C:$C,'divisional &amp; regional caseload%'!$T$71,'caseload data'!$D:$D,"PSO")/SUMIF('caseload data'!$C:$C,'divisional &amp; regional caseload%'!$T$71,'caseload data'!H:H),"")</f>
        <v/>
      </c>
      <c r="Y74" s="175" t="str">
        <f>IFERROR(SUMIFS('caseload data'!I:I,'caseload data'!$C:$C,'divisional &amp; regional caseload%'!$T$71,'caseload data'!$D:$D,"PSO")/SUMIF('caseload data'!$C:$C,'divisional &amp; regional caseload%'!$T$71,'caseload data'!I:I),"")</f>
        <v/>
      </c>
      <c r="Z74" s="175" t="str">
        <f>IFERROR(SUMIFS('caseload data'!J:J,'caseload data'!$C:$C,'divisional &amp; regional caseload%'!$T$71,'caseload data'!$D:$D,"PSO")/SUMIF('caseload data'!$C:$C,'divisional &amp; regional caseload%'!$T$71,'caseload data'!J:J),"")</f>
        <v/>
      </c>
      <c r="AA74" s="175" t="str">
        <f>IFERROR(SUMIFS('caseload data'!K:K,'caseload data'!$C:$C,'divisional &amp; regional caseload%'!$T$71,'caseload data'!$D:$D,"PSO")/SUMIF('caseload data'!$C:$C,'divisional &amp; regional caseload%'!$T$71,'caseload data'!K:K),"")</f>
        <v/>
      </c>
      <c r="AB74" s="175" t="str">
        <f>IFERROR(SUMIFS('caseload data'!L:L,'caseload data'!$C:$C,'divisional &amp; regional caseload%'!$T$71,'caseload data'!$D:$D,"PSO")/SUMIF('caseload data'!$C:$C,'divisional &amp; regional caseload%'!$T$71,'caseload data'!L:L),"")</f>
        <v/>
      </c>
      <c r="AC74" s="175" t="str">
        <f>IFERROR(SUMIFS('caseload data'!M:M,'caseload data'!$C:$C,'divisional &amp; regional caseload%'!$T$71,'caseload data'!$D:$D,"PSO")/SUMIF('caseload data'!$C:$C,'divisional &amp; regional caseload%'!$T$71,'caseload data'!M:M),"")</f>
        <v/>
      </c>
      <c r="AD74" s="175" t="str">
        <f>IFERROR(SUMIFS('caseload data'!N:N,'caseload data'!$C:$C,'divisional &amp; regional caseload%'!$T$71,'caseload data'!$D:$D,"PSO")/SUMIF('caseload data'!$C:$C,'divisional &amp; regional caseload%'!$T$71,'caseload data'!N:N),"")</f>
        <v/>
      </c>
      <c r="AE74" s="175" t="str">
        <f>IFERROR(SUMIFS('caseload data'!O:O,'caseload data'!$C:$C,'divisional &amp; regional caseload%'!$T$71,'caseload data'!$D:$D,"PSO")/SUMIF('caseload data'!$C:$C,'divisional &amp; regional caseload%'!$T$71,'caseload data'!O:O),"")</f>
        <v/>
      </c>
      <c r="AF74" s="175" t="str">
        <f>IFERROR(SUMIFS('caseload data'!P:P,'caseload data'!$C:$C,'divisional &amp; regional caseload%'!$T$71,'caseload data'!$D:$D,"PSO")/SUMIF('caseload data'!$C:$C,'divisional &amp; regional caseload%'!$T$71,'caseload data'!P:P),"")</f>
        <v/>
      </c>
      <c r="AG74" s="175" t="str">
        <f>IFERROR(SUMIFS('caseload data'!Q:Q,'caseload data'!$C:$C,'divisional &amp; regional caseload%'!$T$71,'caseload data'!$D:$D,"PSO")/SUMIF('caseload data'!$C:$C,'divisional &amp; regional caseload%'!$T$71,'caseload data'!Q:Q),"")</f>
        <v/>
      </c>
      <c r="AH74" s="175" t="str">
        <f>IFERROR(SUMIFS('caseload data'!R:R,'caseload data'!$C:$C,'divisional &amp; regional caseload%'!$T$71,'caseload data'!$D:$D,"PSO")/SUMIF('caseload data'!$C:$C,'divisional &amp; regional caseload%'!$T$71,'caseload data'!R:R),"")</f>
        <v/>
      </c>
      <c r="AI74" s="175" t="str">
        <f>IFERROR(SUMIFS('caseload data'!S:S,'caseload data'!$C:$C,'divisional &amp; regional caseload%'!$T$71,'caseload data'!$D:$D,"PSO")/SUMIF('caseload data'!$C:$C,'divisional &amp; regional caseload%'!$T$71,'caseload data'!S:S),"")</f>
        <v/>
      </c>
      <c r="AJ74" s="175" t="str">
        <f>IFERROR(SUMIFS('caseload data'!T:T,'caseload data'!$C:$C,'divisional &amp; regional caseload%'!$T$71,'caseload data'!$D:$D,"PSO")/SUMIF('caseload data'!$C:$C,'divisional &amp; regional caseload%'!$T$71,'caseload data'!T:T),"")</f>
        <v/>
      </c>
    </row>
    <row r="75" spans="2:36" x14ac:dyDescent="0.15">
      <c r="B75" s="101" t="s">
        <v>1173</v>
      </c>
      <c r="C75" s="175" t="str">
        <f>IFERROR(SUMIFS('caseload data'!E:E,'caseload data'!$C:$C,'divisional &amp; regional caseload%'!$B$71,'caseload data'!$D:$D,"TPO")/SUMIF('caseload data'!$C:$C,'divisional &amp; regional caseload%'!$B$71,'caseload data'!E:E),"")</f>
        <v/>
      </c>
      <c r="D75" s="175" t="str">
        <f>IFERROR(SUMIFS('caseload data'!F:F,'caseload data'!$C:$C,'divisional &amp; regional caseload%'!$B$71,'caseload data'!$D:$D,"TPO")/SUMIF('caseload data'!$C:$C,'divisional &amp; regional caseload%'!$B$71,'caseload data'!F:F),"")</f>
        <v/>
      </c>
      <c r="E75" s="175" t="str">
        <f>IFERROR(SUMIFS('caseload data'!G:G,'caseload data'!$C:$C,'divisional &amp; regional caseload%'!$B$71,'caseload data'!$D:$D,"TPO")/SUMIF('caseload data'!$C:$C,'divisional &amp; regional caseload%'!$B$71,'caseload data'!G:G),"")</f>
        <v/>
      </c>
      <c r="F75" s="175" t="str">
        <f>IFERROR(SUMIFS('caseload data'!H:H,'caseload data'!$C:$C,'divisional &amp; regional caseload%'!$B$71,'caseload data'!$D:$D,"TPO")/SUMIF('caseload data'!$C:$C,'divisional &amp; regional caseload%'!$B$71,'caseload data'!H:H),"")</f>
        <v/>
      </c>
      <c r="G75" s="175" t="str">
        <f>IFERROR(SUMIFS('caseload data'!I:I,'caseload data'!$C:$C,'divisional &amp; regional caseload%'!$B$71,'caseload data'!$D:$D,"TPO")/SUMIF('caseload data'!$C:$C,'divisional &amp; regional caseload%'!$B$71,'caseload data'!I:I),"")</f>
        <v/>
      </c>
      <c r="H75" s="175" t="str">
        <f>IFERROR(SUMIFS('caseload data'!J:J,'caseload data'!$C:$C,'divisional &amp; regional caseload%'!$B$71,'caseload data'!$D:$D,"TPO")/SUMIF('caseload data'!$C:$C,'divisional &amp; regional caseload%'!$B$71,'caseload data'!J:J),"")</f>
        <v/>
      </c>
      <c r="I75" s="175" t="str">
        <f>IFERROR(SUMIFS('caseload data'!K:K,'caseload data'!$C:$C,'divisional &amp; regional caseload%'!$B$71,'caseload data'!$D:$D,"TPO")/SUMIF('caseload data'!$C:$C,'divisional &amp; regional caseload%'!$B$71,'caseload data'!K:K),"")</f>
        <v/>
      </c>
      <c r="J75" s="175" t="str">
        <f>IFERROR(SUMIFS('caseload data'!L:L,'caseload data'!$C:$C,'divisional &amp; regional caseload%'!$B$71,'caseload data'!$D:$D,"TPO")/SUMIF('caseload data'!$C:$C,'divisional &amp; regional caseload%'!$B$71,'caseload data'!L:L),"")</f>
        <v/>
      </c>
      <c r="K75" s="175" t="str">
        <f>IFERROR(SUMIFS('caseload data'!M:M,'caseload data'!$C:$C,'divisional &amp; regional caseload%'!$B$71,'caseload data'!$D:$D,"TPO")/SUMIF('caseload data'!$C:$C,'divisional &amp; regional caseload%'!$B$71,'caseload data'!M:M),"")</f>
        <v/>
      </c>
      <c r="L75" s="175" t="str">
        <f>IFERROR(SUMIFS('caseload data'!N:N,'caseload data'!$C:$C,'divisional &amp; regional caseload%'!$B$71,'caseload data'!$D:$D,"TPO")/SUMIF('caseload data'!$C:$C,'divisional &amp; regional caseload%'!$B$71,'caseload data'!N:N),"")</f>
        <v/>
      </c>
      <c r="M75" s="175" t="str">
        <f>IFERROR(SUMIFS('caseload data'!O:O,'caseload data'!$C:$C,'divisional &amp; regional caseload%'!$B$71,'caseload data'!$D:$D,"TPO")/SUMIF('caseload data'!$C:$C,'divisional &amp; regional caseload%'!$B$71,'caseload data'!O:O),"")</f>
        <v/>
      </c>
      <c r="N75" s="175" t="str">
        <f>IFERROR(SUMIFS('caseload data'!P:P,'caseload data'!$C:$C,'divisional &amp; regional caseload%'!$B$71,'caseload data'!$D:$D,"TPO")/SUMIF('caseload data'!$C:$C,'divisional &amp; regional caseload%'!$B$71,'caseload data'!P:P),"")</f>
        <v/>
      </c>
      <c r="O75" s="175" t="str">
        <f>IFERROR(SUMIFS('caseload data'!Q:Q,'caseload data'!$C:$C,'divisional &amp; regional caseload%'!$B$71,'caseload data'!$D:$D,"TPO")/SUMIF('caseload data'!$C:$C,'divisional &amp; regional caseload%'!$B$71,'caseload data'!Q:Q),"")</f>
        <v/>
      </c>
      <c r="P75" s="175" t="str">
        <f>IFERROR(SUMIFS('caseload data'!R:R,'caseload data'!$C:$C,'divisional &amp; regional caseload%'!$B$71,'caseload data'!$D:$D,"TPO")/SUMIF('caseload data'!$C:$C,'divisional &amp; regional caseload%'!$B$71,'caseload data'!R:R),"")</f>
        <v/>
      </c>
      <c r="Q75" s="175" t="str">
        <f>IFERROR(SUMIFS('caseload data'!S:S,'caseload data'!$C:$C,'divisional &amp; regional caseload%'!$B$71,'caseload data'!$D:$D,"TPO")/SUMIF('caseload data'!$C:$C,'divisional &amp; regional caseload%'!$B$71,'caseload data'!S:S),"")</f>
        <v/>
      </c>
      <c r="R75" s="175" t="str">
        <f>IFERROR(SUMIFS('caseload data'!T:T,'caseload data'!$C:$C,'divisional &amp; regional caseload%'!$B$71,'caseload data'!$D:$D,"TPO")/SUMIF('caseload data'!$C:$C,'divisional &amp; regional caseload%'!$B$71,'caseload data'!T:T),"")</f>
        <v/>
      </c>
      <c r="T75" s="101" t="s">
        <v>1173</v>
      </c>
      <c r="U75" s="175" t="str">
        <f>IFERROR(SUMIFS('caseload data'!E:E,'caseload data'!$C:$C,'divisional &amp; regional caseload%'!$T$71,'caseload data'!$D:$D,"TPO")/SUMIF('caseload data'!$C:$C,'divisional &amp; regional caseload%'!$T$71,'caseload data'!E:E),"")</f>
        <v/>
      </c>
      <c r="V75" s="175" t="str">
        <f>IFERROR(SUMIFS('caseload data'!F:F,'caseload data'!$C:$C,'divisional &amp; regional caseload%'!$T$71,'caseload data'!$D:$D,"TPO")/SUMIF('caseload data'!$C:$C,'divisional &amp; regional caseload%'!$T$71,'caseload data'!F:F),"")</f>
        <v/>
      </c>
      <c r="W75" s="175" t="str">
        <f>IFERROR(SUMIFS('caseload data'!G:G,'caseload data'!$C:$C,'divisional &amp; regional caseload%'!$T$71,'caseload data'!$D:$D,"TPO")/SUMIF('caseload data'!$C:$C,'divisional &amp; regional caseload%'!$T$71,'caseload data'!G:G),"")</f>
        <v/>
      </c>
      <c r="X75" s="175" t="str">
        <f>IFERROR(SUMIFS('caseload data'!H:H,'caseload data'!$C:$C,'divisional &amp; regional caseload%'!$T$71,'caseload data'!$D:$D,"TPO")/SUMIF('caseload data'!$C:$C,'divisional &amp; regional caseload%'!$T$71,'caseload data'!H:H),"")</f>
        <v/>
      </c>
      <c r="Y75" s="175" t="str">
        <f>IFERROR(SUMIFS('caseload data'!I:I,'caseload data'!$C:$C,'divisional &amp; regional caseload%'!$T$71,'caseload data'!$D:$D,"TPO")/SUMIF('caseload data'!$C:$C,'divisional &amp; regional caseload%'!$T$71,'caseload data'!I:I),"")</f>
        <v/>
      </c>
      <c r="Z75" s="175" t="str">
        <f>IFERROR(SUMIFS('caseload data'!J:J,'caseload data'!$C:$C,'divisional &amp; regional caseload%'!$T$71,'caseload data'!$D:$D,"TPO")/SUMIF('caseload data'!$C:$C,'divisional &amp; regional caseload%'!$T$71,'caseload data'!J:J),"")</f>
        <v/>
      </c>
      <c r="AA75" s="175" t="str">
        <f>IFERROR(SUMIFS('caseload data'!K:K,'caseload data'!$C:$C,'divisional &amp; regional caseload%'!$T$71,'caseload data'!$D:$D,"TPO")/SUMIF('caseload data'!$C:$C,'divisional &amp; regional caseload%'!$T$71,'caseload data'!K:K),"")</f>
        <v/>
      </c>
      <c r="AB75" s="175" t="str">
        <f>IFERROR(SUMIFS('caseload data'!L:L,'caseload data'!$C:$C,'divisional &amp; regional caseload%'!$T$71,'caseload data'!$D:$D,"TPO")/SUMIF('caseload data'!$C:$C,'divisional &amp; regional caseload%'!$T$71,'caseload data'!L:L),"")</f>
        <v/>
      </c>
      <c r="AC75" s="175" t="str">
        <f>IFERROR(SUMIFS('caseload data'!M:M,'caseload data'!$C:$C,'divisional &amp; regional caseload%'!$T$71,'caseload data'!$D:$D,"TPO")/SUMIF('caseload data'!$C:$C,'divisional &amp; regional caseload%'!$T$71,'caseload data'!M:M),"")</f>
        <v/>
      </c>
      <c r="AD75" s="175" t="str">
        <f>IFERROR(SUMIFS('caseload data'!N:N,'caseload data'!$C:$C,'divisional &amp; regional caseload%'!$T$71,'caseload data'!$D:$D,"TPO")/SUMIF('caseload data'!$C:$C,'divisional &amp; regional caseload%'!$T$71,'caseload data'!N:N),"")</f>
        <v/>
      </c>
      <c r="AE75" s="175" t="str">
        <f>IFERROR(SUMIFS('caseload data'!O:O,'caseload data'!$C:$C,'divisional &amp; regional caseload%'!$T$71,'caseload data'!$D:$D,"TPO")/SUMIF('caseload data'!$C:$C,'divisional &amp; regional caseload%'!$T$71,'caseload data'!O:O),"")</f>
        <v/>
      </c>
      <c r="AF75" s="175" t="str">
        <f>IFERROR(SUMIFS('caseload data'!P:P,'caseload data'!$C:$C,'divisional &amp; regional caseload%'!$T$71,'caseload data'!$D:$D,"TPO")/SUMIF('caseload data'!$C:$C,'divisional &amp; regional caseload%'!$T$71,'caseload data'!P:P),"")</f>
        <v/>
      </c>
      <c r="AG75" s="175" t="str">
        <f>IFERROR(SUMIFS('caseload data'!Q:Q,'caseload data'!$C:$C,'divisional &amp; regional caseload%'!$T$71,'caseload data'!$D:$D,"TPO")/SUMIF('caseload data'!$C:$C,'divisional &amp; regional caseload%'!$T$71,'caseload data'!Q:Q),"")</f>
        <v/>
      </c>
      <c r="AH75" s="175" t="str">
        <f>IFERROR(SUMIFS('caseload data'!R:R,'caseload data'!$C:$C,'divisional &amp; regional caseload%'!$T$71,'caseload data'!$D:$D,"TPO")/SUMIF('caseload data'!$C:$C,'divisional &amp; regional caseload%'!$T$71,'caseload data'!R:R),"")</f>
        <v/>
      </c>
      <c r="AI75" s="175" t="str">
        <f>IFERROR(SUMIFS('caseload data'!S:S,'caseload data'!$C:$C,'divisional &amp; regional caseload%'!$T$71,'caseload data'!$D:$D,"TPO")/SUMIF('caseload data'!$C:$C,'divisional &amp; regional caseload%'!$T$71,'caseload data'!S:S),"")</f>
        <v/>
      </c>
      <c r="AJ75" s="175" t="str">
        <f>IFERROR(SUMIFS('caseload data'!T:T,'caseload data'!$C:$C,'divisional &amp; regional caseload%'!$T$71,'caseload data'!$D:$D,"TPO")/SUMIF('caseload data'!$C:$C,'divisional &amp; regional caseload%'!$T$71,'caseload data'!T:T),"")</f>
        <v/>
      </c>
    </row>
    <row r="76" spans="2:36" x14ac:dyDescent="0.15">
      <c r="B76" s="102" t="s">
        <v>1174</v>
      </c>
      <c r="C76" s="175" t="str">
        <f>IFERROR(SUMIFS('caseload data'!E:E,'caseload data'!$C:$C,'divisional &amp; regional caseload%'!$B$71,'caseload data'!$D:$D,"SPO")/SUMIF('caseload data'!$C:$C,'divisional &amp; regional caseload%'!$B$71,'caseload data'!E:E),"")</f>
        <v/>
      </c>
      <c r="D76" s="175" t="str">
        <f>IFERROR(SUMIFS('caseload data'!F:F,'caseload data'!$C:$C,'divisional &amp; regional caseload%'!$B$71,'caseload data'!$D:$D,"SPO")/SUMIF('caseload data'!$C:$C,'divisional &amp; regional caseload%'!$B$71,'caseload data'!F:F),"")</f>
        <v/>
      </c>
      <c r="E76" s="175" t="str">
        <f>IFERROR(SUMIFS('caseload data'!G:G,'caseload data'!$C:$C,'divisional &amp; regional caseload%'!$B$71,'caseload data'!$D:$D,"SPO")/SUMIF('caseload data'!$C:$C,'divisional &amp; regional caseload%'!$B$71,'caseload data'!G:G),"")</f>
        <v/>
      </c>
      <c r="F76" s="175" t="str">
        <f>IFERROR(SUMIFS('caseload data'!H:H,'caseload data'!$C:$C,'divisional &amp; regional caseload%'!$B$71,'caseload data'!$D:$D,"SPO")/SUMIF('caseload data'!$C:$C,'divisional &amp; regional caseload%'!$B$71,'caseload data'!H:H),"")</f>
        <v/>
      </c>
      <c r="G76" s="175" t="str">
        <f>IFERROR(SUMIFS('caseload data'!I:I,'caseload data'!$C:$C,'divisional &amp; regional caseload%'!$B$71,'caseload data'!$D:$D,"SPO")/SUMIF('caseload data'!$C:$C,'divisional &amp; regional caseload%'!$B$71,'caseload data'!I:I),"")</f>
        <v/>
      </c>
      <c r="H76" s="175" t="str">
        <f>IFERROR(SUMIFS('caseload data'!J:J,'caseload data'!$C:$C,'divisional &amp; regional caseload%'!$B$71,'caseload data'!$D:$D,"SPO")/SUMIF('caseload data'!$C:$C,'divisional &amp; regional caseload%'!$B$71,'caseload data'!J:J),"")</f>
        <v/>
      </c>
      <c r="I76" s="175" t="str">
        <f>IFERROR(SUMIFS('caseload data'!K:K,'caseload data'!$C:$C,'divisional &amp; regional caseload%'!$B$71,'caseload data'!$D:$D,"SPO")/SUMIF('caseload data'!$C:$C,'divisional &amp; regional caseload%'!$B$71,'caseload data'!K:K),"")</f>
        <v/>
      </c>
      <c r="J76" s="175" t="str">
        <f>IFERROR(SUMIFS('caseload data'!L:L,'caseload data'!$C:$C,'divisional &amp; regional caseload%'!$B$71,'caseload data'!$D:$D,"SPO")/SUMIF('caseload data'!$C:$C,'divisional &amp; regional caseload%'!$B$71,'caseload data'!L:L),"")</f>
        <v/>
      </c>
      <c r="K76" s="175" t="str">
        <f>IFERROR(SUMIFS('caseload data'!M:M,'caseload data'!$C:$C,'divisional &amp; regional caseload%'!$B$71,'caseload data'!$D:$D,"SPO")/SUMIF('caseload data'!$C:$C,'divisional &amp; regional caseload%'!$B$71,'caseload data'!M:M),"")</f>
        <v/>
      </c>
      <c r="L76" s="175" t="str">
        <f>IFERROR(SUMIFS('caseload data'!N:N,'caseload data'!$C:$C,'divisional &amp; regional caseload%'!$B$71,'caseload data'!$D:$D,"SPO")/SUMIF('caseload data'!$C:$C,'divisional &amp; regional caseload%'!$B$71,'caseload data'!N:N),"")</f>
        <v/>
      </c>
      <c r="M76" s="175" t="str">
        <f>IFERROR(SUMIFS('caseload data'!O:O,'caseload data'!$C:$C,'divisional &amp; regional caseload%'!$B$71,'caseload data'!$D:$D,"SPO")/SUMIF('caseload data'!$C:$C,'divisional &amp; regional caseload%'!$B$71,'caseload data'!O:O),"")</f>
        <v/>
      </c>
      <c r="N76" s="175" t="str">
        <f>IFERROR(SUMIFS('caseload data'!P:P,'caseload data'!$C:$C,'divisional &amp; regional caseload%'!$B$71,'caseload data'!$D:$D,"SPO")/SUMIF('caseload data'!$C:$C,'divisional &amp; regional caseload%'!$B$71,'caseload data'!P:P),"")</f>
        <v/>
      </c>
      <c r="O76" s="175" t="str">
        <f>IFERROR(SUMIFS('caseload data'!Q:Q,'caseload data'!$C:$C,'divisional &amp; regional caseload%'!$B$71,'caseload data'!$D:$D,"SPO")/SUMIF('caseload data'!$C:$C,'divisional &amp; regional caseload%'!$B$71,'caseload data'!Q:Q),"")</f>
        <v/>
      </c>
      <c r="P76" s="175" t="str">
        <f>IFERROR(SUMIFS('caseload data'!R:R,'caseload data'!$C:$C,'divisional &amp; regional caseload%'!$B$71,'caseload data'!$D:$D,"SPO")/SUMIF('caseload data'!$C:$C,'divisional &amp; regional caseload%'!$B$71,'caseload data'!R:R),"")</f>
        <v/>
      </c>
      <c r="Q76" s="175" t="str">
        <f>IFERROR(SUMIFS('caseload data'!S:S,'caseload data'!$C:$C,'divisional &amp; regional caseload%'!$B$71,'caseload data'!$D:$D,"SPO")/SUMIF('caseload data'!$C:$C,'divisional &amp; regional caseload%'!$B$71,'caseload data'!S:S),"")</f>
        <v/>
      </c>
      <c r="R76" s="175" t="str">
        <f>IFERROR(SUMIFS('caseload data'!T:T,'caseload data'!$C:$C,'divisional &amp; regional caseload%'!$B$71,'caseload data'!$D:$D,"SPO")/SUMIF('caseload data'!$C:$C,'divisional &amp; regional caseload%'!$B$71,'caseload data'!T:T),"")</f>
        <v/>
      </c>
      <c r="T76" s="102" t="s">
        <v>1174</v>
      </c>
      <c r="U76" s="175" t="str">
        <f>IFERROR(SUMIFS('caseload data'!E:E,'caseload data'!$C:$C,'divisional &amp; regional caseload%'!$T$71,'caseload data'!$D:$D,"SPO")/SUMIF('caseload data'!$C:$C,'divisional &amp; regional caseload%'!$T$71,'caseload data'!E:E),"")</f>
        <v/>
      </c>
      <c r="V76" s="175" t="str">
        <f>IFERROR(SUMIFS('caseload data'!F:F,'caseload data'!$C:$C,'divisional &amp; regional caseload%'!$T$71,'caseload data'!$D:$D,"SPO")/SUMIF('caseload data'!$C:$C,'divisional &amp; regional caseload%'!$T$71,'caseload data'!F:F),"")</f>
        <v/>
      </c>
      <c r="W76" s="175" t="str">
        <f>IFERROR(SUMIFS('caseload data'!G:G,'caseload data'!$C:$C,'divisional &amp; regional caseload%'!$T$71,'caseload data'!$D:$D,"SPO")/SUMIF('caseload data'!$C:$C,'divisional &amp; regional caseload%'!$T$71,'caseload data'!G:G),"")</f>
        <v/>
      </c>
      <c r="X76" s="175" t="str">
        <f>IFERROR(SUMIFS('caseload data'!H:H,'caseload data'!$C:$C,'divisional &amp; regional caseload%'!$T$71,'caseload data'!$D:$D,"SPO")/SUMIF('caseload data'!$C:$C,'divisional &amp; regional caseload%'!$T$71,'caseload data'!H:H),"")</f>
        <v/>
      </c>
      <c r="Y76" s="175" t="str">
        <f>IFERROR(SUMIFS('caseload data'!I:I,'caseload data'!$C:$C,'divisional &amp; regional caseload%'!$T$71,'caseload data'!$D:$D,"SPO")/SUMIF('caseload data'!$C:$C,'divisional &amp; regional caseload%'!$T$71,'caseload data'!I:I),"")</f>
        <v/>
      </c>
      <c r="Z76" s="175" t="str">
        <f>IFERROR(SUMIFS('caseload data'!J:J,'caseload data'!$C:$C,'divisional &amp; regional caseload%'!$T$71,'caseload data'!$D:$D,"SPO")/SUMIF('caseload data'!$C:$C,'divisional &amp; regional caseload%'!$T$71,'caseload data'!J:J),"")</f>
        <v/>
      </c>
      <c r="AA76" s="175" t="str">
        <f>IFERROR(SUMIFS('caseload data'!K:K,'caseload data'!$C:$C,'divisional &amp; regional caseload%'!$T$71,'caseload data'!$D:$D,"SPO")/SUMIF('caseload data'!$C:$C,'divisional &amp; regional caseload%'!$T$71,'caseload data'!K:K),"")</f>
        <v/>
      </c>
      <c r="AB76" s="175" t="str">
        <f>IFERROR(SUMIFS('caseload data'!L:L,'caseload data'!$C:$C,'divisional &amp; regional caseload%'!$T$71,'caseload data'!$D:$D,"SPO")/SUMIF('caseload data'!$C:$C,'divisional &amp; regional caseload%'!$T$71,'caseload data'!L:L),"")</f>
        <v/>
      </c>
      <c r="AC76" s="175" t="str">
        <f>IFERROR(SUMIFS('caseload data'!M:M,'caseload data'!$C:$C,'divisional &amp; regional caseload%'!$T$71,'caseload data'!$D:$D,"SPO")/SUMIF('caseload data'!$C:$C,'divisional &amp; regional caseload%'!$T$71,'caseload data'!M:M),"")</f>
        <v/>
      </c>
      <c r="AD76" s="175" t="str">
        <f>IFERROR(SUMIFS('caseload data'!N:N,'caseload data'!$C:$C,'divisional &amp; regional caseload%'!$T$71,'caseload data'!$D:$D,"SPO")/SUMIF('caseload data'!$C:$C,'divisional &amp; regional caseload%'!$T$71,'caseload data'!N:N),"")</f>
        <v/>
      </c>
      <c r="AE76" s="175" t="str">
        <f>IFERROR(SUMIFS('caseload data'!O:O,'caseload data'!$C:$C,'divisional &amp; regional caseload%'!$T$71,'caseload data'!$D:$D,"SPO")/SUMIF('caseload data'!$C:$C,'divisional &amp; regional caseload%'!$T$71,'caseload data'!O:O),"")</f>
        <v/>
      </c>
      <c r="AF76" s="175" t="str">
        <f>IFERROR(SUMIFS('caseload data'!P:P,'caseload data'!$C:$C,'divisional &amp; regional caseload%'!$T$71,'caseload data'!$D:$D,"SPO")/SUMIF('caseload data'!$C:$C,'divisional &amp; regional caseload%'!$T$71,'caseload data'!P:P),"")</f>
        <v/>
      </c>
      <c r="AG76" s="175" t="str">
        <f>IFERROR(SUMIFS('caseload data'!Q:Q,'caseload data'!$C:$C,'divisional &amp; regional caseload%'!$T$71,'caseload data'!$D:$D,"SPO")/SUMIF('caseload data'!$C:$C,'divisional &amp; regional caseload%'!$T$71,'caseload data'!Q:Q),"")</f>
        <v/>
      </c>
      <c r="AH76" s="175" t="str">
        <f>IFERROR(SUMIFS('caseload data'!R:R,'caseload data'!$C:$C,'divisional &amp; regional caseload%'!$T$71,'caseload data'!$D:$D,"SPO")/SUMIF('caseload data'!$C:$C,'divisional &amp; regional caseload%'!$T$71,'caseload data'!R:R),"")</f>
        <v/>
      </c>
      <c r="AI76" s="175" t="str">
        <f>IFERROR(SUMIFS('caseload data'!S:S,'caseload data'!$C:$C,'divisional &amp; regional caseload%'!$T$71,'caseload data'!$D:$D,"SPO")/SUMIF('caseload data'!$C:$C,'divisional &amp; regional caseload%'!$T$71,'caseload data'!S:S),"")</f>
        <v/>
      </c>
      <c r="AJ76" s="175" t="str">
        <f>IFERROR(SUMIFS('caseload data'!T:T,'caseload data'!$C:$C,'divisional &amp; regional caseload%'!$T$71,'caseload data'!$D:$D,"SPO")/SUMIF('caseload data'!$C:$C,'divisional &amp; regional caseload%'!$T$71,'caseload data'!T:T),"")</f>
        <v/>
      </c>
    </row>
    <row r="78" spans="2:36" ht="24" customHeight="1" x14ac:dyDescent="0.15">
      <c r="B78" s="302">
        <f>HLOOKUP($B$5,Region_Table,22,0)</f>
        <v>0</v>
      </c>
      <c r="C78" s="475" t="s">
        <v>1275</v>
      </c>
      <c r="D78" s="476"/>
      <c r="E78" s="476"/>
      <c r="F78" s="476"/>
      <c r="G78" s="476"/>
      <c r="H78" s="476"/>
      <c r="I78" s="476"/>
      <c r="J78" s="476"/>
      <c r="K78" s="476"/>
      <c r="L78" s="476"/>
      <c r="M78" s="477"/>
      <c r="N78" s="477"/>
      <c r="O78" s="478"/>
      <c r="P78" s="462">
        <f>SUMIF('caseload data'!$C:$C,'divisional &amp; regional caseload%'!B78,'caseload data'!V:V)</f>
        <v>0</v>
      </c>
      <c r="Q78" s="479"/>
      <c r="R78" s="480"/>
      <c r="T78" s="302">
        <f>HLOOKUP($B$5,Region_Table,23,0)</f>
        <v>0</v>
      </c>
      <c r="U78" s="475" t="s">
        <v>1275</v>
      </c>
      <c r="V78" s="476"/>
      <c r="W78" s="476"/>
      <c r="X78" s="476"/>
      <c r="Y78" s="476"/>
      <c r="Z78" s="476"/>
      <c r="AA78" s="476"/>
      <c r="AB78" s="476"/>
      <c r="AC78" s="476"/>
      <c r="AD78" s="476"/>
      <c r="AE78" s="477"/>
      <c r="AF78" s="477"/>
      <c r="AG78" s="478"/>
      <c r="AH78" s="462">
        <f>SUMIF('caseload data'!$C:$C,'divisional &amp; regional caseload%'!T78,'caseload data'!V:V)</f>
        <v>0</v>
      </c>
      <c r="AI78" s="479"/>
      <c r="AJ78" s="480"/>
    </row>
    <row r="79" spans="2:36" x14ac:dyDescent="0.15">
      <c r="B79" s="99" t="s">
        <v>1171</v>
      </c>
      <c r="C79" s="40" t="s">
        <v>1022</v>
      </c>
      <c r="D79" s="40" t="s">
        <v>1023</v>
      </c>
      <c r="E79" s="40" t="s">
        <v>1024</v>
      </c>
      <c r="F79" s="40" t="s">
        <v>1025</v>
      </c>
      <c r="G79" s="40" t="s">
        <v>1026</v>
      </c>
      <c r="H79" s="40" t="s">
        <v>1027</v>
      </c>
      <c r="I79" s="40" t="s">
        <v>1028</v>
      </c>
      <c r="J79" s="40" t="s">
        <v>1029</v>
      </c>
      <c r="K79" s="40" t="s">
        <v>1030</v>
      </c>
      <c r="L79" s="40" t="s">
        <v>1031</v>
      </c>
      <c r="M79" s="40" t="s">
        <v>1032</v>
      </c>
      <c r="N79" s="40" t="s">
        <v>1033</v>
      </c>
      <c r="O79" s="40" t="s">
        <v>1034</v>
      </c>
      <c r="P79" s="40" t="s">
        <v>1035</v>
      </c>
      <c r="Q79" s="40" t="s">
        <v>1036</v>
      </c>
      <c r="R79" s="40" t="s">
        <v>1037</v>
      </c>
      <c r="T79" s="99" t="s">
        <v>1171</v>
      </c>
      <c r="U79" s="40" t="s">
        <v>1022</v>
      </c>
      <c r="V79" s="40" t="s">
        <v>1023</v>
      </c>
      <c r="W79" s="40" t="s">
        <v>1024</v>
      </c>
      <c r="X79" s="40" t="s">
        <v>1025</v>
      </c>
      <c r="Y79" s="40" t="s">
        <v>1026</v>
      </c>
      <c r="Z79" s="40" t="s">
        <v>1027</v>
      </c>
      <c r="AA79" s="40" t="s">
        <v>1028</v>
      </c>
      <c r="AB79" s="40" t="s">
        <v>1029</v>
      </c>
      <c r="AC79" s="40" t="s">
        <v>1030</v>
      </c>
      <c r="AD79" s="40" t="s">
        <v>1031</v>
      </c>
      <c r="AE79" s="40" t="s">
        <v>1032</v>
      </c>
      <c r="AF79" s="40" t="s">
        <v>1033</v>
      </c>
      <c r="AG79" s="40" t="s">
        <v>1034</v>
      </c>
      <c r="AH79" s="40" t="s">
        <v>1035</v>
      </c>
      <c r="AI79" s="40" t="s">
        <v>1036</v>
      </c>
      <c r="AJ79" s="40" t="s">
        <v>1037</v>
      </c>
    </row>
    <row r="80" spans="2:36" x14ac:dyDescent="0.15">
      <c r="B80" s="100" t="s">
        <v>1166</v>
      </c>
      <c r="C80" s="175" t="str">
        <f>IFERROR(SUMIFS('caseload data'!E:E,'caseload data'!$C:$C,'divisional &amp; regional caseload%'!$B$78,'caseload data'!$D:$D,"PO")/SUMIF('caseload data'!$C:$C,'divisional &amp; regional caseload%'!$B$78,'caseload data'!E:E),"")</f>
        <v/>
      </c>
      <c r="D80" s="175" t="str">
        <f>IFERROR(SUMIFS('caseload data'!F:F,'caseload data'!$C:$C,'divisional &amp; regional caseload%'!$B$78,'caseload data'!$D:$D,"PO")/SUMIF('caseload data'!$C:$C,'divisional &amp; regional caseload%'!$B$78,'caseload data'!F:F),"")</f>
        <v/>
      </c>
      <c r="E80" s="175" t="str">
        <f>IFERROR(SUMIFS('caseload data'!G:G,'caseload data'!$C:$C,'divisional &amp; regional caseload%'!$B$78,'caseload data'!$D:$D,"PO")/SUMIF('caseload data'!$C:$C,'divisional &amp; regional caseload%'!$B$78,'caseload data'!G:G),"")</f>
        <v/>
      </c>
      <c r="F80" s="175" t="str">
        <f>IFERROR(SUMIFS('caseload data'!H:H,'caseload data'!$C:$C,'divisional &amp; regional caseload%'!$B$78,'caseload data'!$D:$D,"PO")/SUMIF('caseload data'!$C:$C,'divisional &amp; regional caseload%'!$B$78,'caseload data'!H:H),"")</f>
        <v/>
      </c>
      <c r="G80" s="175" t="str">
        <f>IFERROR(SUMIFS('caseload data'!I:I,'caseload data'!$C:$C,'divisional &amp; regional caseload%'!$B$78,'caseload data'!$D:$D,"PO")/SUMIF('caseload data'!$C:$C,'divisional &amp; regional caseload%'!$B$78,'caseload data'!I:I),"")</f>
        <v/>
      </c>
      <c r="H80" s="175" t="str">
        <f>IFERROR(SUMIFS('caseload data'!J:J,'caseload data'!$C:$C,'divisional &amp; regional caseload%'!$B$78,'caseload data'!$D:$D,"PO")/SUMIF('caseload data'!$C:$C,'divisional &amp; regional caseload%'!$B$78,'caseload data'!J:J),"")</f>
        <v/>
      </c>
      <c r="I80" s="175" t="str">
        <f>IFERROR(SUMIFS('caseload data'!K:K,'caseload data'!$C:$C,'divisional &amp; regional caseload%'!$B$78,'caseload data'!$D:$D,"PO")/SUMIF('caseload data'!$C:$C,'divisional &amp; regional caseload%'!$B$78,'caseload data'!K:K),"")</f>
        <v/>
      </c>
      <c r="J80" s="175" t="str">
        <f>IFERROR(SUMIFS('caseload data'!L:L,'caseload data'!$C:$C,'divisional &amp; regional caseload%'!$B$78,'caseload data'!$D:$D,"PO")/SUMIF('caseload data'!$C:$C,'divisional &amp; regional caseload%'!$B$78,'caseload data'!L:L),"")</f>
        <v/>
      </c>
      <c r="K80" s="175" t="str">
        <f>IFERROR(SUMIFS('caseload data'!M:M,'caseload data'!$C:$C,'divisional &amp; regional caseload%'!$B$78,'caseload data'!$D:$D,"PO")/SUMIF('caseload data'!$C:$C,'divisional &amp; regional caseload%'!$B$78,'caseload data'!M:M),"")</f>
        <v/>
      </c>
      <c r="L80" s="175" t="str">
        <f>IFERROR(SUMIFS('caseload data'!N:N,'caseload data'!$C:$C,'divisional &amp; regional caseload%'!$B$78,'caseload data'!$D:$D,"PO")/SUMIF('caseload data'!$C:$C,'divisional &amp; regional caseload%'!$B$78,'caseload data'!N:N),"")</f>
        <v/>
      </c>
      <c r="M80" s="175" t="str">
        <f>IFERROR(SUMIFS('caseload data'!O:O,'caseload data'!$C:$C,'divisional &amp; regional caseload%'!$B$78,'caseload data'!$D:$D,"PO")/SUMIF('caseload data'!$C:$C,'divisional &amp; regional caseload%'!$B$78,'caseload data'!O:O),"")</f>
        <v/>
      </c>
      <c r="N80" s="175" t="str">
        <f>IFERROR(SUMIFS('caseload data'!P:P,'caseload data'!$C:$C,'divisional &amp; regional caseload%'!$B$78,'caseload data'!$D:$D,"PO")/SUMIF('caseload data'!$C:$C,'divisional &amp; regional caseload%'!$B$78,'caseload data'!P:P),"")</f>
        <v/>
      </c>
      <c r="O80" s="175" t="str">
        <f>IFERROR(SUMIFS('caseload data'!Q:Q,'caseload data'!$C:$C,'divisional &amp; regional caseload%'!$B$78,'caseload data'!$D:$D,"PO")/SUMIF('caseload data'!$C:$C,'divisional &amp; regional caseload%'!$B$78,'caseload data'!Q:Q),"")</f>
        <v/>
      </c>
      <c r="P80" s="175" t="str">
        <f>IFERROR(SUMIFS('caseload data'!R:R,'caseload data'!$C:$C,'divisional &amp; regional caseload%'!$B$78,'caseload data'!$D:$D,"PO")/SUMIF('caseload data'!$C:$C,'divisional &amp; regional caseload%'!$B$78,'caseload data'!R:R),"")</f>
        <v/>
      </c>
      <c r="Q80" s="175" t="str">
        <f>IFERROR(SUMIFS('caseload data'!S:S,'caseload data'!$C:$C,'divisional &amp; regional caseload%'!$B$78,'caseload data'!$D:$D,"PO")/SUMIF('caseload data'!$C:$C,'divisional &amp; regional caseload%'!$B$78,'caseload data'!S:S),"")</f>
        <v/>
      </c>
      <c r="R80" s="175" t="str">
        <f>IFERROR(SUMIFS('caseload data'!T:T,'caseload data'!$C:$C,'divisional &amp; regional caseload%'!$B$78,'caseload data'!$D:$D,"PO")/SUMIF('caseload data'!$C:$C,'divisional &amp; regional caseload%'!$B$78,'caseload data'!T:T),"")</f>
        <v/>
      </c>
      <c r="T80" s="100" t="s">
        <v>1166</v>
      </c>
      <c r="U80" s="175" t="str">
        <f>IFERROR(SUMIFS('caseload data'!E:E,'caseload data'!$C:$C,'divisional &amp; regional caseload%'!$T$78,'caseload data'!$D:$D,"PO")/SUMIF('caseload data'!$C:$C,'divisional &amp; regional caseload%'!$T$78,'caseload data'!E:E),"")</f>
        <v/>
      </c>
      <c r="V80" s="175" t="str">
        <f>IFERROR(SUMIFS('caseload data'!F:F,'caseload data'!$C:$C,'divisional &amp; regional caseload%'!$T$78,'caseload data'!$D:$D,"PO")/SUMIF('caseload data'!$C:$C,'divisional &amp; regional caseload%'!$T$78,'caseload data'!F:F),"")</f>
        <v/>
      </c>
      <c r="W80" s="175" t="str">
        <f>IFERROR(SUMIFS('caseload data'!G:G,'caseload data'!$C:$C,'divisional &amp; regional caseload%'!$T$78,'caseload data'!$D:$D,"PO")/SUMIF('caseload data'!$C:$C,'divisional &amp; regional caseload%'!$T$78,'caseload data'!G:G),"")</f>
        <v/>
      </c>
      <c r="X80" s="175" t="str">
        <f>IFERROR(SUMIFS('caseload data'!H:H,'caseload data'!$C:$C,'divisional &amp; regional caseload%'!$T$78,'caseload data'!$D:$D,"PO")/SUMIF('caseload data'!$C:$C,'divisional &amp; regional caseload%'!$T$78,'caseload data'!H:H),"")</f>
        <v/>
      </c>
      <c r="Y80" s="175" t="str">
        <f>IFERROR(SUMIFS('caseload data'!I:I,'caseload data'!$C:$C,'divisional &amp; regional caseload%'!$T$78,'caseload data'!$D:$D,"PO")/SUMIF('caseload data'!$C:$C,'divisional &amp; regional caseload%'!$T$78,'caseload data'!I:I),"")</f>
        <v/>
      </c>
      <c r="Z80" s="175" t="str">
        <f>IFERROR(SUMIFS('caseload data'!J:J,'caseload data'!$C:$C,'divisional &amp; regional caseload%'!$T$78,'caseload data'!$D:$D,"PO")/SUMIF('caseload data'!$C:$C,'divisional &amp; regional caseload%'!$T$78,'caseload data'!J:J),"")</f>
        <v/>
      </c>
      <c r="AA80" s="175" t="str">
        <f>IFERROR(SUMIFS('caseload data'!K:K,'caseload data'!$C:$C,'divisional &amp; regional caseload%'!$T$78,'caseload data'!$D:$D,"PO")/SUMIF('caseload data'!$C:$C,'divisional &amp; regional caseload%'!$T$78,'caseload data'!K:K),"")</f>
        <v/>
      </c>
      <c r="AB80" s="175" t="str">
        <f>IFERROR(SUMIFS('caseload data'!L:L,'caseload data'!$C:$C,'divisional &amp; regional caseload%'!$T$78,'caseload data'!$D:$D,"PO")/SUMIF('caseload data'!$C:$C,'divisional &amp; regional caseload%'!$T$78,'caseload data'!L:L),"")</f>
        <v/>
      </c>
      <c r="AC80" s="175" t="str">
        <f>IFERROR(SUMIFS('caseload data'!M:M,'caseload data'!$C:$C,'divisional &amp; regional caseload%'!$T$78,'caseload data'!$D:$D,"PO")/SUMIF('caseload data'!$C:$C,'divisional &amp; regional caseload%'!$T$78,'caseload data'!M:M),"")</f>
        <v/>
      </c>
      <c r="AD80" s="175" t="str">
        <f>IFERROR(SUMIFS('caseload data'!N:N,'caseload data'!$C:$C,'divisional &amp; regional caseload%'!$T$78,'caseload data'!$D:$D,"PO")/SUMIF('caseload data'!$C:$C,'divisional &amp; regional caseload%'!$T$78,'caseload data'!N:N),"")</f>
        <v/>
      </c>
      <c r="AE80" s="175" t="str">
        <f>IFERROR(SUMIFS('caseload data'!O:O,'caseload data'!$C:$C,'divisional &amp; regional caseload%'!$T$78,'caseload data'!$D:$D,"PO")/SUMIF('caseload data'!$C:$C,'divisional &amp; regional caseload%'!$T$78,'caseload data'!O:O),"")</f>
        <v/>
      </c>
      <c r="AF80" s="175" t="str">
        <f>IFERROR(SUMIFS('caseload data'!P:P,'caseload data'!$C:$C,'divisional &amp; regional caseload%'!$T$78,'caseload data'!$D:$D,"PO")/SUMIF('caseload data'!$C:$C,'divisional &amp; regional caseload%'!$T$78,'caseload data'!P:P),"")</f>
        <v/>
      </c>
      <c r="AG80" s="175" t="str">
        <f>IFERROR(SUMIFS('caseload data'!Q:Q,'caseload data'!$C:$C,'divisional &amp; regional caseload%'!$T$78,'caseload data'!$D:$D,"PO")/SUMIF('caseload data'!$C:$C,'divisional &amp; regional caseload%'!$T$78,'caseload data'!Q:Q),"")</f>
        <v/>
      </c>
      <c r="AH80" s="175" t="str">
        <f>IFERROR(SUMIFS('caseload data'!R:R,'caseload data'!$C:$C,'divisional &amp; regional caseload%'!$T$78,'caseload data'!$D:$D,"PO")/SUMIF('caseload data'!$C:$C,'divisional &amp; regional caseload%'!$T$78,'caseload data'!R:R),"")</f>
        <v/>
      </c>
      <c r="AI80" s="175" t="str">
        <f>IFERROR(SUMIFS('caseload data'!S:S,'caseload data'!$C:$C,'divisional &amp; regional caseload%'!$T$78,'caseload data'!$D:$D,"PO")/SUMIF('caseload data'!$C:$C,'divisional &amp; regional caseload%'!$T$78,'caseload data'!S:S),"")</f>
        <v/>
      </c>
      <c r="AJ80" s="175" t="str">
        <f>IFERROR(SUMIFS('caseload data'!T:T,'caseload data'!$C:$C,'divisional &amp; regional caseload%'!$T$78,'caseload data'!$D:$D,"PO")/SUMIF('caseload data'!$C:$C,'divisional &amp; regional caseload%'!$T$78,'caseload data'!T:T),"")</f>
        <v/>
      </c>
    </row>
    <row r="81" spans="2:36" x14ac:dyDescent="0.15">
      <c r="B81" s="101" t="s">
        <v>1172</v>
      </c>
      <c r="C81" s="175" t="str">
        <f>IFERROR(SUMIFS('caseload data'!E:E,'caseload data'!$C:$C,'divisional &amp; regional caseload%'!$B$78,'caseload data'!$D:$D,"PSO")/SUMIF('caseload data'!$C:$C,'divisional &amp; regional caseload%'!$B$78,'caseload data'!E:E),"")</f>
        <v/>
      </c>
      <c r="D81" s="175" t="str">
        <f>IFERROR(SUMIFS('caseload data'!F:F,'caseload data'!$C:$C,'divisional &amp; regional caseload%'!$B$78,'caseload data'!$D:$D,"PSO")/SUMIF('caseload data'!$C:$C,'divisional &amp; regional caseload%'!$B$78,'caseload data'!F:F),"")</f>
        <v/>
      </c>
      <c r="E81" s="175" t="str">
        <f>IFERROR(SUMIFS('caseload data'!G:G,'caseload data'!$C:$C,'divisional &amp; regional caseload%'!$B$78,'caseload data'!$D:$D,"PSO")/SUMIF('caseload data'!$C:$C,'divisional &amp; regional caseload%'!$B$78,'caseload data'!G:G),"")</f>
        <v/>
      </c>
      <c r="F81" s="175" t="str">
        <f>IFERROR(SUMIFS('caseload data'!H:H,'caseload data'!$C:$C,'divisional &amp; regional caseload%'!$B$78,'caseload data'!$D:$D,"PSO")/SUMIF('caseload data'!$C:$C,'divisional &amp; regional caseload%'!$B$78,'caseload data'!H:H),"")</f>
        <v/>
      </c>
      <c r="G81" s="175" t="str">
        <f>IFERROR(SUMIFS('caseload data'!I:I,'caseload data'!$C:$C,'divisional &amp; regional caseload%'!$B$78,'caseload data'!$D:$D,"PSO")/SUMIF('caseload data'!$C:$C,'divisional &amp; regional caseload%'!$B$78,'caseload data'!I:I),"")</f>
        <v/>
      </c>
      <c r="H81" s="175" t="str">
        <f>IFERROR(SUMIFS('caseload data'!J:J,'caseload data'!$C:$C,'divisional &amp; regional caseload%'!$B$78,'caseload data'!$D:$D,"PSO")/SUMIF('caseload data'!$C:$C,'divisional &amp; regional caseload%'!$B$78,'caseload data'!J:J),"")</f>
        <v/>
      </c>
      <c r="I81" s="175" t="str">
        <f>IFERROR(SUMIFS('caseload data'!K:K,'caseload data'!$C:$C,'divisional &amp; regional caseload%'!$B$78,'caseload data'!$D:$D,"PSO")/SUMIF('caseload data'!$C:$C,'divisional &amp; regional caseload%'!$B$78,'caseload data'!K:K),"")</f>
        <v/>
      </c>
      <c r="J81" s="175" t="str">
        <f>IFERROR(SUMIFS('caseload data'!L:L,'caseload data'!$C:$C,'divisional &amp; regional caseload%'!$B$78,'caseload data'!$D:$D,"PSO")/SUMIF('caseload data'!$C:$C,'divisional &amp; regional caseload%'!$B$78,'caseload data'!L:L),"")</f>
        <v/>
      </c>
      <c r="K81" s="175" t="str">
        <f>IFERROR(SUMIFS('caseload data'!M:M,'caseload data'!$C:$C,'divisional &amp; regional caseload%'!$B$78,'caseload data'!$D:$D,"PSO")/SUMIF('caseload data'!$C:$C,'divisional &amp; regional caseload%'!$B$78,'caseload data'!M:M),"")</f>
        <v/>
      </c>
      <c r="L81" s="175" t="str">
        <f>IFERROR(SUMIFS('caseload data'!N:N,'caseload data'!$C:$C,'divisional &amp; regional caseload%'!$B$78,'caseload data'!$D:$D,"PSO")/SUMIF('caseload data'!$C:$C,'divisional &amp; regional caseload%'!$B$78,'caseload data'!N:N),"")</f>
        <v/>
      </c>
      <c r="M81" s="175" t="str">
        <f>IFERROR(SUMIFS('caseload data'!O:O,'caseload data'!$C:$C,'divisional &amp; regional caseload%'!$B$78,'caseload data'!$D:$D,"PSO")/SUMIF('caseload data'!$C:$C,'divisional &amp; regional caseload%'!$B$78,'caseload data'!O:O),"")</f>
        <v/>
      </c>
      <c r="N81" s="175" t="str">
        <f>IFERROR(SUMIFS('caseload data'!P:P,'caseload data'!$C:$C,'divisional &amp; regional caseload%'!$B$78,'caseload data'!$D:$D,"PSO")/SUMIF('caseload data'!$C:$C,'divisional &amp; regional caseload%'!$B$78,'caseload data'!P:P),"")</f>
        <v/>
      </c>
      <c r="O81" s="175" t="str">
        <f>IFERROR(SUMIFS('caseload data'!Q:Q,'caseload data'!$C:$C,'divisional &amp; regional caseload%'!$B$78,'caseload data'!$D:$D,"PSO")/SUMIF('caseload data'!$C:$C,'divisional &amp; regional caseload%'!$B$78,'caseload data'!Q:Q),"")</f>
        <v/>
      </c>
      <c r="P81" s="175" t="str">
        <f>IFERROR(SUMIFS('caseload data'!R:R,'caseload data'!$C:$C,'divisional &amp; regional caseload%'!$B$78,'caseload data'!$D:$D,"PSO")/SUMIF('caseload data'!$C:$C,'divisional &amp; regional caseload%'!$B$78,'caseload data'!R:R),"")</f>
        <v/>
      </c>
      <c r="Q81" s="175" t="str">
        <f>IFERROR(SUMIFS('caseload data'!S:S,'caseload data'!$C:$C,'divisional &amp; regional caseload%'!$B$78,'caseload data'!$D:$D,"PSO")/SUMIF('caseload data'!$C:$C,'divisional &amp; regional caseload%'!$B$78,'caseload data'!S:S),"")</f>
        <v/>
      </c>
      <c r="R81" s="175" t="str">
        <f>IFERROR(SUMIFS('caseload data'!T:T,'caseload data'!$C:$C,'divisional &amp; regional caseload%'!$B$78,'caseload data'!$D:$D,"PSO")/SUMIF('caseload data'!$C:$C,'divisional &amp; regional caseload%'!$B$78,'caseload data'!T:T),"")</f>
        <v/>
      </c>
      <c r="T81" s="101" t="s">
        <v>1172</v>
      </c>
      <c r="U81" s="175" t="str">
        <f>IFERROR(SUMIFS('caseload data'!E:E,'caseload data'!$C:$C,'divisional &amp; regional caseload%'!$T$78,'caseload data'!$D:$D,"PSO")/SUMIF('caseload data'!$C:$C,'divisional &amp; regional caseload%'!$T$78,'caseload data'!E:E),"")</f>
        <v/>
      </c>
      <c r="V81" s="175" t="str">
        <f>IFERROR(SUMIFS('caseload data'!F:F,'caseload data'!$C:$C,'divisional &amp; regional caseload%'!$T$78,'caseload data'!$D:$D,"PSO")/SUMIF('caseload data'!$C:$C,'divisional &amp; regional caseload%'!$T$78,'caseload data'!F:F),"")</f>
        <v/>
      </c>
      <c r="W81" s="175" t="str">
        <f>IFERROR(SUMIFS('caseload data'!G:G,'caseload data'!$C:$C,'divisional &amp; regional caseload%'!$T$78,'caseload data'!$D:$D,"PSO")/SUMIF('caseload data'!$C:$C,'divisional &amp; regional caseload%'!$T$78,'caseload data'!G:G),"")</f>
        <v/>
      </c>
      <c r="X81" s="175" t="str">
        <f>IFERROR(SUMIFS('caseload data'!H:H,'caseload data'!$C:$C,'divisional &amp; regional caseload%'!$T$78,'caseload data'!$D:$D,"PSO")/SUMIF('caseload data'!$C:$C,'divisional &amp; regional caseload%'!$T$78,'caseload data'!H:H),"")</f>
        <v/>
      </c>
      <c r="Y81" s="175" t="str">
        <f>IFERROR(SUMIFS('caseload data'!I:I,'caseload data'!$C:$C,'divisional &amp; regional caseload%'!$T$78,'caseload data'!$D:$D,"PSO")/SUMIF('caseload data'!$C:$C,'divisional &amp; regional caseload%'!$T$78,'caseload data'!I:I),"")</f>
        <v/>
      </c>
      <c r="Z81" s="175" t="str">
        <f>IFERROR(SUMIFS('caseload data'!J:J,'caseload data'!$C:$C,'divisional &amp; regional caseload%'!$T$78,'caseload data'!$D:$D,"PSO")/SUMIF('caseload data'!$C:$C,'divisional &amp; regional caseload%'!$T$78,'caseload data'!J:J),"")</f>
        <v/>
      </c>
      <c r="AA81" s="175" t="str">
        <f>IFERROR(SUMIFS('caseload data'!K:K,'caseload data'!$C:$C,'divisional &amp; regional caseload%'!$T$78,'caseload data'!$D:$D,"PSO")/SUMIF('caseload data'!$C:$C,'divisional &amp; regional caseload%'!$T$78,'caseload data'!K:K),"")</f>
        <v/>
      </c>
      <c r="AB81" s="175" t="str">
        <f>IFERROR(SUMIFS('caseload data'!L:L,'caseload data'!$C:$C,'divisional &amp; regional caseload%'!$T$78,'caseload data'!$D:$D,"PSO")/SUMIF('caseload data'!$C:$C,'divisional &amp; regional caseload%'!$T$78,'caseload data'!L:L),"")</f>
        <v/>
      </c>
      <c r="AC81" s="175" t="str">
        <f>IFERROR(SUMIFS('caseload data'!M:M,'caseload data'!$C:$C,'divisional &amp; regional caseload%'!$T$78,'caseload data'!$D:$D,"PSO")/SUMIF('caseload data'!$C:$C,'divisional &amp; regional caseload%'!$T$78,'caseload data'!M:M),"")</f>
        <v/>
      </c>
      <c r="AD81" s="175" t="str">
        <f>IFERROR(SUMIFS('caseload data'!N:N,'caseload data'!$C:$C,'divisional &amp; regional caseload%'!$T$78,'caseload data'!$D:$D,"PSO")/SUMIF('caseload data'!$C:$C,'divisional &amp; regional caseload%'!$T$78,'caseload data'!N:N),"")</f>
        <v/>
      </c>
      <c r="AE81" s="175" t="str">
        <f>IFERROR(SUMIFS('caseload data'!O:O,'caseload data'!$C:$C,'divisional &amp; regional caseload%'!$T$78,'caseload data'!$D:$D,"PSO")/SUMIF('caseload data'!$C:$C,'divisional &amp; regional caseload%'!$T$78,'caseload data'!O:O),"")</f>
        <v/>
      </c>
      <c r="AF81" s="175" t="str">
        <f>IFERROR(SUMIFS('caseload data'!P:P,'caseload data'!$C:$C,'divisional &amp; regional caseload%'!$T$78,'caseload data'!$D:$D,"PSO")/SUMIF('caseload data'!$C:$C,'divisional &amp; regional caseload%'!$T$78,'caseload data'!P:P),"")</f>
        <v/>
      </c>
      <c r="AG81" s="175" t="str">
        <f>IFERROR(SUMIFS('caseload data'!Q:Q,'caseload data'!$C:$C,'divisional &amp; regional caseload%'!$T$78,'caseload data'!$D:$D,"PSO")/SUMIF('caseload data'!$C:$C,'divisional &amp; regional caseload%'!$T$78,'caseload data'!Q:Q),"")</f>
        <v/>
      </c>
      <c r="AH81" s="175" t="str">
        <f>IFERROR(SUMIFS('caseload data'!R:R,'caseload data'!$C:$C,'divisional &amp; regional caseload%'!$T$78,'caseload data'!$D:$D,"PSO")/SUMIF('caseload data'!$C:$C,'divisional &amp; regional caseload%'!$T$78,'caseload data'!R:R),"")</f>
        <v/>
      </c>
      <c r="AI81" s="175" t="str">
        <f>IFERROR(SUMIFS('caseload data'!S:S,'caseload data'!$C:$C,'divisional &amp; regional caseload%'!$T$78,'caseload data'!$D:$D,"PSO")/SUMIF('caseload data'!$C:$C,'divisional &amp; regional caseload%'!$T$78,'caseload data'!S:S),"")</f>
        <v/>
      </c>
      <c r="AJ81" s="175" t="str">
        <f>IFERROR(SUMIFS('caseload data'!T:T,'caseload data'!$C:$C,'divisional &amp; regional caseload%'!$T$78,'caseload data'!$D:$D,"PSO")/SUMIF('caseload data'!$C:$C,'divisional &amp; regional caseload%'!$T$78,'caseload data'!T:T),"")</f>
        <v/>
      </c>
    </row>
    <row r="82" spans="2:36" x14ac:dyDescent="0.15">
      <c r="B82" s="101" t="s">
        <v>1173</v>
      </c>
      <c r="C82" s="175" t="str">
        <f>IFERROR(SUMIFS('caseload data'!E:E,'caseload data'!$C:$C,'divisional &amp; regional caseload%'!$B$78,'caseload data'!$D:$D,"TPO")/SUMIF('caseload data'!$C:$C,'divisional &amp; regional caseload%'!$B$78,'caseload data'!E:E),"")</f>
        <v/>
      </c>
      <c r="D82" s="175" t="str">
        <f>IFERROR(SUMIFS('caseload data'!F:F,'caseload data'!$C:$C,'divisional &amp; regional caseload%'!$B$78,'caseload data'!$D:$D,"TPO")/SUMIF('caseload data'!$C:$C,'divisional &amp; regional caseload%'!$B$78,'caseload data'!F:F),"")</f>
        <v/>
      </c>
      <c r="E82" s="175" t="str">
        <f>IFERROR(SUMIFS('caseload data'!G:G,'caseload data'!$C:$C,'divisional &amp; regional caseload%'!$B$78,'caseload data'!$D:$D,"TPO")/SUMIF('caseload data'!$C:$C,'divisional &amp; regional caseload%'!$B$78,'caseload data'!G:G),"")</f>
        <v/>
      </c>
      <c r="F82" s="175" t="str">
        <f>IFERROR(SUMIFS('caseload data'!H:H,'caseload data'!$C:$C,'divisional &amp; regional caseload%'!$B$78,'caseload data'!$D:$D,"TPO")/SUMIF('caseload data'!$C:$C,'divisional &amp; regional caseload%'!$B$78,'caseload data'!H:H),"")</f>
        <v/>
      </c>
      <c r="G82" s="175" t="str">
        <f>IFERROR(SUMIFS('caseload data'!I:I,'caseload data'!$C:$C,'divisional &amp; regional caseload%'!$B$78,'caseload data'!$D:$D,"TPO")/SUMIF('caseload data'!$C:$C,'divisional &amp; regional caseload%'!$B$78,'caseload data'!I:I),"")</f>
        <v/>
      </c>
      <c r="H82" s="175" t="str">
        <f>IFERROR(SUMIFS('caseload data'!J:J,'caseload data'!$C:$C,'divisional &amp; regional caseload%'!$B$78,'caseload data'!$D:$D,"TPO")/SUMIF('caseload data'!$C:$C,'divisional &amp; regional caseload%'!$B$78,'caseload data'!J:J),"")</f>
        <v/>
      </c>
      <c r="I82" s="175" t="str">
        <f>IFERROR(SUMIFS('caseload data'!K:K,'caseload data'!$C:$C,'divisional &amp; regional caseload%'!$B$78,'caseload data'!$D:$D,"TPO")/SUMIF('caseload data'!$C:$C,'divisional &amp; regional caseload%'!$B$78,'caseload data'!K:K),"")</f>
        <v/>
      </c>
      <c r="J82" s="175" t="str">
        <f>IFERROR(SUMIFS('caseload data'!L:L,'caseload data'!$C:$C,'divisional &amp; regional caseload%'!$B$78,'caseload data'!$D:$D,"TPO")/SUMIF('caseload data'!$C:$C,'divisional &amp; regional caseload%'!$B$78,'caseload data'!L:L),"")</f>
        <v/>
      </c>
      <c r="K82" s="175" t="str">
        <f>IFERROR(SUMIFS('caseload data'!M:M,'caseload data'!$C:$C,'divisional &amp; regional caseload%'!$B$78,'caseload data'!$D:$D,"TPO")/SUMIF('caseload data'!$C:$C,'divisional &amp; regional caseload%'!$B$78,'caseload data'!M:M),"")</f>
        <v/>
      </c>
      <c r="L82" s="175" t="str">
        <f>IFERROR(SUMIFS('caseload data'!N:N,'caseload data'!$C:$C,'divisional &amp; regional caseload%'!$B$78,'caseload data'!$D:$D,"TPO")/SUMIF('caseload data'!$C:$C,'divisional &amp; regional caseload%'!$B$78,'caseload data'!N:N),"")</f>
        <v/>
      </c>
      <c r="M82" s="175" t="str">
        <f>IFERROR(SUMIFS('caseload data'!O:O,'caseload data'!$C:$C,'divisional &amp; regional caseload%'!$B$78,'caseload data'!$D:$D,"TPO")/SUMIF('caseload data'!$C:$C,'divisional &amp; regional caseload%'!$B$78,'caseload data'!O:O),"")</f>
        <v/>
      </c>
      <c r="N82" s="175" t="str">
        <f>IFERROR(SUMIFS('caseload data'!P:P,'caseload data'!$C:$C,'divisional &amp; regional caseload%'!$B$78,'caseload data'!$D:$D,"TPO")/SUMIF('caseload data'!$C:$C,'divisional &amp; regional caseload%'!$B$78,'caseload data'!P:P),"")</f>
        <v/>
      </c>
      <c r="O82" s="175" t="str">
        <f>IFERROR(SUMIFS('caseload data'!Q:Q,'caseload data'!$C:$C,'divisional &amp; regional caseload%'!$B$78,'caseload data'!$D:$D,"TPO")/SUMIF('caseload data'!$C:$C,'divisional &amp; regional caseload%'!$B$78,'caseload data'!Q:Q),"")</f>
        <v/>
      </c>
      <c r="P82" s="175" t="str">
        <f>IFERROR(SUMIFS('caseload data'!R:R,'caseload data'!$C:$C,'divisional &amp; regional caseload%'!$B$78,'caseload data'!$D:$D,"TPO")/SUMIF('caseload data'!$C:$C,'divisional &amp; regional caseload%'!$B$78,'caseload data'!R:R),"")</f>
        <v/>
      </c>
      <c r="Q82" s="175" t="str">
        <f>IFERROR(SUMIFS('caseload data'!S:S,'caseload data'!$C:$C,'divisional &amp; regional caseload%'!$B$78,'caseload data'!$D:$D,"TPO")/SUMIF('caseload data'!$C:$C,'divisional &amp; regional caseload%'!$B$78,'caseload data'!S:S),"")</f>
        <v/>
      </c>
      <c r="R82" s="175" t="str">
        <f>IFERROR(SUMIFS('caseload data'!T:T,'caseload data'!$C:$C,'divisional &amp; regional caseload%'!$B$78,'caseload data'!$D:$D,"TPO")/SUMIF('caseload data'!$C:$C,'divisional &amp; regional caseload%'!$B$78,'caseload data'!T:T),"")</f>
        <v/>
      </c>
      <c r="T82" s="101" t="s">
        <v>1173</v>
      </c>
      <c r="U82" s="175" t="str">
        <f>IFERROR(SUMIFS('caseload data'!E:E,'caseload data'!$C:$C,'divisional &amp; regional caseload%'!$T$78,'caseload data'!$D:$D,"TPO")/SUMIF('caseload data'!$C:$C,'divisional &amp; regional caseload%'!$T$78,'caseload data'!E:E),"")</f>
        <v/>
      </c>
      <c r="V82" s="175" t="str">
        <f>IFERROR(SUMIFS('caseload data'!F:F,'caseload data'!$C:$C,'divisional &amp; regional caseload%'!$T$78,'caseload data'!$D:$D,"TPO")/SUMIF('caseload data'!$C:$C,'divisional &amp; regional caseload%'!$T$78,'caseload data'!F:F),"")</f>
        <v/>
      </c>
      <c r="W82" s="175" t="str">
        <f>IFERROR(SUMIFS('caseload data'!G:G,'caseload data'!$C:$C,'divisional &amp; regional caseload%'!$T$78,'caseload data'!$D:$D,"TPO")/SUMIF('caseload data'!$C:$C,'divisional &amp; regional caseload%'!$T$78,'caseload data'!G:G),"")</f>
        <v/>
      </c>
      <c r="X82" s="175" t="str">
        <f>IFERROR(SUMIFS('caseload data'!H:H,'caseload data'!$C:$C,'divisional &amp; regional caseload%'!$T$78,'caseload data'!$D:$D,"TPO")/SUMIF('caseload data'!$C:$C,'divisional &amp; regional caseload%'!$T$78,'caseload data'!H:H),"")</f>
        <v/>
      </c>
      <c r="Y82" s="175" t="str">
        <f>IFERROR(SUMIFS('caseload data'!I:I,'caseload data'!$C:$C,'divisional &amp; regional caseload%'!$T$78,'caseload data'!$D:$D,"TPO")/SUMIF('caseload data'!$C:$C,'divisional &amp; regional caseload%'!$T$78,'caseload data'!I:I),"")</f>
        <v/>
      </c>
      <c r="Z82" s="175" t="str">
        <f>IFERROR(SUMIFS('caseload data'!J:J,'caseload data'!$C:$C,'divisional &amp; regional caseload%'!$T$78,'caseload data'!$D:$D,"TPO")/SUMIF('caseload data'!$C:$C,'divisional &amp; regional caseload%'!$T$78,'caseload data'!J:J),"")</f>
        <v/>
      </c>
      <c r="AA82" s="175" t="str">
        <f>IFERROR(SUMIFS('caseload data'!K:K,'caseload data'!$C:$C,'divisional &amp; regional caseload%'!$T$78,'caseload data'!$D:$D,"TPO")/SUMIF('caseload data'!$C:$C,'divisional &amp; regional caseload%'!$T$78,'caseload data'!K:K),"")</f>
        <v/>
      </c>
      <c r="AB82" s="175" t="str">
        <f>IFERROR(SUMIFS('caseload data'!L:L,'caseload data'!$C:$C,'divisional &amp; regional caseload%'!$T$78,'caseload data'!$D:$D,"TPO")/SUMIF('caseload data'!$C:$C,'divisional &amp; regional caseload%'!$T$78,'caseload data'!L:L),"")</f>
        <v/>
      </c>
      <c r="AC82" s="175" t="str">
        <f>IFERROR(SUMIFS('caseload data'!M:M,'caseload data'!$C:$C,'divisional &amp; regional caseload%'!$T$78,'caseload data'!$D:$D,"TPO")/SUMIF('caseload data'!$C:$C,'divisional &amp; regional caseload%'!$T$78,'caseload data'!M:M),"")</f>
        <v/>
      </c>
      <c r="AD82" s="175" t="str">
        <f>IFERROR(SUMIFS('caseload data'!N:N,'caseload data'!$C:$C,'divisional &amp; regional caseload%'!$T$78,'caseload data'!$D:$D,"TPO")/SUMIF('caseload data'!$C:$C,'divisional &amp; regional caseload%'!$T$78,'caseload data'!N:N),"")</f>
        <v/>
      </c>
      <c r="AE82" s="175" t="str">
        <f>IFERROR(SUMIFS('caseload data'!O:O,'caseload data'!$C:$C,'divisional &amp; regional caseload%'!$T$78,'caseload data'!$D:$D,"TPO")/SUMIF('caseload data'!$C:$C,'divisional &amp; regional caseload%'!$T$78,'caseload data'!O:O),"")</f>
        <v/>
      </c>
      <c r="AF82" s="175" t="str">
        <f>IFERROR(SUMIFS('caseload data'!P:P,'caseload data'!$C:$C,'divisional &amp; regional caseload%'!$T$78,'caseload data'!$D:$D,"TPO")/SUMIF('caseload data'!$C:$C,'divisional &amp; regional caseload%'!$T$78,'caseload data'!P:P),"")</f>
        <v/>
      </c>
      <c r="AG82" s="175" t="str">
        <f>IFERROR(SUMIFS('caseload data'!Q:Q,'caseload data'!$C:$C,'divisional &amp; regional caseload%'!$T$78,'caseload data'!$D:$D,"TPO")/SUMIF('caseload data'!$C:$C,'divisional &amp; regional caseload%'!$T$78,'caseload data'!Q:Q),"")</f>
        <v/>
      </c>
      <c r="AH82" s="175" t="str">
        <f>IFERROR(SUMIFS('caseload data'!R:R,'caseload data'!$C:$C,'divisional &amp; regional caseload%'!$T$78,'caseload data'!$D:$D,"TPO")/SUMIF('caseload data'!$C:$C,'divisional &amp; regional caseload%'!$T$78,'caseload data'!R:R),"")</f>
        <v/>
      </c>
      <c r="AI82" s="175" t="str">
        <f>IFERROR(SUMIFS('caseload data'!S:S,'caseload data'!$C:$C,'divisional &amp; regional caseload%'!$T$78,'caseload data'!$D:$D,"TPO")/SUMIF('caseload data'!$C:$C,'divisional &amp; regional caseload%'!$T$78,'caseload data'!S:S),"")</f>
        <v/>
      </c>
      <c r="AJ82" s="175" t="str">
        <f>IFERROR(SUMIFS('caseload data'!T:T,'caseload data'!$C:$C,'divisional &amp; regional caseload%'!$T$78,'caseload data'!$D:$D,"TPO")/SUMIF('caseload data'!$C:$C,'divisional &amp; regional caseload%'!$T$78,'caseload data'!T:T),"")</f>
        <v/>
      </c>
    </row>
    <row r="83" spans="2:36" x14ac:dyDescent="0.15">
      <c r="B83" s="102" t="s">
        <v>1174</v>
      </c>
      <c r="C83" s="175" t="str">
        <f>IFERROR(SUMIFS('caseload data'!E:E,'caseload data'!$C:$C,'divisional &amp; regional caseload%'!$B$78,'caseload data'!$D:$D,"SPO")/SUMIF('caseload data'!$C:$C,'divisional &amp; regional caseload%'!$B$78,'caseload data'!E:E),"")</f>
        <v/>
      </c>
      <c r="D83" s="175" t="str">
        <f>IFERROR(SUMIFS('caseload data'!F:F,'caseload data'!$C:$C,'divisional &amp; regional caseload%'!$B$78,'caseload data'!$D:$D,"SPO")/SUMIF('caseload data'!$C:$C,'divisional &amp; regional caseload%'!$B$78,'caseload data'!F:F),"")</f>
        <v/>
      </c>
      <c r="E83" s="175" t="str">
        <f>IFERROR(SUMIFS('caseload data'!G:G,'caseload data'!$C:$C,'divisional &amp; regional caseload%'!$B$78,'caseload data'!$D:$D,"SPO")/SUMIF('caseload data'!$C:$C,'divisional &amp; regional caseload%'!$B$78,'caseload data'!G:G),"")</f>
        <v/>
      </c>
      <c r="F83" s="175" t="str">
        <f>IFERROR(SUMIFS('caseload data'!H:H,'caseload data'!$C:$C,'divisional &amp; regional caseload%'!$B$78,'caseload data'!$D:$D,"SPO")/SUMIF('caseload data'!$C:$C,'divisional &amp; regional caseload%'!$B$78,'caseload data'!H:H),"")</f>
        <v/>
      </c>
      <c r="G83" s="175" t="str">
        <f>IFERROR(SUMIFS('caseload data'!I:I,'caseload data'!$C:$C,'divisional &amp; regional caseload%'!$B$78,'caseload data'!$D:$D,"SPO")/SUMIF('caseload data'!$C:$C,'divisional &amp; regional caseload%'!$B$78,'caseload data'!I:I),"")</f>
        <v/>
      </c>
      <c r="H83" s="175" t="str">
        <f>IFERROR(SUMIFS('caseload data'!J:J,'caseload data'!$C:$C,'divisional &amp; regional caseload%'!$B$78,'caseload data'!$D:$D,"SPO")/SUMIF('caseload data'!$C:$C,'divisional &amp; regional caseload%'!$B$78,'caseload data'!J:J),"")</f>
        <v/>
      </c>
      <c r="I83" s="175" t="str">
        <f>IFERROR(SUMIFS('caseload data'!K:K,'caseload data'!$C:$C,'divisional &amp; regional caseload%'!$B$78,'caseload data'!$D:$D,"SPO")/SUMIF('caseload data'!$C:$C,'divisional &amp; regional caseload%'!$B$78,'caseload data'!K:K),"")</f>
        <v/>
      </c>
      <c r="J83" s="175" t="str">
        <f>IFERROR(SUMIFS('caseload data'!L:L,'caseload data'!$C:$C,'divisional &amp; regional caseload%'!$B$78,'caseload data'!$D:$D,"SPO")/SUMIF('caseload data'!$C:$C,'divisional &amp; regional caseload%'!$B$78,'caseload data'!L:L),"")</f>
        <v/>
      </c>
      <c r="K83" s="175" t="str">
        <f>IFERROR(SUMIFS('caseload data'!M:M,'caseload data'!$C:$C,'divisional &amp; regional caseload%'!$B$78,'caseload data'!$D:$D,"SPO")/SUMIF('caseload data'!$C:$C,'divisional &amp; regional caseload%'!$B$78,'caseload data'!M:M),"")</f>
        <v/>
      </c>
      <c r="L83" s="175" t="str">
        <f>IFERROR(SUMIFS('caseload data'!N:N,'caseload data'!$C:$C,'divisional &amp; regional caseload%'!$B$78,'caseload data'!$D:$D,"SPO")/SUMIF('caseload data'!$C:$C,'divisional &amp; regional caseload%'!$B$78,'caseload data'!N:N),"")</f>
        <v/>
      </c>
      <c r="M83" s="175" t="str">
        <f>IFERROR(SUMIFS('caseload data'!O:O,'caseload data'!$C:$C,'divisional &amp; regional caseload%'!$B$78,'caseload data'!$D:$D,"SPO")/SUMIF('caseload data'!$C:$C,'divisional &amp; regional caseload%'!$B$78,'caseload data'!O:O),"")</f>
        <v/>
      </c>
      <c r="N83" s="175" t="str">
        <f>IFERROR(SUMIFS('caseload data'!P:P,'caseload data'!$C:$C,'divisional &amp; regional caseload%'!$B$78,'caseload data'!$D:$D,"SPO")/SUMIF('caseload data'!$C:$C,'divisional &amp; regional caseload%'!$B$78,'caseload data'!P:P),"")</f>
        <v/>
      </c>
      <c r="O83" s="175" t="str">
        <f>IFERROR(SUMIFS('caseload data'!Q:Q,'caseload data'!$C:$C,'divisional &amp; regional caseload%'!$B$78,'caseload data'!$D:$D,"SPO")/SUMIF('caseload data'!$C:$C,'divisional &amp; regional caseload%'!$B$78,'caseload data'!Q:Q),"")</f>
        <v/>
      </c>
      <c r="P83" s="175" t="str">
        <f>IFERROR(SUMIFS('caseload data'!R:R,'caseload data'!$C:$C,'divisional &amp; regional caseload%'!$B$78,'caseload data'!$D:$D,"SPO")/SUMIF('caseload data'!$C:$C,'divisional &amp; regional caseload%'!$B$78,'caseload data'!R:R),"")</f>
        <v/>
      </c>
      <c r="Q83" s="175" t="str">
        <f>IFERROR(SUMIFS('caseload data'!S:S,'caseload data'!$C:$C,'divisional &amp; regional caseload%'!$B$78,'caseload data'!$D:$D,"SPO")/SUMIF('caseload data'!$C:$C,'divisional &amp; regional caseload%'!$B$78,'caseload data'!S:S),"")</f>
        <v/>
      </c>
      <c r="R83" s="175" t="str">
        <f>IFERROR(SUMIFS('caseload data'!T:T,'caseload data'!$C:$C,'divisional &amp; regional caseload%'!$B$78,'caseload data'!$D:$D,"SPO")/SUMIF('caseload data'!$C:$C,'divisional &amp; regional caseload%'!$B$78,'caseload data'!T:T),"")</f>
        <v/>
      </c>
      <c r="T83" s="102" t="s">
        <v>1174</v>
      </c>
      <c r="U83" s="175" t="str">
        <f>IFERROR(SUMIFS('caseload data'!E:E,'caseload data'!$C:$C,'divisional &amp; regional caseload%'!$T$78,'caseload data'!$D:$D,"SPO")/SUMIF('caseload data'!$C:$C,'divisional &amp; regional caseload%'!$T$78,'caseload data'!E:E),"")</f>
        <v/>
      </c>
      <c r="V83" s="175" t="str">
        <f>IFERROR(SUMIFS('caseload data'!F:F,'caseload data'!$C:$C,'divisional &amp; regional caseload%'!$T$78,'caseload data'!$D:$D,"SPO")/SUMIF('caseload data'!$C:$C,'divisional &amp; regional caseload%'!$T$78,'caseload data'!F:F),"")</f>
        <v/>
      </c>
      <c r="W83" s="175" t="str">
        <f>IFERROR(SUMIFS('caseload data'!G:G,'caseload data'!$C:$C,'divisional &amp; regional caseload%'!$T$78,'caseload data'!$D:$D,"SPO")/SUMIF('caseload data'!$C:$C,'divisional &amp; regional caseload%'!$T$78,'caseload data'!G:G),"")</f>
        <v/>
      </c>
      <c r="X83" s="175" t="str">
        <f>IFERROR(SUMIFS('caseload data'!H:H,'caseload data'!$C:$C,'divisional &amp; regional caseload%'!$T$78,'caseload data'!$D:$D,"SPO")/SUMIF('caseload data'!$C:$C,'divisional &amp; regional caseload%'!$T$78,'caseload data'!H:H),"")</f>
        <v/>
      </c>
      <c r="Y83" s="175" t="str">
        <f>IFERROR(SUMIFS('caseload data'!I:I,'caseload data'!$C:$C,'divisional &amp; regional caseload%'!$T$78,'caseload data'!$D:$D,"SPO")/SUMIF('caseload data'!$C:$C,'divisional &amp; regional caseload%'!$T$78,'caseload data'!I:I),"")</f>
        <v/>
      </c>
      <c r="Z83" s="175" t="str">
        <f>IFERROR(SUMIFS('caseload data'!J:J,'caseload data'!$C:$C,'divisional &amp; regional caseload%'!$T$78,'caseload data'!$D:$D,"SPO")/SUMIF('caseload data'!$C:$C,'divisional &amp; regional caseload%'!$T$78,'caseload data'!J:J),"")</f>
        <v/>
      </c>
      <c r="AA83" s="175" t="str">
        <f>IFERROR(SUMIFS('caseload data'!K:K,'caseload data'!$C:$C,'divisional &amp; regional caseload%'!$T$78,'caseload data'!$D:$D,"SPO")/SUMIF('caseload data'!$C:$C,'divisional &amp; regional caseload%'!$T$78,'caseload data'!K:K),"")</f>
        <v/>
      </c>
      <c r="AB83" s="175" t="str">
        <f>IFERROR(SUMIFS('caseload data'!L:L,'caseload data'!$C:$C,'divisional &amp; regional caseload%'!$T$78,'caseload data'!$D:$D,"SPO")/SUMIF('caseload data'!$C:$C,'divisional &amp; regional caseload%'!$T$78,'caseload data'!L:L),"")</f>
        <v/>
      </c>
      <c r="AC83" s="175" t="str">
        <f>IFERROR(SUMIFS('caseload data'!M:M,'caseload data'!$C:$C,'divisional &amp; regional caseload%'!$T$78,'caseload data'!$D:$D,"SPO")/SUMIF('caseload data'!$C:$C,'divisional &amp; regional caseload%'!$T$78,'caseload data'!M:M),"")</f>
        <v/>
      </c>
      <c r="AD83" s="175" t="str">
        <f>IFERROR(SUMIFS('caseload data'!N:N,'caseload data'!$C:$C,'divisional &amp; regional caseload%'!$T$78,'caseload data'!$D:$D,"SPO")/SUMIF('caseload data'!$C:$C,'divisional &amp; regional caseload%'!$T$78,'caseload data'!N:N),"")</f>
        <v/>
      </c>
      <c r="AE83" s="175" t="str">
        <f>IFERROR(SUMIFS('caseload data'!O:O,'caseload data'!$C:$C,'divisional &amp; regional caseload%'!$T$78,'caseload data'!$D:$D,"SPO")/SUMIF('caseload data'!$C:$C,'divisional &amp; regional caseload%'!$T$78,'caseload data'!O:O),"")</f>
        <v/>
      </c>
      <c r="AF83" s="175" t="str">
        <f>IFERROR(SUMIFS('caseload data'!P:P,'caseload data'!$C:$C,'divisional &amp; regional caseload%'!$T$78,'caseload data'!$D:$D,"SPO")/SUMIF('caseload data'!$C:$C,'divisional &amp; regional caseload%'!$T$78,'caseload data'!P:P),"")</f>
        <v/>
      </c>
      <c r="AG83" s="175" t="str">
        <f>IFERROR(SUMIFS('caseload data'!Q:Q,'caseload data'!$C:$C,'divisional &amp; regional caseload%'!$T$78,'caseload data'!$D:$D,"SPO")/SUMIF('caseload data'!$C:$C,'divisional &amp; regional caseload%'!$T$78,'caseload data'!Q:Q),"")</f>
        <v/>
      </c>
      <c r="AH83" s="175" t="str">
        <f>IFERROR(SUMIFS('caseload data'!R:R,'caseload data'!$C:$C,'divisional &amp; regional caseload%'!$T$78,'caseload data'!$D:$D,"SPO")/SUMIF('caseload data'!$C:$C,'divisional &amp; regional caseload%'!$T$78,'caseload data'!R:R),"")</f>
        <v/>
      </c>
      <c r="AI83" s="175" t="str">
        <f>IFERROR(SUMIFS('caseload data'!S:S,'caseload data'!$C:$C,'divisional &amp; regional caseload%'!$T$78,'caseload data'!$D:$D,"SPO")/SUMIF('caseload data'!$C:$C,'divisional &amp; regional caseload%'!$T$78,'caseload data'!S:S),"")</f>
        <v/>
      </c>
      <c r="AJ83" s="175" t="str">
        <f>IFERROR(SUMIFS('caseload data'!T:T,'caseload data'!$C:$C,'divisional &amp; regional caseload%'!$T$78,'caseload data'!$D:$D,"SPO")/SUMIF('caseload data'!$C:$C,'divisional &amp; regional caseload%'!$T$78,'caseload data'!T:T),"")</f>
        <v/>
      </c>
    </row>
    <row r="85" spans="2:36" ht="30" customHeight="1" x14ac:dyDescent="0.15">
      <c r="B85" s="302">
        <f>HLOOKUP($B$5,Region_Table,24,0)</f>
        <v>0</v>
      </c>
      <c r="C85" s="475" t="s">
        <v>1275</v>
      </c>
      <c r="D85" s="476"/>
      <c r="E85" s="476"/>
      <c r="F85" s="476"/>
      <c r="G85" s="476"/>
      <c r="H85" s="476"/>
      <c r="I85" s="476"/>
      <c r="J85" s="476"/>
      <c r="K85" s="476"/>
      <c r="L85" s="476"/>
      <c r="M85" s="477"/>
      <c r="N85" s="477"/>
      <c r="O85" s="478"/>
      <c r="P85" s="462">
        <f>SUMIF('caseload data'!$C:$C,'divisional &amp; regional caseload%'!B85,'caseload data'!V:V)</f>
        <v>0</v>
      </c>
      <c r="Q85" s="479"/>
      <c r="R85" s="480"/>
      <c r="T85" s="302">
        <f>HLOOKUP($B$5,Region_Table,25,0)</f>
        <v>0</v>
      </c>
      <c r="U85" s="475" t="s">
        <v>1275</v>
      </c>
      <c r="V85" s="476"/>
      <c r="W85" s="476"/>
      <c r="X85" s="476"/>
      <c r="Y85" s="476"/>
      <c r="Z85" s="476"/>
      <c r="AA85" s="476"/>
      <c r="AB85" s="476"/>
      <c r="AC85" s="476"/>
      <c r="AD85" s="476"/>
      <c r="AE85" s="477"/>
      <c r="AF85" s="477"/>
      <c r="AG85" s="478"/>
      <c r="AH85" s="462">
        <f>SUMIF('caseload data'!$C:$C,'divisional &amp; regional caseload%'!T85,'caseload data'!V:V)</f>
        <v>0</v>
      </c>
      <c r="AI85" s="479"/>
      <c r="AJ85" s="480"/>
    </row>
    <row r="86" spans="2:36" x14ac:dyDescent="0.15">
      <c r="B86" s="99" t="s">
        <v>1171</v>
      </c>
      <c r="C86" s="40" t="s">
        <v>1022</v>
      </c>
      <c r="D86" s="40" t="s">
        <v>1023</v>
      </c>
      <c r="E86" s="40" t="s">
        <v>1024</v>
      </c>
      <c r="F86" s="40" t="s">
        <v>1025</v>
      </c>
      <c r="G86" s="40" t="s">
        <v>1026</v>
      </c>
      <c r="H86" s="40" t="s">
        <v>1027</v>
      </c>
      <c r="I86" s="40" t="s">
        <v>1028</v>
      </c>
      <c r="J86" s="40" t="s">
        <v>1029</v>
      </c>
      <c r="K86" s="40" t="s">
        <v>1030</v>
      </c>
      <c r="L86" s="40" t="s">
        <v>1031</v>
      </c>
      <c r="M86" s="40" t="s">
        <v>1032</v>
      </c>
      <c r="N86" s="40" t="s">
        <v>1033</v>
      </c>
      <c r="O86" s="40" t="s">
        <v>1034</v>
      </c>
      <c r="P86" s="40" t="s">
        <v>1035</v>
      </c>
      <c r="Q86" s="40" t="s">
        <v>1036</v>
      </c>
      <c r="R86" s="40" t="s">
        <v>1037</v>
      </c>
      <c r="T86" s="99" t="s">
        <v>1171</v>
      </c>
      <c r="U86" s="40" t="s">
        <v>1022</v>
      </c>
      <c r="V86" s="40" t="s">
        <v>1023</v>
      </c>
      <c r="W86" s="40" t="s">
        <v>1024</v>
      </c>
      <c r="X86" s="40" t="s">
        <v>1025</v>
      </c>
      <c r="Y86" s="40" t="s">
        <v>1026</v>
      </c>
      <c r="Z86" s="40" t="s">
        <v>1027</v>
      </c>
      <c r="AA86" s="40" t="s">
        <v>1028</v>
      </c>
      <c r="AB86" s="40" t="s">
        <v>1029</v>
      </c>
      <c r="AC86" s="40" t="s">
        <v>1030</v>
      </c>
      <c r="AD86" s="40" t="s">
        <v>1031</v>
      </c>
      <c r="AE86" s="40" t="s">
        <v>1032</v>
      </c>
      <c r="AF86" s="40" t="s">
        <v>1033</v>
      </c>
      <c r="AG86" s="40" t="s">
        <v>1034</v>
      </c>
      <c r="AH86" s="40" t="s">
        <v>1035</v>
      </c>
      <c r="AI86" s="40" t="s">
        <v>1036</v>
      </c>
      <c r="AJ86" s="40" t="s">
        <v>1037</v>
      </c>
    </row>
    <row r="87" spans="2:36" x14ac:dyDescent="0.15">
      <c r="B87" s="100" t="s">
        <v>1166</v>
      </c>
      <c r="C87" s="175" t="str">
        <f>IFERROR(SUMIFS('caseload data'!E:E,'caseload data'!$C:$C,'divisional &amp; regional caseload%'!$B$85,'caseload data'!$D:$D,"PO")/SUMIF('caseload data'!$C:$C,'divisional &amp; regional caseload%'!$B$85,'caseload data'!E:E),"")</f>
        <v/>
      </c>
      <c r="D87" s="175" t="str">
        <f>IFERROR(SUMIFS('caseload data'!F:F,'caseload data'!$C:$C,'divisional &amp; regional caseload%'!$B$85,'caseload data'!$D:$D,"PO")/SUMIF('caseload data'!$C:$C,'divisional &amp; regional caseload%'!$B$85,'caseload data'!F:F),"")</f>
        <v/>
      </c>
      <c r="E87" s="175" t="str">
        <f>IFERROR(SUMIFS('caseload data'!G:G,'caseload data'!$C:$C,'divisional &amp; regional caseload%'!$B$85,'caseload data'!$D:$D,"PO")/SUMIF('caseload data'!$C:$C,'divisional &amp; regional caseload%'!$B$85,'caseload data'!G:G),"")</f>
        <v/>
      </c>
      <c r="F87" s="175" t="str">
        <f>IFERROR(SUMIFS('caseload data'!H:H,'caseload data'!$C:$C,'divisional &amp; regional caseload%'!$B$85,'caseload data'!$D:$D,"PO")/SUMIF('caseload data'!$C:$C,'divisional &amp; regional caseload%'!$B$85,'caseload data'!H:H),"")</f>
        <v/>
      </c>
      <c r="G87" s="175" t="str">
        <f>IFERROR(SUMIFS('caseload data'!I:I,'caseload data'!$C:$C,'divisional &amp; regional caseload%'!$B$85,'caseload data'!$D:$D,"PO")/SUMIF('caseload data'!$C:$C,'divisional &amp; regional caseload%'!$B$85,'caseload data'!I:I),"")</f>
        <v/>
      </c>
      <c r="H87" s="175" t="str">
        <f>IFERROR(SUMIFS('caseload data'!J:J,'caseload data'!$C:$C,'divisional &amp; regional caseload%'!$B$85,'caseload data'!$D:$D,"PO")/SUMIF('caseload data'!$C:$C,'divisional &amp; regional caseload%'!$B$85,'caseload data'!J:J),"")</f>
        <v/>
      </c>
      <c r="I87" s="175" t="str">
        <f>IFERROR(SUMIFS('caseload data'!K:K,'caseload data'!$C:$C,'divisional &amp; regional caseload%'!$B$85,'caseload data'!$D:$D,"PO")/SUMIF('caseload data'!$C:$C,'divisional &amp; regional caseload%'!$B$85,'caseload data'!K:K),"")</f>
        <v/>
      </c>
      <c r="J87" s="175" t="str">
        <f>IFERROR(SUMIFS('caseload data'!L:L,'caseload data'!$C:$C,'divisional &amp; regional caseload%'!$B$85,'caseload data'!$D:$D,"PO")/SUMIF('caseload data'!$C:$C,'divisional &amp; regional caseload%'!$B$85,'caseload data'!L:L),"")</f>
        <v/>
      </c>
      <c r="K87" s="175" t="str">
        <f>IFERROR(SUMIFS('caseload data'!M:M,'caseload data'!$C:$C,'divisional &amp; regional caseload%'!$B$85,'caseload data'!$D:$D,"PO")/SUMIF('caseload data'!$C:$C,'divisional &amp; regional caseload%'!$B$85,'caseload data'!M:M),"")</f>
        <v/>
      </c>
      <c r="L87" s="175" t="str">
        <f>IFERROR(SUMIFS('caseload data'!N:N,'caseload data'!$C:$C,'divisional &amp; regional caseload%'!$B$85,'caseload data'!$D:$D,"PO")/SUMIF('caseload data'!$C:$C,'divisional &amp; regional caseload%'!$B$85,'caseload data'!N:N),"")</f>
        <v/>
      </c>
      <c r="M87" s="175" t="str">
        <f>IFERROR(SUMIFS('caseload data'!O:O,'caseload data'!$C:$C,'divisional &amp; regional caseload%'!$B$85,'caseload data'!$D:$D,"PO")/SUMIF('caseload data'!$C:$C,'divisional &amp; regional caseload%'!$B$85,'caseload data'!O:O),"")</f>
        <v/>
      </c>
      <c r="N87" s="175" t="str">
        <f>IFERROR(SUMIFS('caseload data'!P:P,'caseload data'!$C:$C,'divisional &amp; regional caseload%'!$B$85,'caseload data'!$D:$D,"PO")/SUMIF('caseload data'!$C:$C,'divisional &amp; regional caseload%'!$B$85,'caseload data'!P:P),"")</f>
        <v/>
      </c>
      <c r="O87" s="175" t="str">
        <f>IFERROR(SUMIFS('caseload data'!Q:Q,'caseload data'!$C:$C,'divisional &amp; regional caseload%'!$B$85,'caseload data'!$D:$D,"PO")/SUMIF('caseload data'!$C:$C,'divisional &amp; regional caseload%'!$B$85,'caseload data'!Q:Q),"")</f>
        <v/>
      </c>
      <c r="P87" s="175" t="str">
        <f>IFERROR(SUMIFS('caseload data'!R:R,'caseload data'!$C:$C,'divisional &amp; regional caseload%'!$B$85,'caseload data'!$D:$D,"PO")/SUMIF('caseload data'!$C:$C,'divisional &amp; regional caseload%'!$B$85,'caseload data'!R:R),"")</f>
        <v/>
      </c>
      <c r="Q87" s="175" t="str">
        <f>IFERROR(SUMIFS('caseload data'!S:S,'caseload data'!$C:$C,'divisional &amp; regional caseload%'!$B$85,'caseload data'!$D:$D,"PO")/SUMIF('caseload data'!$C:$C,'divisional &amp; regional caseload%'!$B$85,'caseload data'!S:S),"")</f>
        <v/>
      </c>
      <c r="R87" s="175" t="str">
        <f>IFERROR(SUMIFS('caseload data'!T:T,'caseload data'!$C:$C,'divisional &amp; regional caseload%'!$B$85,'caseload data'!$D:$D,"PO")/SUMIF('caseload data'!$C:$C,'divisional &amp; regional caseload%'!$B$85,'caseload data'!T:T),"")</f>
        <v/>
      </c>
      <c r="T87" s="100" t="s">
        <v>1166</v>
      </c>
      <c r="U87" s="175" t="str">
        <f>IFERROR(SUMIFS('caseload data'!E:E,'caseload data'!$C:$C,'divisional &amp; regional caseload%'!$T$85,'caseload data'!$D:$D,"PO")/SUMIF('caseload data'!$C:$C,'divisional &amp; regional caseload%'!$T$85,'caseload data'!E:E),"")</f>
        <v/>
      </c>
      <c r="V87" s="175" t="str">
        <f>IFERROR(SUMIFS('caseload data'!F:F,'caseload data'!$C:$C,'divisional &amp; regional caseload%'!$T$85,'caseload data'!$D:$D,"PO")/SUMIF('caseload data'!$C:$C,'divisional &amp; regional caseload%'!$T$85,'caseload data'!F:F),"")</f>
        <v/>
      </c>
      <c r="W87" s="175" t="str">
        <f>IFERROR(SUMIFS('caseload data'!G:G,'caseload data'!$C:$C,'divisional &amp; regional caseload%'!$T$85,'caseload data'!$D:$D,"PO")/SUMIF('caseload data'!$C:$C,'divisional &amp; regional caseload%'!$T$85,'caseload data'!G:G),"")</f>
        <v/>
      </c>
      <c r="X87" s="175" t="str">
        <f>IFERROR(SUMIFS('caseload data'!H:H,'caseload data'!$C:$C,'divisional &amp; regional caseload%'!$T$85,'caseload data'!$D:$D,"PO")/SUMIF('caseload data'!$C:$C,'divisional &amp; regional caseload%'!$T$85,'caseload data'!H:H),"")</f>
        <v/>
      </c>
      <c r="Y87" s="175" t="str">
        <f>IFERROR(SUMIFS('caseload data'!I:I,'caseload data'!$C:$C,'divisional &amp; regional caseload%'!$T$85,'caseload data'!$D:$D,"PO")/SUMIF('caseload data'!$C:$C,'divisional &amp; regional caseload%'!$T$85,'caseload data'!I:I),"")</f>
        <v/>
      </c>
      <c r="Z87" s="175" t="str">
        <f>IFERROR(SUMIFS('caseload data'!J:J,'caseload data'!$C:$C,'divisional &amp; regional caseload%'!$T$85,'caseload data'!$D:$D,"PO")/SUMIF('caseload data'!$C:$C,'divisional &amp; regional caseload%'!$T$85,'caseload data'!J:J),"")</f>
        <v/>
      </c>
      <c r="AA87" s="175" t="str">
        <f>IFERROR(SUMIFS('caseload data'!K:K,'caseload data'!$C:$C,'divisional &amp; regional caseload%'!$T$85,'caseload data'!$D:$D,"PO")/SUMIF('caseload data'!$C:$C,'divisional &amp; regional caseload%'!$T$85,'caseload data'!K:K),"")</f>
        <v/>
      </c>
      <c r="AB87" s="175" t="str">
        <f>IFERROR(SUMIFS('caseload data'!L:L,'caseload data'!$C:$C,'divisional &amp; regional caseload%'!$T$85,'caseload data'!$D:$D,"PO")/SUMIF('caseload data'!$C:$C,'divisional &amp; regional caseload%'!$T$85,'caseload data'!L:L),"")</f>
        <v/>
      </c>
      <c r="AC87" s="175" t="str">
        <f>IFERROR(SUMIFS('caseload data'!M:M,'caseload data'!$C:$C,'divisional &amp; regional caseload%'!$T$85,'caseload data'!$D:$D,"PO")/SUMIF('caseload data'!$C:$C,'divisional &amp; regional caseload%'!$T$85,'caseload data'!M:M),"")</f>
        <v/>
      </c>
      <c r="AD87" s="175" t="str">
        <f>IFERROR(SUMIFS('caseload data'!N:N,'caseload data'!$C:$C,'divisional &amp; regional caseload%'!$T$85,'caseload data'!$D:$D,"PO")/SUMIF('caseload data'!$C:$C,'divisional &amp; regional caseload%'!$T$85,'caseload data'!N:N),"")</f>
        <v/>
      </c>
      <c r="AE87" s="175" t="str">
        <f>IFERROR(SUMIFS('caseload data'!O:O,'caseload data'!$C:$C,'divisional &amp; regional caseload%'!$T$85,'caseload data'!$D:$D,"PO")/SUMIF('caseload data'!$C:$C,'divisional &amp; regional caseload%'!$T$85,'caseload data'!O:O),"")</f>
        <v/>
      </c>
      <c r="AF87" s="175" t="str">
        <f>IFERROR(SUMIFS('caseload data'!P:P,'caseload data'!$C:$C,'divisional &amp; regional caseload%'!$T$85,'caseload data'!$D:$D,"PO")/SUMIF('caseload data'!$C:$C,'divisional &amp; regional caseload%'!$T$85,'caseload data'!P:P),"")</f>
        <v/>
      </c>
      <c r="AG87" s="175" t="str">
        <f>IFERROR(SUMIFS('caseload data'!Q:Q,'caseload data'!$C:$C,'divisional &amp; regional caseload%'!$T$85,'caseload data'!$D:$D,"PO")/SUMIF('caseload data'!$C:$C,'divisional &amp; regional caseload%'!$T$85,'caseload data'!Q:Q),"")</f>
        <v/>
      </c>
      <c r="AH87" s="175" t="str">
        <f>IFERROR(SUMIFS('caseload data'!R:R,'caseload data'!$C:$C,'divisional &amp; regional caseload%'!$T$85,'caseload data'!$D:$D,"PO")/SUMIF('caseload data'!$C:$C,'divisional &amp; regional caseload%'!$T$85,'caseload data'!R:R),"")</f>
        <v/>
      </c>
      <c r="AI87" s="175" t="str">
        <f>IFERROR(SUMIFS('caseload data'!S:S,'caseload data'!$C:$C,'divisional &amp; regional caseload%'!$T$85,'caseload data'!$D:$D,"PO")/SUMIF('caseload data'!$C:$C,'divisional &amp; regional caseload%'!$T$85,'caseload data'!S:S),"")</f>
        <v/>
      </c>
      <c r="AJ87" s="175" t="str">
        <f>IFERROR(SUMIFS('caseload data'!T:T,'caseload data'!$C:$C,'divisional &amp; regional caseload%'!$T$85,'caseload data'!$D:$D,"PO")/SUMIF('caseload data'!$C:$C,'divisional &amp; regional caseload%'!$T$85,'caseload data'!T:T),"")</f>
        <v/>
      </c>
    </row>
    <row r="88" spans="2:36" x14ac:dyDescent="0.15">
      <c r="B88" s="101" t="s">
        <v>1172</v>
      </c>
      <c r="C88" s="175" t="str">
        <f>IFERROR(SUMIFS('caseload data'!E:E,'caseload data'!$C:$C,'divisional &amp; regional caseload%'!$B$85,'caseload data'!$D:$D,"PSO")/SUMIF('caseload data'!$C:$C,'divisional &amp; regional caseload%'!$B$85,'caseload data'!E:E),"")</f>
        <v/>
      </c>
      <c r="D88" s="175" t="str">
        <f>IFERROR(SUMIFS('caseload data'!F:F,'caseload data'!$C:$C,'divisional &amp; regional caseload%'!$B$85,'caseload data'!$D:$D,"PSO")/SUMIF('caseload data'!$C:$C,'divisional &amp; regional caseload%'!$B$85,'caseload data'!F:F),"")</f>
        <v/>
      </c>
      <c r="E88" s="175" t="str">
        <f>IFERROR(SUMIFS('caseload data'!G:G,'caseload data'!$C:$C,'divisional &amp; regional caseload%'!$B$85,'caseload data'!$D:$D,"PSO")/SUMIF('caseload data'!$C:$C,'divisional &amp; regional caseload%'!$B$85,'caseload data'!G:G),"")</f>
        <v/>
      </c>
      <c r="F88" s="175" t="str">
        <f>IFERROR(SUMIFS('caseload data'!H:H,'caseload data'!$C:$C,'divisional &amp; regional caseload%'!$B$85,'caseload data'!$D:$D,"PSO")/SUMIF('caseload data'!$C:$C,'divisional &amp; regional caseload%'!$B$85,'caseload data'!H:H),"")</f>
        <v/>
      </c>
      <c r="G88" s="175" t="str">
        <f>IFERROR(SUMIFS('caseload data'!I:I,'caseload data'!$C:$C,'divisional &amp; regional caseload%'!$B$85,'caseload data'!$D:$D,"PSO")/SUMIF('caseload data'!$C:$C,'divisional &amp; regional caseload%'!$B$85,'caseload data'!I:I),"")</f>
        <v/>
      </c>
      <c r="H88" s="175" t="str">
        <f>IFERROR(SUMIFS('caseload data'!J:J,'caseload data'!$C:$C,'divisional &amp; regional caseload%'!$B$85,'caseload data'!$D:$D,"PSO")/SUMIF('caseload data'!$C:$C,'divisional &amp; regional caseload%'!$B$85,'caseload data'!J:J),"")</f>
        <v/>
      </c>
      <c r="I88" s="175" t="str">
        <f>IFERROR(SUMIFS('caseload data'!K:K,'caseload data'!$C:$C,'divisional &amp; regional caseload%'!$B$85,'caseload data'!$D:$D,"PSO")/SUMIF('caseload data'!$C:$C,'divisional &amp; regional caseload%'!$B$85,'caseload data'!K:K),"")</f>
        <v/>
      </c>
      <c r="J88" s="175" t="str">
        <f>IFERROR(SUMIFS('caseload data'!L:L,'caseload data'!$C:$C,'divisional &amp; regional caseload%'!$B$85,'caseload data'!$D:$D,"PSO")/SUMIF('caseload data'!$C:$C,'divisional &amp; regional caseload%'!$B$85,'caseload data'!L:L),"")</f>
        <v/>
      </c>
      <c r="K88" s="175" t="str">
        <f>IFERROR(SUMIFS('caseload data'!M:M,'caseload data'!$C:$C,'divisional &amp; regional caseload%'!$B$85,'caseload data'!$D:$D,"PSO")/SUMIF('caseload data'!$C:$C,'divisional &amp; regional caseload%'!$B$85,'caseload data'!M:M),"")</f>
        <v/>
      </c>
      <c r="L88" s="175" t="str">
        <f>IFERROR(SUMIFS('caseload data'!N:N,'caseload data'!$C:$C,'divisional &amp; regional caseload%'!$B$85,'caseload data'!$D:$D,"PSO")/SUMIF('caseload data'!$C:$C,'divisional &amp; regional caseload%'!$B$85,'caseload data'!N:N),"")</f>
        <v/>
      </c>
      <c r="M88" s="175" t="str">
        <f>IFERROR(SUMIFS('caseload data'!O:O,'caseload data'!$C:$C,'divisional &amp; regional caseload%'!$B$85,'caseload data'!$D:$D,"PSO")/SUMIF('caseload data'!$C:$C,'divisional &amp; regional caseload%'!$B$85,'caseload data'!O:O),"")</f>
        <v/>
      </c>
      <c r="N88" s="175" t="str">
        <f>IFERROR(SUMIFS('caseload data'!P:P,'caseload data'!$C:$C,'divisional &amp; regional caseload%'!$B$85,'caseload data'!$D:$D,"PSO")/SUMIF('caseload data'!$C:$C,'divisional &amp; regional caseload%'!$B$85,'caseload data'!P:P),"")</f>
        <v/>
      </c>
      <c r="O88" s="175" t="str">
        <f>IFERROR(SUMIFS('caseload data'!Q:Q,'caseload data'!$C:$C,'divisional &amp; regional caseload%'!$B$85,'caseload data'!$D:$D,"PSO")/SUMIF('caseload data'!$C:$C,'divisional &amp; regional caseload%'!$B$85,'caseload data'!Q:Q),"")</f>
        <v/>
      </c>
      <c r="P88" s="175" t="str">
        <f>IFERROR(SUMIFS('caseload data'!R:R,'caseload data'!$C:$C,'divisional &amp; regional caseload%'!$B$85,'caseload data'!$D:$D,"PSO")/SUMIF('caseload data'!$C:$C,'divisional &amp; regional caseload%'!$B$85,'caseload data'!R:R),"")</f>
        <v/>
      </c>
      <c r="Q88" s="175" t="str">
        <f>IFERROR(SUMIFS('caseload data'!S:S,'caseload data'!$C:$C,'divisional &amp; regional caseload%'!$B$85,'caseload data'!$D:$D,"PSO")/SUMIF('caseload data'!$C:$C,'divisional &amp; regional caseload%'!$B$85,'caseload data'!S:S),"")</f>
        <v/>
      </c>
      <c r="R88" s="175" t="str">
        <f>IFERROR(SUMIFS('caseload data'!T:T,'caseload data'!$C:$C,'divisional &amp; regional caseload%'!$B$85,'caseload data'!$D:$D,"PSO")/SUMIF('caseload data'!$C:$C,'divisional &amp; regional caseload%'!$B$85,'caseload data'!T:T),"")</f>
        <v/>
      </c>
      <c r="T88" s="101" t="s">
        <v>1172</v>
      </c>
      <c r="U88" s="175" t="str">
        <f>IFERROR(SUMIFS('caseload data'!E:E,'caseload data'!$C:$C,'divisional &amp; regional caseload%'!$T$85,'caseload data'!$D:$D,"PSO")/SUMIF('caseload data'!$C:$C,'divisional &amp; regional caseload%'!$T$85,'caseload data'!E:E),"")</f>
        <v/>
      </c>
      <c r="V88" s="175" t="str">
        <f>IFERROR(SUMIFS('caseload data'!F:F,'caseload data'!$C:$C,'divisional &amp; regional caseload%'!$T$85,'caseload data'!$D:$D,"PSO")/SUMIF('caseload data'!$C:$C,'divisional &amp; regional caseload%'!$T$85,'caseload data'!F:F),"")</f>
        <v/>
      </c>
      <c r="W88" s="175" t="str">
        <f>IFERROR(SUMIFS('caseload data'!G:G,'caseload data'!$C:$C,'divisional &amp; regional caseload%'!$T$85,'caseload data'!$D:$D,"PSO")/SUMIF('caseload data'!$C:$C,'divisional &amp; regional caseload%'!$T$85,'caseload data'!G:G),"")</f>
        <v/>
      </c>
      <c r="X88" s="175" t="str">
        <f>IFERROR(SUMIFS('caseload data'!H:H,'caseload data'!$C:$C,'divisional &amp; regional caseload%'!$T$85,'caseload data'!$D:$D,"PSO")/SUMIF('caseload data'!$C:$C,'divisional &amp; regional caseload%'!$T$85,'caseload data'!H:H),"")</f>
        <v/>
      </c>
      <c r="Y88" s="175" t="str">
        <f>IFERROR(SUMIFS('caseload data'!I:I,'caseload data'!$C:$C,'divisional &amp; regional caseload%'!$T$85,'caseload data'!$D:$D,"PSO")/SUMIF('caseload data'!$C:$C,'divisional &amp; regional caseload%'!$T$85,'caseload data'!I:I),"")</f>
        <v/>
      </c>
      <c r="Z88" s="175" t="str">
        <f>IFERROR(SUMIFS('caseload data'!J:J,'caseload data'!$C:$C,'divisional &amp; regional caseload%'!$T$85,'caseload data'!$D:$D,"PSO")/SUMIF('caseload data'!$C:$C,'divisional &amp; regional caseload%'!$T$85,'caseload data'!J:J),"")</f>
        <v/>
      </c>
      <c r="AA88" s="175" t="str">
        <f>IFERROR(SUMIFS('caseload data'!K:K,'caseload data'!$C:$C,'divisional &amp; regional caseload%'!$T$85,'caseload data'!$D:$D,"PSO")/SUMIF('caseload data'!$C:$C,'divisional &amp; regional caseload%'!$T$85,'caseload data'!K:K),"")</f>
        <v/>
      </c>
      <c r="AB88" s="175" t="str">
        <f>IFERROR(SUMIFS('caseload data'!L:L,'caseload data'!$C:$C,'divisional &amp; regional caseload%'!$T$85,'caseload data'!$D:$D,"PSO")/SUMIF('caseload data'!$C:$C,'divisional &amp; regional caseload%'!$T$85,'caseload data'!L:L),"")</f>
        <v/>
      </c>
      <c r="AC88" s="175" t="str">
        <f>IFERROR(SUMIFS('caseload data'!M:M,'caseload data'!$C:$C,'divisional &amp; regional caseload%'!$T$85,'caseload data'!$D:$D,"PSO")/SUMIF('caseload data'!$C:$C,'divisional &amp; regional caseload%'!$T$85,'caseload data'!M:M),"")</f>
        <v/>
      </c>
      <c r="AD88" s="175" t="str">
        <f>IFERROR(SUMIFS('caseload data'!N:N,'caseload data'!$C:$C,'divisional &amp; regional caseload%'!$T$85,'caseload data'!$D:$D,"PSO")/SUMIF('caseload data'!$C:$C,'divisional &amp; regional caseload%'!$T$85,'caseload data'!N:N),"")</f>
        <v/>
      </c>
      <c r="AE88" s="175" t="str">
        <f>IFERROR(SUMIFS('caseload data'!O:O,'caseload data'!$C:$C,'divisional &amp; regional caseload%'!$T$85,'caseload data'!$D:$D,"PSO")/SUMIF('caseload data'!$C:$C,'divisional &amp; regional caseload%'!$T$85,'caseload data'!O:O),"")</f>
        <v/>
      </c>
      <c r="AF88" s="175" t="str">
        <f>IFERROR(SUMIFS('caseload data'!P:P,'caseload data'!$C:$C,'divisional &amp; regional caseload%'!$T$85,'caseload data'!$D:$D,"PSO")/SUMIF('caseload data'!$C:$C,'divisional &amp; regional caseload%'!$T$85,'caseload data'!P:P),"")</f>
        <v/>
      </c>
      <c r="AG88" s="175" t="str">
        <f>IFERROR(SUMIFS('caseload data'!Q:Q,'caseload data'!$C:$C,'divisional &amp; regional caseload%'!$T$85,'caseload data'!$D:$D,"PSO")/SUMIF('caseload data'!$C:$C,'divisional &amp; regional caseload%'!$T$85,'caseload data'!Q:Q),"")</f>
        <v/>
      </c>
      <c r="AH88" s="175" t="str">
        <f>IFERROR(SUMIFS('caseload data'!R:R,'caseload data'!$C:$C,'divisional &amp; regional caseload%'!$T$85,'caseload data'!$D:$D,"PSO")/SUMIF('caseload data'!$C:$C,'divisional &amp; regional caseload%'!$T$85,'caseload data'!R:R),"")</f>
        <v/>
      </c>
      <c r="AI88" s="175" t="str">
        <f>IFERROR(SUMIFS('caseload data'!S:S,'caseload data'!$C:$C,'divisional &amp; regional caseload%'!$T$85,'caseload data'!$D:$D,"PSO")/SUMIF('caseload data'!$C:$C,'divisional &amp; regional caseload%'!$T$85,'caseload data'!S:S),"")</f>
        <v/>
      </c>
      <c r="AJ88" s="175" t="str">
        <f>IFERROR(SUMIFS('caseload data'!T:T,'caseload data'!$C:$C,'divisional &amp; regional caseload%'!$T$85,'caseload data'!$D:$D,"PSO")/SUMIF('caseload data'!$C:$C,'divisional &amp; regional caseload%'!$T$85,'caseload data'!T:T),"")</f>
        <v/>
      </c>
    </row>
    <row r="89" spans="2:36" x14ac:dyDescent="0.15">
      <c r="B89" s="101" t="s">
        <v>1173</v>
      </c>
      <c r="C89" s="175" t="str">
        <f>IFERROR(SUMIFS('caseload data'!E:E,'caseload data'!$C:$C,'divisional &amp; regional caseload%'!$B$85,'caseload data'!$D:$D,"TPO")/SUMIF('caseload data'!$C:$C,'divisional &amp; regional caseload%'!$B$85,'caseload data'!E:E),"")</f>
        <v/>
      </c>
      <c r="D89" s="175" t="str">
        <f>IFERROR(SUMIFS('caseload data'!F:F,'caseload data'!$C:$C,'divisional &amp; regional caseload%'!$B$85,'caseload data'!$D:$D,"TPO")/SUMIF('caseload data'!$C:$C,'divisional &amp; regional caseload%'!$B$85,'caseload data'!F:F),"")</f>
        <v/>
      </c>
      <c r="E89" s="175" t="str">
        <f>IFERROR(SUMIFS('caseload data'!G:G,'caseload data'!$C:$C,'divisional &amp; regional caseload%'!$B$85,'caseload data'!$D:$D,"TPO")/SUMIF('caseload data'!$C:$C,'divisional &amp; regional caseload%'!$B$85,'caseload data'!G:G),"")</f>
        <v/>
      </c>
      <c r="F89" s="175" t="str">
        <f>IFERROR(SUMIFS('caseload data'!H:H,'caseload data'!$C:$C,'divisional &amp; regional caseload%'!$B$85,'caseload data'!$D:$D,"TPO")/SUMIF('caseload data'!$C:$C,'divisional &amp; regional caseload%'!$B$85,'caseload data'!H:H),"")</f>
        <v/>
      </c>
      <c r="G89" s="175" t="str">
        <f>IFERROR(SUMIFS('caseload data'!I:I,'caseload data'!$C:$C,'divisional &amp; regional caseload%'!$B$85,'caseload data'!$D:$D,"TPO")/SUMIF('caseload data'!$C:$C,'divisional &amp; regional caseload%'!$B$85,'caseload data'!I:I),"")</f>
        <v/>
      </c>
      <c r="H89" s="175" t="str">
        <f>IFERROR(SUMIFS('caseload data'!J:J,'caseload data'!$C:$C,'divisional &amp; regional caseload%'!$B$85,'caseload data'!$D:$D,"TPO")/SUMIF('caseload data'!$C:$C,'divisional &amp; regional caseload%'!$B$85,'caseload data'!J:J),"")</f>
        <v/>
      </c>
      <c r="I89" s="175" t="str">
        <f>IFERROR(SUMIFS('caseload data'!K:K,'caseload data'!$C:$C,'divisional &amp; regional caseload%'!$B$85,'caseload data'!$D:$D,"TPO")/SUMIF('caseload data'!$C:$C,'divisional &amp; regional caseload%'!$B$85,'caseload data'!K:K),"")</f>
        <v/>
      </c>
      <c r="J89" s="175" t="str">
        <f>IFERROR(SUMIFS('caseload data'!L:L,'caseload data'!$C:$C,'divisional &amp; regional caseload%'!$B$85,'caseload data'!$D:$D,"TPO")/SUMIF('caseload data'!$C:$C,'divisional &amp; regional caseload%'!$B$85,'caseload data'!L:L),"")</f>
        <v/>
      </c>
      <c r="K89" s="175" t="str">
        <f>IFERROR(SUMIFS('caseload data'!M:M,'caseload data'!$C:$C,'divisional &amp; regional caseload%'!$B$85,'caseload data'!$D:$D,"TPO")/SUMIF('caseload data'!$C:$C,'divisional &amp; regional caseload%'!$B$85,'caseload data'!M:M),"")</f>
        <v/>
      </c>
      <c r="L89" s="175" t="str">
        <f>IFERROR(SUMIFS('caseload data'!N:N,'caseload data'!$C:$C,'divisional &amp; regional caseload%'!$B$85,'caseload data'!$D:$D,"TPO")/SUMIF('caseload data'!$C:$C,'divisional &amp; regional caseload%'!$B$85,'caseload data'!N:N),"")</f>
        <v/>
      </c>
      <c r="M89" s="175" t="str">
        <f>IFERROR(SUMIFS('caseload data'!O:O,'caseload data'!$C:$C,'divisional &amp; regional caseload%'!$B$85,'caseload data'!$D:$D,"TPO")/SUMIF('caseload data'!$C:$C,'divisional &amp; regional caseload%'!$B$85,'caseload data'!O:O),"")</f>
        <v/>
      </c>
      <c r="N89" s="175" t="str">
        <f>IFERROR(SUMIFS('caseload data'!P:P,'caseload data'!$C:$C,'divisional &amp; regional caseload%'!$B$85,'caseload data'!$D:$D,"TPO")/SUMIF('caseload data'!$C:$C,'divisional &amp; regional caseload%'!$B$85,'caseload data'!P:P),"")</f>
        <v/>
      </c>
      <c r="O89" s="175" t="str">
        <f>IFERROR(SUMIFS('caseload data'!Q:Q,'caseload data'!$C:$C,'divisional &amp; regional caseload%'!$B$85,'caseload data'!$D:$D,"TPO")/SUMIF('caseload data'!$C:$C,'divisional &amp; regional caseload%'!$B$85,'caseload data'!Q:Q),"")</f>
        <v/>
      </c>
      <c r="P89" s="175" t="str">
        <f>IFERROR(SUMIFS('caseload data'!R:R,'caseload data'!$C:$C,'divisional &amp; regional caseload%'!$B$85,'caseload data'!$D:$D,"TPO")/SUMIF('caseload data'!$C:$C,'divisional &amp; regional caseload%'!$B$85,'caseload data'!R:R),"")</f>
        <v/>
      </c>
      <c r="Q89" s="175" t="str">
        <f>IFERROR(SUMIFS('caseload data'!S:S,'caseload data'!$C:$C,'divisional &amp; regional caseload%'!$B$85,'caseload data'!$D:$D,"TPO")/SUMIF('caseload data'!$C:$C,'divisional &amp; regional caseload%'!$B$85,'caseload data'!S:S),"")</f>
        <v/>
      </c>
      <c r="R89" s="175" t="str">
        <f>IFERROR(SUMIFS('caseload data'!T:T,'caseload data'!$C:$C,'divisional &amp; regional caseload%'!$B$85,'caseload data'!$D:$D,"TPO")/SUMIF('caseload data'!$C:$C,'divisional &amp; regional caseload%'!$B$85,'caseload data'!T:T),"")</f>
        <v/>
      </c>
      <c r="T89" s="101" t="s">
        <v>1173</v>
      </c>
      <c r="U89" s="175" t="str">
        <f>IFERROR(SUMIFS('caseload data'!E:E,'caseload data'!$C:$C,'divisional &amp; regional caseload%'!$T$85,'caseload data'!$D:$D,"TPO")/SUMIF('caseload data'!$C:$C,'divisional &amp; regional caseload%'!$T$85,'caseload data'!E:E),"")</f>
        <v/>
      </c>
      <c r="V89" s="175" t="str">
        <f>IFERROR(SUMIFS('caseload data'!F:F,'caseload data'!$C:$C,'divisional &amp; regional caseload%'!$T$85,'caseload data'!$D:$D,"TPO")/SUMIF('caseload data'!$C:$C,'divisional &amp; regional caseload%'!$T$85,'caseload data'!F:F),"")</f>
        <v/>
      </c>
      <c r="W89" s="175" t="str">
        <f>IFERROR(SUMIFS('caseload data'!G:G,'caseload data'!$C:$C,'divisional &amp; regional caseload%'!$T$85,'caseload data'!$D:$D,"TPO")/SUMIF('caseload data'!$C:$C,'divisional &amp; regional caseload%'!$T$85,'caseload data'!G:G),"")</f>
        <v/>
      </c>
      <c r="X89" s="175" t="str">
        <f>IFERROR(SUMIFS('caseload data'!H:H,'caseload data'!$C:$C,'divisional &amp; regional caseload%'!$T$85,'caseload data'!$D:$D,"TPO")/SUMIF('caseload data'!$C:$C,'divisional &amp; regional caseload%'!$T$85,'caseload data'!H:H),"")</f>
        <v/>
      </c>
      <c r="Y89" s="175" t="str">
        <f>IFERROR(SUMIFS('caseload data'!I:I,'caseload data'!$C:$C,'divisional &amp; regional caseload%'!$T$85,'caseload data'!$D:$D,"TPO")/SUMIF('caseload data'!$C:$C,'divisional &amp; regional caseload%'!$T$85,'caseload data'!I:I),"")</f>
        <v/>
      </c>
      <c r="Z89" s="175" t="str">
        <f>IFERROR(SUMIFS('caseload data'!J:J,'caseload data'!$C:$C,'divisional &amp; regional caseload%'!$T$85,'caseload data'!$D:$D,"TPO")/SUMIF('caseload data'!$C:$C,'divisional &amp; regional caseload%'!$T$85,'caseload data'!J:J),"")</f>
        <v/>
      </c>
      <c r="AA89" s="175" t="str">
        <f>IFERROR(SUMIFS('caseload data'!K:K,'caseload data'!$C:$C,'divisional &amp; regional caseload%'!$T$85,'caseload data'!$D:$D,"TPO")/SUMIF('caseload data'!$C:$C,'divisional &amp; regional caseload%'!$T$85,'caseload data'!K:K),"")</f>
        <v/>
      </c>
      <c r="AB89" s="175" t="str">
        <f>IFERROR(SUMIFS('caseload data'!L:L,'caseload data'!$C:$C,'divisional &amp; regional caseload%'!$T$85,'caseload data'!$D:$D,"TPO")/SUMIF('caseload data'!$C:$C,'divisional &amp; regional caseload%'!$T$85,'caseload data'!L:L),"")</f>
        <v/>
      </c>
      <c r="AC89" s="175" t="str">
        <f>IFERROR(SUMIFS('caseload data'!M:M,'caseload data'!$C:$C,'divisional &amp; regional caseload%'!$T$85,'caseload data'!$D:$D,"TPO")/SUMIF('caseload data'!$C:$C,'divisional &amp; regional caseload%'!$T$85,'caseload data'!M:M),"")</f>
        <v/>
      </c>
      <c r="AD89" s="175" t="str">
        <f>IFERROR(SUMIFS('caseload data'!N:N,'caseload data'!$C:$C,'divisional &amp; regional caseload%'!$T$85,'caseload data'!$D:$D,"TPO")/SUMIF('caseload data'!$C:$C,'divisional &amp; regional caseload%'!$T$85,'caseload data'!N:N),"")</f>
        <v/>
      </c>
      <c r="AE89" s="175" t="str">
        <f>IFERROR(SUMIFS('caseload data'!O:O,'caseload data'!$C:$C,'divisional &amp; regional caseload%'!$T$85,'caseload data'!$D:$D,"TPO")/SUMIF('caseload data'!$C:$C,'divisional &amp; regional caseload%'!$T$85,'caseload data'!O:O),"")</f>
        <v/>
      </c>
      <c r="AF89" s="175" t="str">
        <f>IFERROR(SUMIFS('caseload data'!P:P,'caseload data'!$C:$C,'divisional &amp; regional caseload%'!$T$85,'caseload data'!$D:$D,"TPO")/SUMIF('caseload data'!$C:$C,'divisional &amp; regional caseload%'!$T$85,'caseload data'!P:P),"")</f>
        <v/>
      </c>
      <c r="AG89" s="175" t="str">
        <f>IFERROR(SUMIFS('caseload data'!Q:Q,'caseload data'!$C:$C,'divisional &amp; regional caseload%'!$T$85,'caseload data'!$D:$D,"TPO")/SUMIF('caseload data'!$C:$C,'divisional &amp; regional caseload%'!$T$85,'caseload data'!Q:Q),"")</f>
        <v/>
      </c>
      <c r="AH89" s="175" t="str">
        <f>IFERROR(SUMIFS('caseload data'!R:R,'caseload data'!$C:$C,'divisional &amp; regional caseload%'!$T$85,'caseload data'!$D:$D,"TPO")/SUMIF('caseload data'!$C:$C,'divisional &amp; regional caseload%'!$T$85,'caseload data'!R:R),"")</f>
        <v/>
      </c>
      <c r="AI89" s="175" t="str">
        <f>IFERROR(SUMIFS('caseload data'!S:S,'caseload data'!$C:$C,'divisional &amp; regional caseload%'!$T$85,'caseload data'!$D:$D,"TPO")/SUMIF('caseload data'!$C:$C,'divisional &amp; regional caseload%'!$T$85,'caseload data'!S:S),"")</f>
        <v/>
      </c>
      <c r="AJ89" s="175" t="str">
        <f>IFERROR(SUMIFS('caseload data'!T:T,'caseload data'!$C:$C,'divisional &amp; regional caseload%'!$T$85,'caseload data'!$D:$D,"TPO")/SUMIF('caseload data'!$C:$C,'divisional &amp; regional caseload%'!$T$85,'caseload data'!T:T),"")</f>
        <v/>
      </c>
    </row>
    <row r="90" spans="2:36" x14ac:dyDescent="0.15">
      <c r="B90" s="102" t="s">
        <v>1174</v>
      </c>
      <c r="C90" s="175" t="str">
        <f>IFERROR(SUMIFS('caseload data'!E:E,'caseload data'!$C:$C,'divisional &amp; regional caseload%'!$B$85,'caseload data'!$D:$D,"SPO")/SUMIF('caseload data'!$C:$C,'divisional &amp; regional caseload%'!$B$85,'caseload data'!E:E),"")</f>
        <v/>
      </c>
      <c r="D90" s="175" t="str">
        <f>IFERROR(SUMIFS('caseload data'!F:F,'caseload data'!$C:$C,'divisional &amp; regional caseload%'!$B$85,'caseload data'!$D:$D,"SPO")/SUMIF('caseload data'!$C:$C,'divisional &amp; regional caseload%'!$B$85,'caseload data'!F:F),"")</f>
        <v/>
      </c>
      <c r="E90" s="175" t="str">
        <f>IFERROR(SUMIFS('caseload data'!G:G,'caseload data'!$C:$C,'divisional &amp; regional caseload%'!$B$85,'caseload data'!$D:$D,"SPO")/SUMIF('caseload data'!$C:$C,'divisional &amp; regional caseload%'!$B$85,'caseload data'!G:G),"")</f>
        <v/>
      </c>
      <c r="F90" s="175" t="str">
        <f>IFERROR(SUMIFS('caseload data'!H:H,'caseload data'!$C:$C,'divisional &amp; regional caseload%'!$B$85,'caseload data'!$D:$D,"SPO")/SUMIF('caseload data'!$C:$C,'divisional &amp; regional caseload%'!$B$85,'caseload data'!H:H),"")</f>
        <v/>
      </c>
      <c r="G90" s="175" t="str">
        <f>IFERROR(SUMIFS('caseload data'!I:I,'caseload data'!$C:$C,'divisional &amp; regional caseload%'!$B$85,'caseload data'!$D:$D,"SPO")/SUMIF('caseload data'!$C:$C,'divisional &amp; regional caseload%'!$B$85,'caseload data'!I:I),"")</f>
        <v/>
      </c>
      <c r="H90" s="175" t="str">
        <f>IFERROR(SUMIFS('caseload data'!J:J,'caseload data'!$C:$C,'divisional &amp; regional caseload%'!$B$85,'caseload data'!$D:$D,"SPO")/SUMIF('caseload data'!$C:$C,'divisional &amp; regional caseload%'!$B$85,'caseload data'!J:J),"")</f>
        <v/>
      </c>
      <c r="I90" s="175" t="str">
        <f>IFERROR(SUMIFS('caseload data'!K:K,'caseload data'!$C:$C,'divisional &amp; regional caseload%'!$B$85,'caseload data'!$D:$D,"SPO")/SUMIF('caseload data'!$C:$C,'divisional &amp; regional caseload%'!$B$85,'caseload data'!K:K),"")</f>
        <v/>
      </c>
      <c r="J90" s="175" t="str">
        <f>IFERROR(SUMIFS('caseload data'!L:L,'caseload data'!$C:$C,'divisional &amp; regional caseload%'!$B$85,'caseload data'!$D:$D,"SPO")/SUMIF('caseload data'!$C:$C,'divisional &amp; regional caseload%'!$B$85,'caseload data'!L:L),"")</f>
        <v/>
      </c>
      <c r="K90" s="175" t="str">
        <f>IFERROR(SUMIFS('caseload data'!M:M,'caseload data'!$C:$C,'divisional &amp; regional caseload%'!$B$85,'caseload data'!$D:$D,"SPO")/SUMIF('caseload data'!$C:$C,'divisional &amp; regional caseload%'!$B$85,'caseload data'!M:M),"")</f>
        <v/>
      </c>
      <c r="L90" s="175" t="str">
        <f>IFERROR(SUMIFS('caseload data'!N:N,'caseload data'!$C:$C,'divisional &amp; regional caseload%'!$B$85,'caseload data'!$D:$D,"SPO")/SUMIF('caseload data'!$C:$C,'divisional &amp; regional caseload%'!$B$85,'caseload data'!N:N),"")</f>
        <v/>
      </c>
      <c r="M90" s="175" t="str">
        <f>IFERROR(SUMIFS('caseload data'!O:O,'caseload data'!$C:$C,'divisional &amp; regional caseload%'!$B$85,'caseload data'!$D:$D,"SPO")/SUMIF('caseload data'!$C:$C,'divisional &amp; regional caseload%'!$B$85,'caseload data'!O:O),"")</f>
        <v/>
      </c>
      <c r="N90" s="175" t="str">
        <f>IFERROR(SUMIFS('caseload data'!P:P,'caseload data'!$C:$C,'divisional &amp; regional caseload%'!$B$85,'caseload data'!$D:$D,"SPO")/SUMIF('caseload data'!$C:$C,'divisional &amp; regional caseload%'!$B$85,'caseload data'!P:P),"")</f>
        <v/>
      </c>
      <c r="O90" s="175" t="str">
        <f>IFERROR(SUMIFS('caseload data'!Q:Q,'caseload data'!$C:$C,'divisional &amp; regional caseload%'!$B$85,'caseload data'!$D:$D,"SPO")/SUMIF('caseload data'!$C:$C,'divisional &amp; regional caseload%'!$B$85,'caseload data'!Q:Q),"")</f>
        <v/>
      </c>
      <c r="P90" s="175" t="str">
        <f>IFERROR(SUMIFS('caseload data'!R:R,'caseload data'!$C:$C,'divisional &amp; regional caseload%'!$B$85,'caseload data'!$D:$D,"SPO")/SUMIF('caseload data'!$C:$C,'divisional &amp; regional caseload%'!$B$85,'caseload data'!R:R),"")</f>
        <v/>
      </c>
      <c r="Q90" s="175" t="str">
        <f>IFERROR(SUMIFS('caseload data'!S:S,'caseload data'!$C:$C,'divisional &amp; regional caseload%'!$B$85,'caseload data'!$D:$D,"SPO")/SUMIF('caseload data'!$C:$C,'divisional &amp; regional caseload%'!$B$85,'caseload data'!S:S),"")</f>
        <v/>
      </c>
      <c r="R90" s="175" t="str">
        <f>IFERROR(SUMIFS('caseload data'!T:T,'caseload data'!$C:$C,'divisional &amp; regional caseload%'!$B$85,'caseload data'!$D:$D,"SPO")/SUMIF('caseload data'!$C:$C,'divisional &amp; regional caseload%'!$B$85,'caseload data'!T:T),"")</f>
        <v/>
      </c>
      <c r="T90" s="102" t="s">
        <v>1174</v>
      </c>
      <c r="U90" s="175" t="str">
        <f>IFERROR(SUMIFS('caseload data'!E:E,'caseload data'!$C:$C,'divisional &amp; regional caseload%'!$T$85,'caseload data'!$D:$D,"SPO")/SUMIF('caseload data'!$C:$C,'divisional &amp; regional caseload%'!$T$85,'caseload data'!E:E),"")</f>
        <v/>
      </c>
      <c r="V90" s="175" t="str">
        <f>IFERROR(SUMIFS('caseload data'!F:F,'caseload data'!$C:$C,'divisional &amp; regional caseload%'!$T$85,'caseload data'!$D:$D,"SPO")/SUMIF('caseload data'!$C:$C,'divisional &amp; regional caseload%'!$T$85,'caseload data'!F:F),"")</f>
        <v/>
      </c>
      <c r="W90" s="175" t="str">
        <f>IFERROR(SUMIFS('caseload data'!G:G,'caseload data'!$C:$C,'divisional &amp; regional caseload%'!$T$85,'caseload data'!$D:$D,"SPO")/SUMIF('caseload data'!$C:$C,'divisional &amp; regional caseload%'!$T$85,'caseload data'!G:G),"")</f>
        <v/>
      </c>
      <c r="X90" s="175" t="str">
        <f>IFERROR(SUMIFS('caseload data'!H:H,'caseload data'!$C:$C,'divisional &amp; regional caseload%'!$T$85,'caseload data'!$D:$D,"SPO")/SUMIF('caseload data'!$C:$C,'divisional &amp; regional caseload%'!$T$85,'caseload data'!H:H),"")</f>
        <v/>
      </c>
      <c r="Y90" s="175" t="str">
        <f>IFERROR(SUMIFS('caseload data'!I:I,'caseload data'!$C:$C,'divisional &amp; regional caseload%'!$T$85,'caseload data'!$D:$D,"SPO")/SUMIF('caseload data'!$C:$C,'divisional &amp; regional caseload%'!$T$85,'caseload data'!I:I),"")</f>
        <v/>
      </c>
      <c r="Z90" s="175" t="str">
        <f>IFERROR(SUMIFS('caseload data'!J:J,'caseload data'!$C:$C,'divisional &amp; regional caseload%'!$T$85,'caseload data'!$D:$D,"SPO")/SUMIF('caseload data'!$C:$C,'divisional &amp; regional caseload%'!$T$85,'caseload data'!J:J),"")</f>
        <v/>
      </c>
      <c r="AA90" s="175" t="str">
        <f>IFERROR(SUMIFS('caseload data'!K:K,'caseload data'!$C:$C,'divisional &amp; regional caseload%'!$T$85,'caseload data'!$D:$D,"SPO")/SUMIF('caseload data'!$C:$C,'divisional &amp; regional caseload%'!$T$85,'caseload data'!K:K),"")</f>
        <v/>
      </c>
      <c r="AB90" s="175" t="str">
        <f>IFERROR(SUMIFS('caseload data'!L:L,'caseload data'!$C:$C,'divisional &amp; regional caseload%'!$T$85,'caseload data'!$D:$D,"SPO")/SUMIF('caseload data'!$C:$C,'divisional &amp; regional caseload%'!$T$85,'caseload data'!L:L),"")</f>
        <v/>
      </c>
      <c r="AC90" s="175" t="str">
        <f>IFERROR(SUMIFS('caseload data'!M:M,'caseload data'!$C:$C,'divisional &amp; regional caseload%'!$T$85,'caseload data'!$D:$D,"SPO")/SUMIF('caseload data'!$C:$C,'divisional &amp; regional caseload%'!$T$85,'caseload data'!M:M),"")</f>
        <v/>
      </c>
      <c r="AD90" s="175" t="str">
        <f>IFERROR(SUMIFS('caseload data'!N:N,'caseload data'!$C:$C,'divisional &amp; regional caseload%'!$T$85,'caseload data'!$D:$D,"SPO")/SUMIF('caseload data'!$C:$C,'divisional &amp; regional caseload%'!$T$85,'caseload data'!N:N),"")</f>
        <v/>
      </c>
      <c r="AE90" s="175" t="str">
        <f>IFERROR(SUMIFS('caseload data'!O:O,'caseload data'!$C:$C,'divisional &amp; regional caseload%'!$T$85,'caseload data'!$D:$D,"SPO")/SUMIF('caseload data'!$C:$C,'divisional &amp; regional caseload%'!$T$85,'caseload data'!O:O),"")</f>
        <v/>
      </c>
      <c r="AF90" s="175" t="str">
        <f>IFERROR(SUMIFS('caseload data'!P:P,'caseload data'!$C:$C,'divisional &amp; regional caseload%'!$T$85,'caseload data'!$D:$D,"SPO")/SUMIF('caseload data'!$C:$C,'divisional &amp; regional caseload%'!$T$85,'caseload data'!P:P),"")</f>
        <v/>
      </c>
      <c r="AG90" s="175" t="str">
        <f>IFERROR(SUMIFS('caseload data'!Q:Q,'caseload data'!$C:$C,'divisional &amp; regional caseload%'!$T$85,'caseload data'!$D:$D,"SPO")/SUMIF('caseload data'!$C:$C,'divisional &amp; regional caseload%'!$T$85,'caseload data'!Q:Q),"")</f>
        <v/>
      </c>
      <c r="AH90" s="175" t="str">
        <f>IFERROR(SUMIFS('caseload data'!R:R,'caseload data'!$C:$C,'divisional &amp; regional caseload%'!$T$85,'caseload data'!$D:$D,"SPO")/SUMIF('caseload data'!$C:$C,'divisional &amp; regional caseload%'!$T$85,'caseload data'!R:R),"")</f>
        <v/>
      </c>
      <c r="AI90" s="175" t="str">
        <f>IFERROR(SUMIFS('caseload data'!S:S,'caseload data'!$C:$C,'divisional &amp; regional caseload%'!$T$85,'caseload data'!$D:$D,"SPO")/SUMIF('caseload data'!$C:$C,'divisional &amp; regional caseload%'!$T$85,'caseload data'!S:S),"")</f>
        <v/>
      </c>
      <c r="AJ90" s="175" t="str">
        <f>IFERROR(SUMIFS('caseload data'!T:T,'caseload data'!$C:$C,'divisional &amp; regional caseload%'!$T$85,'caseload data'!$D:$D,"SPO")/SUMIF('caseload data'!$C:$C,'divisional &amp; regional caseload%'!$T$85,'caseload data'!T:T),"")</f>
        <v/>
      </c>
    </row>
    <row r="92" spans="2:36" ht="23.25" customHeight="1" x14ac:dyDescent="0.15">
      <c r="B92" s="150">
        <f>HLOOKUP($B$5,Region_Table,26,0)</f>
        <v>0</v>
      </c>
      <c r="C92" s="475" t="s">
        <v>1271</v>
      </c>
      <c r="D92" s="476"/>
      <c r="E92" s="476"/>
      <c r="F92" s="476"/>
      <c r="G92" s="476"/>
      <c r="H92" s="476"/>
      <c r="I92" s="476"/>
      <c r="J92" s="476"/>
      <c r="K92" s="476"/>
      <c r="L92" s="476"/>
      <c r="M92" s="477"/>
      <c r="N92" s="477"/>
      <c r="O92" s="478"/>
      <c r="P92" s="462">
        <f>SUMIF('caseload data'!$C:$C,'divisional &amp; regional caseload%'!B92,'caseload data'!V:V)</f>
        <v>0</v>
      </c>
      <c r="Q92" s="479"/>
      <c r="R92" s="480"/>
      <c r="T92" s="150">
        <f>HLOOKUP($B$5,Region_Table,27,0)</f>
        <v>0</v>
      </c>
      <c r="U92" s="475" t="s">
        <v>1271</v>
      </c>
      <c r="V92" s="476"/>
      <c r="W92" s="476"/>
      <c r="X92" s="476"/>
      <c r="Y92" s="476"/>
      <c r="Z92" s="476"/>
      <c r="AA92" s="476"/>
      <c r="AB92" s="476"/>
      <c r="AC92" s="476"/>
      <c r="AD92" s="476"/>
      <c r="AE92" s="477"/>
      <c r="AF92" s="477"/>
      <c r="AG92" s="478"/>
      <c r="AH92" s="462">
        <f>SUMIF('caseload data'!$C:$C,'divisional &amp; regional caseload%'!T92,'caseload data'!V:V)</f>
        <v>0</v>
      </c>
      <c r="AI92" s="479"/>
      <c r="AJ92" s="480"/>
    </row>
    <row r="93" spans="2:36" x14ac:dyDescent="0.15">
      <c r="B93" s="99" t="s">
        <v>1171</v>
      </c>
      <c r="C93" s="40" t="s">
        <v>1022</v>
      </c>
      <c r="D93" s="40" t="s">
        <v>1023</v>
      </c>
      <c r="E93" s="40" t="s">
        <v>1024</v>
      </c>
      <c r="F93" s="40" t="s">
        <v>1025</v>
      </c>
      <c r="G93" s="40" t="s">
        <v>1026</v>
      </c>
      <c r="H93" s="40" t="s">
        <v>1027</v>
      </c>
      <c r="I93" s="40" t="s">
        <v>1028</v>
      </c>
      <c r="J93" s="40" t="s">
        <v>1029</v>
      </c>
      <c r="K93" s="40" t="s">
        <v>1030</v>
      </c>
      <c r="L93" s="40" t="s">
        <v>1031</v>
      </c>
      <c r="M93" s="40" t="s">
        <v>1032</v>
      </c>
      <c r="N93" s="40" t="s">
        <v>1033</v>
      </c>
      <c r="O93" s="40" t="s">
        <v>1034</v>
      </c>
      <c r="P93" s="40" t="s">
        <v>1035</v>
      </c>
      <c r="Q93" s="40" t="s">
        <v>1036</v>
      </c>
      <c r="R93" s="40" t="s">
        <v>1037</v>
      </c>
      <c r="T93" s="99" t="s">
        <v>1171</v>
      </c>
      <c r="U93" s="40" t="s">
        <v>1022</v>
      </c>
      <c r="V93" s="40" t="s">
        <v>1023</v>
      </c>
      <c r="W93" s="40" t="s">
        <v>1024</v>
      </c>
      <c r="X93" s="40" t="s">
        <v>1025</v>
      </c>
      <c r="Y93" s="40" t="s">
        <v>1026</v>
      </c>
      <c r="Z93" s="40" t="s">
        <v>1027</v>
      </c>
      <c r="AA93" s="40" t="s">
        <v>1028</v>
      </c>
      <c r="AB93" s="40" t="s">
        <v>1029</v>
      </c>
      <c r="AC93" s="40" t="s">
        <v>1030</v>
      </c>
      <c r="AD93" s="40" t="s">
        <v>1031</v>
      </c>
      <c r="AE93" s="40" t="s">
        <v>1032</v>
      </c>
      <c r="AF93" s="40" t="s">
        <v>1033</v>
      </c>
      <c r="AG93" s="40" t="s">
        <v>1034</v>
      </c>
      <c r="AH93" s="40" t="s">
        <v>1035</v>
      </c>
      <c r="AI93" s="40" t="s">
        <v>1036</v>
      </c>
      <c r="AJ93" s="40" t="s">
        <v>1037</v>
      </c>
    </row>
    <row r="94" spans="2:36" x14ac:dyDescent="0.15">
      <c r="B94" s="100" t="s">
        <v>1166</v>
      </c>
      <c r="C94" s="175" t="str">
        <f>IFERROR(SUMIFS('caseload data'!E:E,'caseload data'!$C:$C,'divisional &amp; regional caseload%'!$B$92,'caseload data'!$D:$D,"PO")/SUMIF('caseload data'!$C:$C,'divisional &amp; regional caseload%'!$B$92,'caseload data'!E:E),"")</f>
        <v/>
      </c>
      <c r="D94" s="175" t="str">
        <f>IFERROR(SUMIFS('caseload data'!F:F,'caseload data'!$C:$C,'divisional &amp; regional caseload%'!$B$92,'caseload data'!$D:$D,"PO")/SUMIF('caseload data'!$C:$C,'divisional &amp; regional caseload%'!$B$92,'caseload data'!F:F),"")</f>
        <v/>
      </c>
      <c r="E94" s="175" t="str">
        <f>IFERROR(SUMIFS('caseload data'!G:G,'caseload data'!$C:$C,'divisional &amp; regional caseload%'!$B$92,'caseload data'!$D:$D,"PO")/SUMIF('caseload data'!$C:$C,'divisional &amp; regional caseload%'!$B$92,'caseload data'!G:G),"")</f>
        <v/>
      </c>
      <c r="F94" s="175" t="str">
        <f>IFERROR(SUMIFS('caseload data'!H:H,'caseload data'!$C:$C,'divisional &amp; regional caseload%'!$B$92,'caseload data'!$D:$D,"PO")/SUMIF('caseload data'!$C:$C,'divisional &amp; regional caseload%'!$B$92,'caseload data'!H:H),"")</f>
        <v/>
      </c>
      <c r="G94" s="175" t="str">
        <f>IFERROR(SUMIFS('caseload data'!I:I,'caseload data'!$C:$C,'divisional &amp; regional caseload%'!$B$92,'caseload data'!$D:$D,"PO")/SUMIF('caseload data'!$C:$C,'divisional &amp; regional caseload%'!$B$92,'caseload data'!I:I),"")</f>
        <v/>
      </c>
      <c r="H94" s="175" t="str">
        <f>IFERROR(SUMIFS('caseload data'!J:J,'caseload data'!$C:$C,'divisional &amp; regional caseload%'!$B$92,'caseload data'!$D:$D,"PO")/SUMIF('caseload data'!$C:$C,'divisional &amp; regional caseload%'!$B$92,'caseload data'!J:J),"")</f>
        <v/>
      </c>
      <c r="I94" s="175" t="str">
        <f>IFERROR(SUMIFS('caseload data'!K:K,'caseload data'!$C:$C,'divisional &amp; regional caseload%'!$B$92,'caseload data'!$D:$D,"PO")/SUMIF('caseload data'!$C:$C,'divisional &amp; regional caseload%'!$B$92,'caseload data'!K:K),"")</f>
        <v/>
      </c>
      <c r="J94" s="175" t="str">
        <f>IFERROR(SUMIFS('caseload data'!L:L,'caseload data'!$C:$C,'divisional &amp; regional caseload%'!$B$92,'caseload data'!$D:$D,"PO")/SUMIF('caseload data'!$C:$C,'divisional &amp; regional caseload%'!$B$92,'caseload data'!L:L),"")</f>
        <v/>
      </c>
      <c r="K94" s="175" t="str">
        <f>IFERROR(SUMIFS('caseload data'!M:M,'caseload data'!$C:$C,'divisional &amp; regional caseload%'!$B$92,'caseload data'!$D:$D,"PO")/SUMIF('caseload data'!$C:$C,'divisional &amp; regional caseload%'!$B$92,'caseload data'!M:M),"")</f>
        <v/>
      </c>
      <c r="L94" s="175" t="str">
        <f>IFERROR(SUMIFS('caseload data'!N:N,'caseload data'!$C:$C,'divisional &amp; regional caseload%'!$B$92,'caseload data'!$D:$D,"PO")/SUMIF('caseload data'!$C:$C,'divisional &amp; regional caseload%'!$B$92,'caseload data'!N:N),"")</f>
        <v/>
      </c>
      <c r="M94" s="175" t="str">
        <f>IFERROR(SUMIFS('caseload data'!O:O,'caseload data'!$C:$C,'divisional &amp; regional caseload%'!$B$92,'caseload data'!$D:$D,"PO")/SUMIF('caseload data'!$C:$C,'divisional &amp; regional caseload%'!$B$92,'caseload data'!O:O),"")</f>
        <v/>
      </c>
      <c r="N94" s="175" t="str">
        <f>IFERROR(SUMIFS('caseload data'!P:P,'caseload data'!$C:$C,'divisional &amp; regional caseload%'!$B$92,'caseload data'!$D:$D,"PO")/SUMIF('caseload data'!$C:$C,'divisional &amp; regional caseload%'!$B$92,'caseload data'!P:P),"")</f>
        <v/>
      </c>
      <c r="O94" s="175" t="str">
        <f>IFERROR(SUMIFS('caseload data'!Q:Q,'caseload data'!$C:$C,'divisional &amp; regional caseload%'!$B$92,'caseload data'!$D:$D,"PO")/SUMIF('caseload data'!$C:$C,'divisional &amp; regional caseload%'!$B$92,'caseload data'!Q:Q),"")</f>
        <v/>
      </c>
      <c r="P94" s="175" t="str">
        <f>IFERROR(SUMIFS('caseload data'!R:R,'caseload data'!$C:$C,'divisional &amp; regional caseload%'!$B$92,'caseload data'!$D:$D,"PO")/SUMIF('caseload data'!$C:$C,'divisional &amp; regional caseload%'!$B$92,'caseload data'!R:R),"")</f>
        <v/>
      </c>
      <c r="Q94" s="175" t="str">
        <f>IFERROR(SUMIFS('caseload data'!S:S,'caseload data'!$C:$C,'divisional &amp; regional caseload%'!$B$92,'caseload data'!$D:$D,"PO")/SUMIF('caseload data'!$C:$C,'divisional &amp; regional caseload%'!$B$92,'caseload data'!S:S),"")</f>
        <v/>
      </c>
      <c r="R94" s="175" t="str">
        <f>IFERROR(SUMIFS('caseload data'!T:T,'caseload data'!$C:$C,'divisional &amp; regional caseload%'!$B$92,'caseload data'!$D:$D,"PO")/SUMIF('caseload data'!$C:$C,'divisional &amp; regional caseload%'!$B$92,'caseload data'!T:T),"")</f>
        <v/>
      </c>
      <c r="T94" s="100" t="s">
        <v>1166</v>
      </c>
      <c r="U94" s="175" t="str">
        <f>IFERROR(SUMIFS('caseload data'!E:E,'caseload data'!$C:$C,'divisional &amp; regional caseload%'!$T$92,'caseload data'!$D:$D,"PO")/SUMIF('caseload data'!$C:$C,'divisional &amp; regional caseload%'!$T$92,'caseload data'!E:E),"")</f>
        <v/>
      </c>
      <c r="V94" s="175" t="str">
        <f>IFERROR(SUMIFS('caseload data'!F:F,'caseload data'!$C:$C,'divisional &amp; regional caseload%'!$T$92,'caseload data'!$D:$D,"PO")/SUMIF('caseload data'!$C:$C,'divisional &amp; regional caseload%'!$T$92,'caseload data'!F:F),"")</f>
        <v/>
      </c>
      <c r="W94" s="175" t="str">
        <f>IFERROR(SUMIFS('caseload data'!G:G,'caseload data'!$C:$C,'divisional &amp; regional caseload%'!$T$92,'caseload data'!$D:$D,"PO")/SUMIF('caseload data'!$C:$C,'divisional &amp; regional caseload%'!$T$92,'caseload data'!G:G),"")</f>
        <v/>
      </c>
      <c r="X94" s="175" t="str">
        <f>IFERROR(SUMIFS('caseload data'!H:H,'caseload data'!$C:$C,'divisional &amp; regional caseload%'!$T$92,'caseload data'!$D:$D,"PO")/SUMIF('caseload data'!$C:$C,'divisional &amp; regional caseload%'!$T$92,'caseload data'!H:H),"")</f>
        <v/>
      </c>
      <c r="Y94" s="175" t="str">
        <f>IFERROR(SUMIFS('caseload data'!I:I,'caseload data'!$C:$C,'divisional &amp; regional caseload%'!$T$92,'caseload data'!$D:$D,"PO")/SUMIF('caseload data'!$C:$C,'divisional &amp; regional caseload%'!$T$92,'caseload data'!I:I),"")</f>
        <v/>
      </c>
      <c r="Z94" s="175" t="str">
        <f>IFERROR(SUMIFS('caseload data'!J:J,'caseload data'!$C:$C,'divisional &amp; regional caseload%'!$T$92,'caseload data'!$D:$D,"PO")/SUMIF('caseload data'!$C:$C,'divisional &amp; regional caseload%'!$T$92,'caseload data'!J:J),"")</f>
        <v/>
      </c>
      <c r="AA94" s="175" t="str">
        <f>IFERROR(SUMIFS('caseload data'!K:K,'caseload data'!$C:$C,'divisional &amp; regional caseload%'!$T$92,'caseload data'!$D:$D,"PO")/SUMIF('caseload data'!$C:$C,'divisional &amp; regional caseload%'!$T$92,'caseload data'!K:K),"")</f>
        <v/>
      </c>
      <c r="AB94" s="175" t="str">
        <f>IFERROR(SUMIFS('caseload data'!L:L,'caseload data'!$C:$C,'divisional &amp; regional caseload%'!$T$92,'caseload data'!$D:$D,"PO")/SUMIF('caseload data'!$C:$C,'divisional &amp; regional caseload%'!$T$92,'caseload data'!L:L),"")</f>
        <v/>
      </c>
      <c r="AC94" s="175" t="str">
        <f>IFERROR(SUMIFS('caseload data'!M:M,'caseload data'!$C:$C,'divisional &amp; regional caseload%'!$T$92,'caseload data'!$D:$D,"PO")/SUMIF('caseload data'!$C:$C,'divisional &amp; regional caseload%'!$T$92,'caseload data'!M:M),"")</f>
        <v/>
      </c>
      <c r="AD94" s="175" t="str">
        <f>IFERROR(SUMIFS('caseload data'!N:N,'caseload data'!$C:$C,'divisional &amp; regional caseload%'!$T$92,'caseload data'!$D:$D,"PO")/SUMIF('caseload data'!$C:$C,'divisional &amp; regional caseload%'!$T$92,'caseload data'!N:N),"")</f>
        <v/>
      </c>
      <c r="AE94" s="175" t="str">
        <f>IFERROR(SUMIFS('caseload data'!O:O,'caseload data'!$C:$C,'divisional &amp; regional caseload%'!$T$92,'caseload data'!$D:$D,"PO")/SUMIF('caseload data'!$C:$C,'divisional &amp; regional caseload%'!$T$92,'caseload data'!O:O),"")</f>
        <v/>
      </c>
      <c r="AF94" s="175" t="str">
        <f>IFERROR(SUMIFS('caseload data'!P:P,'caseload data'!$C:$C,'divisional &amp; regional caseload%'!$T$92,'caseload data'!$D:$D,"PO")/SUMIF('caseload data'!$C:$C,'divisional &amp; regional caseload%'!$T$92,'caseload data'!P:P),"")</f>
        <v/>
      </c>
      <c r="AG94" s="175" t="str">
        <f>IFERROR(SUMIFS('caseload data'!Q:Q,'caseload data'!$C:$C,'divisional &amp; regional caseload%'!$T$92,'caseload data'!$D:$D,"PO")/SUMIF('caseload data'!$C:$C,'divisional &amp; regional caseload%'!$T$92,'caseload data'!Q:Q),"")</f>
        <v/>
      </c>
      <c r="AH94" s="175" t="str">
        <f>IFERROR(SUMIFS('caseload data'!R:R,'caseload data'!$C:$C,'divisional &amp; regional caseload%'!$T$92,'caseload data'!$D:$D,"PO")/SUMIF('caseload data'!$C:$C,'divisional &amp; regional caseload%'!$T$92,'caseload data'!R:R),"")</f>
        <v/>
      </c>
      <c r="AI94" s="175" t="str">
        <f>IFERROR(SUMIFS('caseload data'!S:S,'caseload data'!$C:$C,'divisional &amp; regional caseload%'!$T$92,'caseload data'!$D:$D,"PO")/SUMIF('caseload data'!$C:$C,'divisional &amp; regional caseload%'!$T$92,'caseload data'!S:S),"")</f>
        <v/>
      </c>
      <c r="AJ94" s="175" t="str">
        <f>IFERROR(SUMIFS('caseload data'!T:T,'caseload data'!$C:$C,'divisional &amp; regional caseload%'!$T$92,'caseload data'!$D:$D,"PO")/SUMIF('caseload data'!$C:$C,'divisional &amp; regional caseload%'!$T$92,'caseload data'!T:T),"")</f>
        <v/>
      </c>
    </row>
    <row r="95" spans="2:36" x14ac:dyDescent="0.15">
      <c r="B95" s="101" t="s">
        <v>1172</v>
      </c>
      <c r="C95" s="175" t="str">
        <f>IFERROR(SUMIFS('caseload data'!E:E,'caseload data'!$C:$C,'divisional &amp; regional caseload%'!$B$92,'caseload data'!$D:$D,"PSO")/SUMIF('caseload data'!$C:$C,'divisional &amp; regional caseload%'!$B$92,'caseload data'!E:E),"")</f>
        <v/>
      </c>
      <c r="D95" s="175" t="str">
        <f>IFERROR(SUMIFS('caseload data'!F:F,'caseload data'!$C:$C,'divisional &amp; regional caseload%'!$B$92,'caseload data'!$D:$D,"PSO")/SUMIF('caseload data'!$C:$C,'divisional &amp; regional caseload%'!$B$92,'caseload data'!F:F),"")</f>
        <v/>
      </c>
      <c r="E95" s="175" t="str">
        <f>IFERROR(SUMIFS('caseload data'!G:G,'caseload data'!$C:$C,'divisional &amp; regional caseload%'!$B$92,'caseload data'!$D:$D,"PSO")/SUMIF('caseload data'!$C:$C,'divisional &amp; regional caseload%'!$B$92,'caseload data'!G:G),"")</f>
        <v/>
      </c>
      <c r="F95" s="175" t="str">
        <f>IFERROR(SUMIFS('caseload data'!H:H,'caseload data'!$C:$C,'divisional &amp; regional caseload%'!$B$92,'caseload data'!$D:$D,"PSO")/SUMIF('caseload data'!$C:$C,'divisional &amp; regional caseload%'!$B$92,'caseload data'!H:H),"")</f>
        <v/>
      </c>
      <c r="G95" s="175" t="str">
        <f>IFERROR(SUMIFS('caseload data'!I:I,'caseload data'!$C:$C,'divisional &amp; regional caseload%'!$B$92,'caseload data'!$D:$D,"PSO")/SUMIF('caseload data'!$C:$C,'divisional &amp; regional caseload%'!$B$92,'caseload data'!I:I),"")</f>
        <v/>
      </c>
      <c r="H95" s="175" t="str">
        <f>IFERROR(SUMIFS('caseload data'!J:J,'caseload data'!$C:$C,'divisional &amp; regional caseload%'!$B$92,'caseload data'!$D:$D,"PSO")/SUMIF('caseload data'!$C:$C,'divisional &amp; regional caseload%'!$B$92,'caseload data'!J:J),"")</f>
        <v/>
      </c>
      <c r="I95" s="175" t="str">
        <f>IFERROR(SUMIFS('caseload data'!K:K,'caseload data'!$C:$C,'divisional &amp; regional caseload%'!$B$92,'caseload data'!$D:$D,"PSO")/SUMIF('caseload data'!$C:$C,'divisional &amp; regional caseload%'!$B$92,'caseload data'!K:K),"")</f>
        <v/>
      </c>
      <c r="J95" s="175" t="str">
        <f>IFERROR(SUMIFS('caseload data'!L:L,'caseload data'!$C:$C,'divisional &amp; regional caseload%'!$B$92,'caseload data'!$D:$D,"PSO")/SUMIF('caseload data'!$C:$C,'divisional &amp; regional caseload%'!$B$92,'caseload data'!L:L),"")</f>
        <v/>
      </c>
      <c r="K95" s="175" t="str">
        <f>IFERROR(SUMIFS('caseload data'!M:M,'caseload data'!$C:$C,'divisional &amp; regional caseload%'!$B$92,'caseload data'!$D:$D,"PSO")/SUMIF('caseload data'!$C:$C,'divisional &amp; regional caseload%'!$B$92,'caseload data'!M:M),"")</f>
        <v/>
      </c>
      <c r="L95" s="175" t="str">
        <f>IFERROR(SUMIFS('caseload data'!N:N,'caseload data'!$C:$C,'divisional &amp; regional caseload%'!$B$92,'caseload data'!$D:$D,"PSO")/SUMIF('caseload data'!$C:$C,'divisional &amp; regional caseload%'!$B$92,'caseload data'!N:N),"")</f>
        <v/>
      </c>
      <c r="M95" s="175" t="str">
        <f>IFERROR(SUMIFS('caseload data'!O:O,'caseload data'!$C:$C,'divisional &amp; regional caseload%'!$B$92,'caseload data'!$D:$D,"PSO")/SUMIF('caseload data'!$C:$C,'divisional &amp; regional caseload%'!$B$92,'caseload data'!O:O),"")</f>
        <v/>
      </c>
      <c r="N95" s="175" t="str">
        <f>IFERROR(SUMIFS('caseload data'!P:P,'caseload data'!$C:$C,'divisional &amp; regional caseload%'!$B$92,'caseload data'!$D:$D,"PSO")/SUMIF('caseload data'!$C:$C,'divisional &amp; regional caseload%'!$B$92,'caseload data'!P:P),"")</f>
        <v/>
      </c>
      <c r="O95" s="175" t="str">
        <f>IFERROR(SUMIFS('caseload data'!Q:Q,'caseload data'!$C:$C,'divisional &amp; regional caseload%'!$B$92,'caseload data'!$D:$D,"PSO")/SUMIF('caseload data'!$C:$C,'divisional &amp; regional caseload%'!$B$92,'caseload data'!Q:Q),"")</f>
        <v/>
      </c>
      <c r="P95" s="175" t="str">
        <f>IFERROR(SUMIFS('caseload data'!R:R,'caseload data'!$C:$C,'divisional &amp; regional caseload%'!$B$92,'caseload data'!$D:$D,"PSO")/SUMIF('caseload data'!$C:$C,'divisional &amp; regional caseload%'!$B$92,'caseload data'!R:R),"")</f>
        <v/>
      </c>
      <c r="Q95" s="175" t="str">
        <f>IFERROR(SUMIFS('caseload data'!S:S,'caseload data'!$C:$C,'divisional &amp; regional caseload%'!$B$92,'caseload data'!$D:$D,"PSO")/SUMIF('caseload data'!$C:$C,'divisional &amp; regional caseload%'!$B$92,'caseload data'!S:S),"")</f>
        <v/>
      </c>
      <c r="R95" s="175" t="str">
        <f>IFERROR(SUMIFS('caseload data'!T:T,'caseload data'!$C:$C,'divisional &amp; regional caseload%'!$B$92,'caseload data'!$D:$D,"PSO")/SUMIF('caseload data'!$C:$C,'divisional &amp; regional caseload%'!$B$92,'caseload data'!T:T),"")</f>
        <v/>
      </c>
      <c r="T95" s="101" t="s">
        <v>1172</v>
      </c>
      <c r="U95" s="175" t="str">
        <f>IFERROR(SUMIFS('caseload data'!E:E,'caseload data'!$C:$C,'divisional &amp; regional caseload%'!$T$92,'caseload data'!$D:$D,"PSO")/SUMIF('caseload data'!$C:$C,'divisional &amp; regional caseload%'!$T$92,'caseload data'!E:E),"")</f>
        <v/>
      </c>
      <c r="V95" s="175" t="str">
        <f>IFERROR(SUMIFS('caseload data'!F:F,'caseload data'!$C:$C,'divisional &amp; regional caseload%'!$T$92,'caseload data'!$D:$D,"PSO")/SUMIF('caseload data'!$C:$C,'divisional &amp; regional caseload%'!$T$92,'caseload data'!F:F),"")</f>
        <v/>
      </c>
      <c r="W95" s="175" t="str">
        <f>IFERROR(SUMIFS('caseload data'!G:G,'caseload data'!$C:$C,'divisional &amp; regional caseload%'!$T$92,'caseload data'!$D:$D,"PSO")/SUMIF('caseload data'!$C:$C,'divisional &amp; regional caseload%'!$T$92,'caseload data'!G:G),"")</f>
        <v/>
      </c>
      <c r="X95" s="175" t="str">
        <f>IFERROR(SUMIFS('caseload data'!H:H,'caseload data'!$C:$C,'divisional &amp; regional caseload%'!$T$92,'caseload data'!$D:$D,"PSO")/SUMIF('caseload data'!$C:$C,'divisional &amp; regional caseload%'!$T$92,'caseload data'!H:H),"")</f>
        <v/>
      </c>
      <c r="Y95" s="175" t="str">
        <f>IFERROR(SUMIFS('caseload data'!I:I,'caseload data'!$C:$C,'divisional &amp; regional caseload%'!$T$92,'caseload data'!$D:$D,"PSO")/SUMIF('caseload data'!$C:$C,'divisional &amp; regional caseload%'!$T$92,'caseload data'!I:I),"")</f>
        <v/>
      </c>
      <c r="Z95" s="175" t="str">
        <f>IFERROR(SUMIFS('caseload data'!J:J,'caseload data'!$C:$C,'divisional &amp; regional caseload%'!$T$92,'caseload data'!$D:$D,"PSO")/SUMIF('caseload data'!$C:$C,'divisional &amp; regional caseload%'!$T$92,'caseload data'!J:J),"")</f>
        <v/>
      </c>
      <c r="AA95" s="175" t="str">
        <f>IFERROR(SUMIFS('caseload data'!K:K,'caseload data'!$C:$C,'divisional &amp; regional caseload%'!$T$92,'caseload data'!$D:$D,"PSO")/SUMIF('caseload data'!$C:$C,'divisional &amp; regional caseload%'!$T$92,'caseload data'!K:K),"")</f>
        <v/>
      </c>
      <c r="AB95" s="175" t="str">
        <f>IFERROR(SUMIFS('caseload data'!L:L,'caseload data'!$C:$C,'divisional &amp; regional caseload%'!$T$92,'caseload data'!$D:$D,"PSO")/SUMIF('caseload data'!$C:$C,'divisional &amp; regional caseload%'!$T$92,'caseload data'!L:L),"")</f>
        <v/>
      </c>
      <c r="AC95" s="175" t="str">
        <f>IFERROR(SUMIFS('caseload data'!M:M,'caseload data'!$C:$C,'divisional &amp; regional caseload%'!$T$92,'caseload data'!$D:$D,"PSO")/SUMIF('caseload data'!$C:$C,'divisional &amp; regional caseload%'!$T$92,'caseload data'!M:M),"")</f>
        <v/>
      </c>
      <c r="AD95" s="175" t="str">
        <f>IFERROR(SUMIFS('caseload data'!N:N,'caseload data'!$C:$C,'divisional &amp; regional caseload%'!$T$92,'caseload data'!$D:$D,"PSO")/SUMIF('caseload data'!$C:$C,'divisional &amp; regional caseload%'!$T$92,'caseload data'!N:N),"")</f>
        <v/>
      </c>
      <c r="AE95" s="175" t="str">
        <f>IFERROR(SUMIFS('caseload data'!O:O,'caseload data'!$C:$C,'divisional &amp; regional caseload%'!$T$92,'caseload data'!$D:$D,"PSO")/SUMIF('caseload data'!$C:$C,'divisional &amp; regional caseload%'!$T$92,'caseload data'!O:O),"")</f>
        <v/>
      </c>
      <c r="AF95" s="175" t="str">
        <f>IFERROR(SUMIFS('caseload data'!P:P,'caseload data'!$C:$C,'divisional &amp; regional caseload%'!$T$92,'caseload data'!$D:$D,"PSO")/SUMIF('caseload data'!$C:$C,'divisional &amp; regional caseload%'!$T$92,'caseload data'!P:P),"")</f>
        <v/>
      </c>
      <c r="AG95" s="175" t="str">
        <f>IFERROR(SUMIFS('caseload data'!Q:Q,'caseload data'!$C:$C,'divisional &amp; regional caseload%'!$T$92,'caseload data'!$D:$D,"PSO")/SUMIF('caseload data'!$C:$C,'divisional &amp; regional caseload%'!$T$92,'caseload data'!Q:Q),"")</f>
        <v/>
      </c>
      <c r="AH95" s="175" t="str">
        <f>IFERROR(SUMIFS('caseload data'!R:R,'caseload data'!$C:$C,'divisional &amp; regional caseload%'!$T$92,'caseload data'!$D:$D,"PSO")/SUMIF('caseload data'!$C:$C,'divisional &amp; regional caseload%'!$T$92,'caseload data'!R:R),"")</f>
        <v/>
      </c>
      <c r="AI95" s="175" t="str">
        <f>IFERROR(SUMIFS('caseload data'!S:S,'caseload data'!$C:$C,'divisional &amp; regional caseload%'!$T$92,'caseload data'!$D:$D,"PSO")/SUMIF('caseload data'!$C:$C,'divisional &amp; regional caseload%'!$T$92,'caseload data'!S:S),"")</f>
        <v/>
      </c>
      <c r="AJ95" s="175" t="str">
        <f>IFERROR(SUMIFS('caseload data'!T:T,'caseload data'!$C:$C,'divisional &amp; regional caseload%'!$T$92,'caseload data'!$D:$D,"PSO")/SUMIF('caseload data'!$C:$C,'divisional &amp; regional caseload%'!$T$92,'caseload data'!T:T),"")</f>
        <v/>
      </c>
    </row>
    <row r="96" spans="2:36" x14ac:dyDescent="0.15">
      <c r="B96" s="101" t="s">
        <v>1173</v>
      </c>
      <c r="C96" s="175" t="str">
        <f>IFERROR(SUMIFS('caseload data'!E:E,'caseload data'!$C:$C,'divisional &amp; regional caseload%'!$B$92,'caseload data'!$D:$D,"TPO")/SUMIF('caseload data'!$C:$C,'divisional &amp; regional caseload%'!$B$92,'caseload data'!E:E),"")</f>
        <v/>
      </c>
      <c r="D96" s="175" t="str">
        <f>IFERROR(SUMIFS('caseload data'!F:F,'caseload data'!$C:$C,'divisional &amp; regional caseload%'!$B$92,'caseload data'!$D:$D,"TPO")/SUMIF('caseload data'!$C:$C,'divisional &amp; regional caseload%'!$B$92,'caseload data'!F:F),"")</f>
        <v/>
      </c>
      <c r="E96" s="175" t="str">
        <f>IFERROR(SUMIFS('caseload data'!G:G,'caseload data'!$C:$C,'divisional &amp; regional caseload%'!$B$92,'caseload data'!$D:$D,"TPO")/SUMIF('caseload data'!$C:$C,'divisional &amp; regional caseload%'!$B$92,'caseload data'!G:G),"")</f>
        <v/>
      </c>
      <c r="F96" s="175" t="str">
        <f>IFERROR(SUMIFS('caseload data'!H:H,'caseload data'!$C:$C,'divisional &amp; regional caseload%'!$B$92,'caseload data'!$D:$D,"TPO")/SUMIF('caseload data'!$C:$C,'divisional &amp; regional caseload%'!$B$92,'caseload data'!H:H),"")</f>
        <v/>
      </c>
      <c r="G96" s="175" t="str">
        <f>IFERROR(SUMIFS('caseload data'!I:I,'caseload data'!$C:$C,'divisional &amp; regional caseload%'!$B$92,'caseload data'!$D:$D,"TPO")/SUMIF('caseload data'!$C:$C,'divisional &amp; regional caseload%'!$B$92,'caseload data'!I:I),"")</f>
        <v/>
      </c>
      <c r="H96" s="175" t="str">
        <f>IFERROR(SUMIFS('caseload data'!J:J,'caseload data'!$C:$C,'divisional &amp; regional caseload%'!$B$92,'caseload data'!$D:$D,"TPO")/SUMIF('caseload data'!$C:$C,'divisional &amp; regional caseload%'!$B$92,'caseload data'!J:J),"")</f>
        <v/>
      </c>
      <c r="I96" s="175" t="str">
        <f>IFERROR(SUMIFS('caseload data'!K:K,'caseload data'!$C:$C,'divisional &amp; regional caseload%'!$B$92,'caseload data'!$D:$D,"TPO")/SUMIF('caseload data'!$C:$C,'divisional &amp; regional caseload%'!$B$92,'caseload data'!K:K),"")</f>
        <v/>
      </c>
      <c r="J96" s="175" t="str">
        <f>IFERROR(SUMIFS('caseload data'!L:L,'caseload data'!$C:$C,'divisional &amp; regional caseload%'!$B$92,'caseload data'!$D:$D,"TPO")/SUMIF('caseload data'!$C:$C,'divisional &amp; regional caseload%'!$B$92,'caseload data'!L:L),"")</f>
        <v/>
      </c>
      <c r="K96" s="175" t="str">
        <f>IFERROR(SUMIFS('caseload data'!M:M,'caseload data'!$C:$C,'divisional &amp; regional caseload%'!$B$92,'caseload data'!$D:$D,"TPO")/SUMIF('caseload data'!$C:$C,'divisional &amp; regional caseload%'!$B$92,'caseload data'!M:M),"")</f>
        <v/>
      </c>
      <c r="L96" s="175" t="str">
        <f>IFERROR(SUMIFS('caseload data'!N:N,'caseload data'!$C:$C,'divisional &amp; regional caseload%'!$B$92,'caseload data'!$D:$D,"TPO")/SUMIF('caseload data'!$C:$C,'divisional &amp; regional caseload%'!$B$92,'caseload data'!N:N),"")</f>
        <v/>
      </c>
      <c r="M96" s="175" t="str">
        <f>IFERROR(SUMIFS('caseload data'!O:O,'caseload data'!$C:$C,'divisional &amp; regional caseload%'!$B$92,'caseload data'!$D:$D,"TPO")/SUMIF('caseload data'!$C:$C,'divisional &amp; regional caseload%'!$B$92,'caseload data'!O:O),"")</f>
        <v/>
      </c>
      <c r="N96" s="175" t="str">
        <f>IFERROR(SUMIFS('caseload data'!P:P,'caseload data'!$C:$C,'divisional &amp; regional caseload%'!$B$92,'caseload data'!$D:$D,"TPO")/SUMIF('caseload data'!$C:$C,'divisional &amp; regional caseload%'!$B$92,'caseload data'!P:P),"")</f>
        <v/>
      </c>
      <c r="O96" s="175" t="str">
        <f>IFERROR(SUMIFS('caseload data'!Q:Q,'caseload data'!$C:$C,'divisional &amp; regional caseload%'!$B$92,'caseload data'!$D:$D,"TPO")/SUMIF('caseload data'!$C:$C,'divisional &amp; regional caseload%'!$B$92,'caseload data'!Q:Q),"")</f>
        <v/>
      </c>
      <c r="P96" s="175" t="str">
        <f>IFERROR(SUMIFS('caseload data'!R:R,'caseload data'!$C:$C,'divisional &amp; regional caseload%'!$B$92,'caseload data'!$D:$D,"TPO")/SUMIF('caseload data'!$C:$C,'divisional &amp; regional caseload%'!$B$92,'caseload data'!R:R),"")</f>
        <v/>
      </c>
      <c r="Q96" s="175" t="str">
        <f>IFERROR(SUMIFS('caseload data'!S:S,'caseload data'!$C:$C,'divisional &amp; regional caseload%'!$B$92,'caseload data'!$D:$D,"TPO")/SUMIF('caseload data'!$C:$C,'divisional &amp; regional caseload%'!$B$92,'caseload data'!S:S),"")</f>
        <v/>
      </c>
      <c r="R96" s="175" t="str">
        <f>IFERROR(SUMIFS('caseload data'!T:T,'caseload data'!$C:$C,'divisional &amp; regional caseload%'!$B$92,'caseload data'!$D:$D,"TPO")/SUMIF('caseload data'!$C:$C,'divisional &amp; regional caseload%'!$B$92,'caseload data'!T:T),"")</f>
        <v/>
      </c>
      <c r="T96" s="101" t="s">
        <v>1173</v>
      </c>
      <c r="U96" s="175" t="str">
        <f>IFERROR(SUMIFS('caseload data'!E:E,'caseload data'!$C:$C,'divisional &amp; regional caseload%'!$T$92,'caseload data'!$D:$D,"TPO")/SUMIF('caseload data'!$C:$C,'divisional &amp; regional caseload%'!$T$92,'caseload data'!E:E),"")</f>
        <v/>
      </c>
      <c r="V96" s="175" t="str">
        <f>IFERROR(SUMIFS('caseload data'!F:F,'caseload data'!$C:$C,'divisional &amp; regional caseload%'!$T$92,'caseload data'!$D:$D,"TPO")/SUMIF('caseload data'!$C:$C,'divisional &amp; regional caseload%'!$T$92,'caseload data'!F:F),"")</f>
        <v/>
      </c>
      <c r="W96" s="175" t="str">
        <f>IFERROR(SUMIFS('caseload data'!G:G,'caseload data'!$C:$C,'divisional &amp; regional caseload%'!$T$92,'caseload data'!$D:$D,"TPO")/SUMIF('caseload data'!$C:$C,'divisional &amp; regional caseload%'!$T$92,'caseload data'!G:G),"")</f>
        <v/>
      </c>
      <c r="X96" s="175" t="str">
        <f>IFERROR(SUMIFS('caseload data'!H:H,'caseload data'!$C:$C,'divisional &amp; regional caseload%'!$T$92,'caseload data'!$D:$D,"TPO")/SUMIF('caseload data'!$C:$C,'divisional &amp; regional caseload%'!$T$92,'caseload data'!H:H),"")</f>
        <v/>
      </c>
      <c r="Y96" s="175" t="str">
        <f>IFERROR(SUMIFS('caseload data'!I:I,'caseload data'!$C:$C,'divisional &amp; regional caseload%'!$T$92,'caseload data'!$D:$D,"TPO")/SUMIF('caseload data'!$C:$C,'divisional &amp; regional caseload%'!$T$92,'caseload data'!I:I),"")</f>
        <v/>
      </c>
      <c r="Z96" s="175" t="str">
        <f>IFERROR(SUMIFS('caseload data'!J:J,'caseload data'!$C:$C,'divisional &amp; regional caseload%'!$T$92,'caseload data'!$D:$D,"TPO")/SUMIF('caseload data'!$C:$C,'divisional &amp; regional caseload%'!$T$92,'caseload data'!J:J),"")</f>
        <v/>
      </c>
      <c r="AA96" s="175" t="str">
        <f>IFERROR(SUMIFS('caseload data'!K:K,'caseload data'!$C:$C,'divisional &amp; regional caseload%'!$T$92,'caseload data'!$D:$D,"TPO")/SUMIF('caseload data'!$C:$C,'divisional &amp; regional caseload%'!$T$92,'caseload data'!K:K),"")</f>
        <v/>
      </c>
      <c r="AB96" s="175" t="str">
        <f>IFERROR(SUMIFS('caseload data'!L:L,'caseload data'!$C:$C,'divisional &amp; regional caseload%'!$T$92,'caseload data'!$D:$D,"TPO")/SUMIF('caseload data'!$C:$C,'divisional &amp; regional caseload%'!$T$92,'caseload data'!L:L),"")</f>
        <v/>
      </c>
      <c r="AC96" s="175" t="str">
        <f>IFERROR(SUMIFS('caseload data'!M:M,'caseload data'!$C:$C,'divisional &amp; regional caseload%'!$T$92,'caseload data'!$D:$D,"TPO")/SUMIF('caseload data'!$C:$C,'divisional &amp; regional caseload%'!$T$92,'caseload data'!M:M),"")</f>
        <v/>
      </c>
      <c r="AD96" s="175" t="str">
        <f>IFERROR(SUMIFS('caseload data'!N:N,'caseload data'!$C:$C,'divisional &amp; regional caseload%'!$T$92,'caseload data'!$D:$D,"TPO")/SUMIF('caseload data'!$C:$C,'divisional &amp; regional caseload%'!$T$92,'caseload data'!N:N),"")</f>
        <v/>
      </c>
      <c r="AE96" s="175" t="str">
        <f>IFERROR(SUMIFS('caseload data'!O:O,'caseload data'!$C:$C,'divisional &amp; regional caseload%'!$T$92,'caseload data'!$D:$D,"TPO")/SUMIF('caseload data'!$C:$C,'divisional &amp; regional caseload%'!$T$92,'caseload data'!O:O),"")</f>
        <v/>
      </c>
      <c r="AF96" s="175" t="str">
        <f>IFERROR(SUMIFS('caseload data'!P:P,'caseload data'!$C:$C,'divisional &amp; regional caseload%'!$T$92,'caseload data'!$D:$D,"TPO")/SUMIF('caseload data'!$C:$C,'divisional &amp; regional caseload%'!$T$92,'caseload data'!P:P),"")</f>
        <v/>
      </c>
      <c r="AG96" s="175" t="str">
        <f>IFERROR(SUMIFS('caseload data'!Q:Q,'caseload data'!$C:$C,'divisional &amp; regional caseload%'!$T$92,'caseload data'!$D:$D,"TPO")/SUMIF('caseload data'!$C:$C,'divisional &amp; regional caseload%'!$T$92,'caseload data'!Q:Q),"")</f>
        <v/>
      </c>
      <c r="AH96" s="175" t="str">
        <f>IFERROR(SUMIFS('caseload data'!R:R,'caseload data'!$C:$C,'divisional &amp; regional caseload%'!$T$92,'caseload data'!$D:$D,"TPO")/SUMIF('caseload data'!$C:$C,'divisional &amp; regional caseload%'!$T$92,'caseload data'!R:R),"")</f>
        <v/>
      </c>
      <c r="AI96" s="175" t="str">
        <f>IFERROR(SUMIFS('caseload data'!S:S,'caseload data'!$C:$C,'divisional &amp; regional caseload%'!$T$92,'caseload data'!$D:$D,"TPO")/SUMIF('caseload data'!$C:$C,'divisional &amp; regional caseload%'!$T$92,'caseload data'!S:S),"")</f>
        <v/>
      </c>
      <c r="AJ96" s="175" t="str">
        <f>IFERROR(SUMIFS('caseload data'!T:T,'caseload data'!$C:$C,'divisional &amp; regional caseload%'!$T$92,'caseload data'!$D:$D,"TPO")/SUMIF('caseload data'!$C:$C,'divisional &amp; regional caseload%'!$T$92,'caseload data'!T:T),"")</f>
        <v/>
      </c>
    </row>
    <row r="97" spans="2:36" x14ac:dyDescent="0.15">
      <c r="B97" s="102" t="s">
        <v>1174</v>
      </c>
      <c r="C97" s="175" t="str">
        <f>IFERROR(SUMIFS('caseload data'!E:E,'caseload data'!$C:$C,'divisional &amp; regional caseload%'!$B$92,'caseload data'!$D:$D,"SPO")/SUMIF('caseload data'!$C:$C,'divisional &amp; regional caseload%'!$B$92,'caseload data'!E:E),"")</f>
        <v/>
      </c>
      <c r="D97" s="175" t="str">
        <f>IFERROR(SUMIFS('caseload data'!F:F,'caseload data'!$C:$C,'divisional &amp; regional caseload%'!$B$92,'caseload data'!$D:$D,"SPO")/SUMIF('caseload data'!$C:$C,'divisional &amp; regional caseload%'!$B$92,'caseload data'!F:F),"")</f>
        <v/>
      </c>
      <c r="E97" s="175" t="str">
        <f>IFERROR(SUMIFS('caseload data'!G:G,'caseload data'!$C:$C,'divisional &amp; regional caseload%'!$B$92,'caseload data'!$D:$D,"SPO")/SUMIF('caseload data'!$C:$C,'divisional &amp; regional caseload%'!$B$92,'caseload data'!G:G),"")</f>
        <v/>
      </c>
      <c r="F97" s="175" t="str">
        <f>IFERROR(SUMIFS('caseload data'!H:H,'caseload data'!$C:$C,'divisional &amp; regional caseload%'!$B$92,'caseload data'!$D:$D,"SPO")/SUMIF('caseload data'!$C:$C,'divisional &amp; regional caseload%'!$B$92,'caseload data'!H:H),"")</f>
        <v/>
      </c>
      <c r="G97" s="175" t="str">
        <f>IFERROR(SUMIFS('caseload data'!I:I,'caseload data'!$C:$C,'divisional &amp; regional caseload%'!$B$92,'caseload data'!$D:$D,"SPO")/SUMIF('caseload data'!$C:$C,'divisional &amp; regional caseload%'!$B$92,'caseload data'!I:I),"")</f>
        <v/>
      </c>
      <c r="H97" s="175" t="str">
        <f>IFERROR(SUMIFS('caseload data'!J:J,'caseload data'!$C:$C,'divisional &amp; regional caseload%'!$B$92,'caseload data'!$D:$D,"SPO")/SUMIF('caseload data'!$C:$C,'divisional &amp; regional caseload%'!$B$92,'caseload data'!J:J),"")</f>
        <v/>
      </c>
      <c r="I97" s="175" t="str">
        <f>IFERROR(SUMIFS('caseload data'!K:K,'caseload data'!$C:$C,'divisional &amp; regional caseload%'!$B$92,'caseload data'!$D:$D,"SPO")/SUMIF('caseload data'!$C:$C,'divisional &amp; regional caseload%'!$B$92,'caseload data'!K:K),"")</f>
        <v/>
      </c>
      <c r="J97" s="175" t="str">
        <f>IFERROR(SUMIFS('caseload data'!L:L,'caseload data'!$C:$C,'divisional &amp; regional caseload%'!$B$92,'caseload data'!$D:$D,"SPO")/SUMIF('caseload data'!$C:$C,'divisional &amp; regional caseload%'!$B$92,'caseload data'!L:L),"")</f>
        <v/>
      </c>
      <c r="K97" s="175" t="str">
        <f>IFERROR(SUMIFS('caseload data'!M:M,'caseload data'!$C:$C,'divisional &amp; regional caseload%'!$B$92,'caseload data'!$D:$D,"SPO")/SUMIF('caseload data'!$C:$C,'divisional &amp; regional caseload%'!$B$92,'caseload data'!M:M),"")</f>
        <v/>
      </c>
      <c r="L97" s="175" t="str">
        <f>IFERROR(SUMIFS('caseload data'!N:N,'caseload data'!$C:$C,'divisional &amp; regional caseload%'!$B$92,'caseload data'!$D:$D,"SPO")/SUMIF('caseload data'!$C:$C,'divisional &amp; regional caseload%'!$B$92,'caseload data'!N:N),"")</f>
        <v/>
      </c>
      <c r="M97" s="175" t="str">
        <f>IFERROR(SUMIFS('caseload data'!O:O,'caseload data'!$C:$C,'divisional &amp; regional caseload%'!$B$92,'caseload data'!$D:$D,"SPO")/SUMIF('caseload data'!$C:$C,'divisional &amp; regional caseload%'!$B$92,'caseload data'!O:O),"")</f>
        <v/>
      </c>
      <c r="N97" s="175" t="str">
        <f>IFERROR(SUMIFS('caseload data'!P:P,'caseload data'!$C:$C,'divisional &amp; regional caseload%'!$B$92,'caseload data'!$D:$D,"SPO")/SUMIF('caseload data'!$C:$C,'divisional &amp; regional caseload%'!$B$92,'caseload data'!P:P),"")</f>
        <v/>
      </c>
      <c r="O97" s="175" t="str">
        <f>IFERROR(SUMIFS('caseload data'!Q:Q,'caseload data'!$C:$C,'divisional &amp; regional caseload%'!$B$92,'caseload data'!$D:$D,"SPO")/SUMIF('caseload data'!$C:$C,'divisional &amp; regional caseload%'!$B$92,'caseload data'!Q:Q),"")</f>
        <v/>
      </c>
      <c r="P97" s="175" t="str">
        <f>IFERROR(SUMIFS('caseload data'!R:R,'caseload data'!$C:$C,'divisional &amp; regional caseload%'!$B$92,'caseload data'!$D:$D,"SPO")/SUMIF('caseload data'!$C:$C,'divisional &amp; regional caseload%'!$B$92,'caseload data'!R:R),"")</f>
        <v/>
      </c>
      <c r="Q97" s="175" t="str">
        <f>IFERROR(SUMIFS('caseload data'!S:S,'caseload data'!$C:$C,'divisional &amp; regional caseload%'!$B$92,'caseload data'!$D:$D,"SPO")/SUMIF('caseload data'!$C:$C,'divisional &amp; regional caseload%'!$B$92,'caseload data'!S:S),"")</f>
        <v/>
      </c>
      <c r="R97" s="175" t="str">
        <f>IFERROR(SUMIFS('caseload data'!T:T,'caseload data'!$C:$C,'divisional &amp; regional caseload%'!$B$92,'caseload data'!$D:$D,"SPO")/SUMIF('caseload data'!$C:$C,'divisional &amp; regional caseload%'!$B$92,'caseload data'!T:T),"")</f>
        <v/>
      </c>
      <c r="T97" s="102" t="s">
        <v>1174</v>
      </c>
      <c r="U97" s="175" t="str">
        <f>IFERROR(SUMIFS('caseload data'!E:E,'caseload data'!$C:$C,'divisional &amp; regional caseload%'!$T$92,'caseload data'!$D:$D,"SPO")/SUMIF('caseload data'!$C:$C,'divisional &amp; regional caseload%'!$T$92,'caseload data'!E:E),"")</f>
        <v/>
      </c>
      <c r="V97" s="175" t="str">
        <f>IFERROR(SUMIFS('caseload data'!F:F,'caseload data'!$C:$C,'divisional &amp; regional caseload%'!$T$92,'caseload data'!$D:$D,"SPO")/SUMIF('caseload data'!$C:$C,'divisional &amp; regional caseload%'!$T$92,'caseload data'!F:F),"")</f>
        <v/>
      </c>
      <c r="W97" s="175" t="str">
        <f>IFERROR(SUMIFS('caseload data'!G:G,'caseload data'!$C:$C,'divisional &amp; regional caseload%'!$T$92,'caseload data'!$D:$D,"SPO")/SUMIF('caseload data'!$C:$C,'divisional &amp; regional caseload%'!$T$92,'caseload data'!G:G),"")</f>
        <v/>
      </c>
      <c r="X97" s="175" t="str">
        <f>IFERROR(SUMIFS('caseload data'!H:H,'caseload data'!$C:$C,'divisional &amp; regional caseload%'!$T$92,'caseload data'!$D:$D,"SPO")/SUMIF('caseload data'!$C:$C,'divisional &amp; regional caseload%'!$T$92,'caseload data'!H:H),"")</f>
        <v/>
      </c>
      <c r="Y97" s="175" t="str">
        <f>IFERROR(SUMIFS('caseload data'!I:I,'caseload data'!$C:$C,'divisional &amp; regional caseload%'!$T$92,'caseload data'!$D:$D,"SPO")/SUMIF('caseload data'!$C:$C,'divisional &amp; regional caseload%'!$T$92,'caseload data'!I:I),"")</f>
        <v/>
      </c>
      <c r="Z97" s="175" t="str">
        <f>IFERROR(SUMIFS('caseload data'!J:J,'caseload data'!$C:$C,'divisional &amp; regional caseload%'!$T$92,'caseload data'!$D:$D,"SPO")/SUMIF('caseload data'!$C:$C,'divisional &amp; regional caseload%'!$T$92,'caseload data'!J:J),"")</f>
        <v/>
      </c>
      <c r="AA97" s="175" t="str">
        <f>IFERROR(SUMIFS('caseload data'!K:K,'caseload data'!$C:$C,'divisional &amp; regional caseload%'!$T$92,'caseload data'!$D:$D,"SPO")/SUMIF('caseload data'!$C:$C,'divisional &amp; regional caseload%'!$T$92,'caseload data'!K:K),"")</f>
        <v/>
      </c>
      <c r="AB97" s="175" t="str">
        <f>IFERROR(SUMIFS('caseload data'!L:L,'caseload data'!$C:$C,'divisional &amp; regional caseload%'!$T$92,'caseload data'!$D:$D,"SPO")/SUMIF('caseload data'!$C:$C,'divisional &amp; regional caseload%'!$T$92,'caseload data'!L:L),"")</f>
        <v/>
      </c>
      <c r="AC97" s="175" t="str">
        <f>IFERROR(SUMIFS('caseload data'!M:M,'caseload data'!$C:$C,'divisional &amp; regional caseload%'!$T$92,'caseload data'!$D:$D,"SPO")/SUMIF('caseload data'!$C:$C,'divisional &amp; regional caseload%'!$T$92,'caseload data'!M:M),"")</f>
        <v/>
      </c>
      <c r="AD97" s="175" t="str">
        <f>IFERROR(SUMIFS('caseload data'!N:N,'caseload data'!$C:$C,'divisional &amp; regional caseload%'!$T$92,'caseload data'!$D:$D,"SPO")/SUMIF('caseload data'!$C:$C,'divisional &amp; regional caseload%'!$T$92,'caseload data'!N:N),"")</f>
        <v/>
      </c>
      <c r="AE97" s="175" t="str">
        <f>IFERROR(SUMIFS('caseload data'!O:O,'caseload data'!$C:$C,'divisional &amp; regional caseload%'!$T$92,'caseload data'!$D:$D,"SPO")/SUMIF('caseload data'!$C:$C,'divisional &amp; regional caseload%'!$T$92,'caseload data'!O:O),"")</f>
        <v/>
      </c>
      <c r="AF97" s="175" t="str">
        <f>IFERROR(SUMIFS('caseload data'!P:P,'caseload data'!$C:$C,'divisional &amp; regional caseload%'!$T$92,'caseload data'!$D:$D,"SPO")/SUMIF('caseload data'!$C:$C,'divisional &amp; regional caseload%'!$T$92,'caseload data'!P:P),"")</f>
        <v/>
      </c>
      <c r="AG97" s="175" t="str">
        <f>IFERROR(SUMIFS('caseload data'!Q:Q,'caseload data'!$C:$C,'divisional &amp; regional caseload%'!$T$92,'caseload data'!$D:$D,"SPO")/SUMIF('caseload data'!$C:$C,'divisional &amp; regional caseload%'!$T$92,'caseload data'!Q:Q),"")</f>
        <v/>
      </c>
      <c r="AH97" s="175" t="str">
        <f>IFERROR(SUMIFS('caseload data'!R:R,'caseload data'!$C:$C,'divisional &amp; regional caseload%'!$T$92,'caseload data'!$D:$D,"SPO")/SUMIF('caseload data'!$C:$C,'divisional &amp; regional caseload%'!$T$92,'caseload data'!R:R),"")</f>
        <v/>
      </c>
      <c r="AI97" s="175" t="str">
        <f>IFERROR(SUMIFS('caseload data'!S:S,'caseload data'!$C:$C,'divisional &amp; regional caseload%'!$T$92,'caseload data'!$D:$D,"SPO")/SUMIF('caseload data'!$C:$C,'divisional &amp; regional caseload%'!$T$92,'caseload data'!S:S),"")</f>
        <v/>
      </c>
      <c r="AJ97" s="175" t="str">
        <f>IFERROR(SUMIFS('caseload data'!T:T,'caseload data'!$C:$C,'divisional &amp; regional caseload%'!$T$92,'caseload data'!$D:$D,"SPO")/SUMIF('caseload data'!$C:$C,'divisional &amp; regional caseload%'!$T$92,'caseload data'!T:T),"")</f>
        <v/>
      </c>
    </row>
    <row r="99" spans="2:36" ht="24" customHeight="1" x14ac:dyDescent="0.15">
      <c r="B99" s="150">
        <f>HLOOKUP($B$5,Region_Table,28,0)</f>
        <v>0</v>
      </c>
      <c r="C99" s="475" t="s">
        <v>1271</v>
      </c>
      <c r="D99" s="476"/>
      <c r="E99" s="476"/>
      <c r="F99" s="476"/>
      <c r="G99" s="476"/>
      <c r="H99" s="476"/>
      <c r="I99" s="476"/>
      <c r="J99" s="476"/>
      <c r="K99" s="476"/>
      <c r="L99" s="476"/>
      <c r="M99" s="477"/>
      <c r="N99" s="477"/>
      <c r="O99" s="478"/>
      <c r="P99" s="462">
        <f>SUMIF('caseload data'!$C:$C,'divisional &amp; regional caseload%'!B99,'caseload data'!V:V)</f>
        <v>0</v>
      </c>
      <c r="Q99" s="479"/>
      <c r="R99" s="480"/>
      <c r="T99" s="150">
        <f>HLOOKUP($B$5,Region_Table,29,0)</f>
        <v>0</v>
      </c>
      <c r="U99" s="475" t="s">
        <v>1271</v>
      </c>
      <c r="V99" s="476"/>
      <c r="W99" s="476"/>
      <c r="X99" s="476"/>
      <c r="Y99" s="476"/>
      <c r="Z99" s="476"/>
      <c r="AA99" s="476"/>
      <c r="AB99" s="476"/>
      <c r="AC99" s="476"/>
      <c r="AD99" s="476"/>
      <c r="AE99" s="477"/>
      <c r="AF99" s="477"/>
      <c r="AG99" s="478"/>
      <c r="AH99" s="462">
        <f>SUMIF('caseload data'!$C:$C,'divisional &amp; regional caseload%'!T99,'caseload data'!V:V)</f>
        <v>0</v>
      </c>
      <c r="AI99" s="479"/>
      <c r="AJ99" s="480"/>
    </row>
    <row r="100" spans="2:36" x14ac:dyDescent="0.15">
      <c r="B100" s="99" t="s">
        <v>1171</v>
      </c>
      <c r="C100" s="40" t="s">
        <v>1022</v>
      </c>
      <c r="D100" s="40" t="s">
        <v>1023</v>
      </c>
      <c r="E100" s="40" t="s">
        <v>1024</v>
      </c>
      <c r="F100" s="40" t="s">
        <v>1025</v>
      </c>
      <c r="G100" s="40" t="s">
        <v>1026</v>
      </c>
      <c r="H100" s="40" t="s">
        <v>1027</v>
      </c>
      <c r="I100" s="40" t="s">
        <v>1028</v>
      </c>
      <c r="J100" s="40" t="s">
        <v>1029</v>
      </c>
      <c r="K100" s="40" t="s">
        <v>1030</v>
      </c>
      <c r="L100" s="40" t="s">
        <v>1031</v>
      </c>
      <c r="M100" s="40" t="s">
        <v>1032</v>
      </c>
      <c r="N100" s="40" t="s">
        <v>1033</v>
      </c>
      <c r="O100" s="40" t="s">
        <v>1034</v>
      </c>
      <c r="P100" s="40" t="s">
        <v>1035</v>
      </c>
      <c r="Q100" s="40" t="s">
        <v>1036</v>
      </c>
      <c r="R100" s="40" t="s">
        <v>1037</v>
      </c>
      <c r="T100" s="99" t="s">
        <v>1171</v>
      </c>
      <c r="U100" s="40" t="s">
        <v>1022</v>
      </c>
      <c r="V100" s="40" t="s">
        <v>1023</v>
      </c>
      <c r="W100" s="40" t="s">
        <v>1024</v>
      </c>
      <c r="X100" s="40" t="s">
        <v>1025</v>
      </c>
      <c r="Y100" s="40" t="s">
        <v>1026</v>
      </c>
      <c r="Z100" s="40" t="s">
        <v>1027</v>
      </c>
      <c r="AA100" s="40" t="s">
        <v>1028</v>
      </c>
      <c r="AB100" s="40" t="s">
        <v>1029</v>
      </c>
      <c r="AC100" s="40" t="s">
        <v>1030</v>
      </c>
      <c r="AD100" s="40" t="s">
        <v>1031</v>
      </c>
      <c r="AE100" s="40" t="s">
        <v>1032</v>
      </c>
      <c r="AF100" s="40" t="s">
        <v>1033</v>
      </c>
      <c r="AG100" s="40" t="s">
        <v>1034</v>
      </c>
      <c r="AH100" s="40" t="s">
        <v>1035</v>
      </c>
      <c r="AI100" s="40" t="s">
        <v>1036</v>
      </c>
      <c r="AJ100" s="40" t="s">
        <v>1037</v>
      </c>
    </row>
    <row r="101" spans="2:36" x14ac:dyDescent="0.15">
      <c r="B101" s="100" t="s">
        <v>1166</v>
      </c>
      <c r="C101" s="175" t="str">
        <f>IFERROR(SUMIFS('caseload data'!E:E,'caseload data'!$C:$C,'divisional &amp; regional caseload%'!$B$99,'caseload data'!$D:$D,"PO")/SUMIF('caseload data'!$C:$C,'divisional &amp; regional caseload%'!$B$99,'caseload data'!E:E),"")</f>
        <v/>
      </c>
      <c r="D101" s="175" t="str">
        <f>IFERROR(SUMIFS('caseload data'!F:F,'caseload data'!$C:$C,'divisional &amp; regional caseload%'!$B$99,'caseload data'!$D:$D,"PO")/SUMIF('caseload data'!$C:$C,'divisional &amp; regional caseload%'!$B$99,'caseload data'!F:F),"")</f>
        <v/>
      </c>
      <c r="E101" s="175" t="str">
        <f>IFERROR(SUMIFS('caseload data'!G:G,'caseload data'!$C:$C,'divisional &amp; regional caseload%'!$B$99,'caseload data'!$D:$D,"PO")/SUMIF('caseload data'!$C:$C,'divisional &amp; regional caseload%'!$B$99,'caseload data'!G:G),"")</f>
        <v/>
      </c>
      <c r="F101" s="175" t="str">
        <f>IFERROR(SUMIFS('caseload data'!H:H,'caseload data'!$C:$C,'divisional &amp; regional caseload%'!$B$99,'caseload data'!$D:$D,"PO")/SUMIF('caseload data'!$C:$C,'divisional &amp; regional caseload%'!$B$99,'caseload data'!H:H),"")</f>
        <v/>
      </c>
      <c r="G101" s="175" t="str">
        <f>IFERROR(SUMIFS('caseload data'!I:I,'caseload data'!$C:$C,'divisional &amp; regional caseload%'!$B$99,'caseload data'!$D:$D,"PO")/SUMIF('caseload data'!$C:$C,'divisional &amp; regional caseload%'!$B$99,'caseload data'!I:I),"")</f>
        <v/>
      </c>
      <c r="H101" s="175" t="str">
        <f>IFERROR(SUMIFS('caseload data'!J:J,'caseload data'!$C:$C,'divisional &amp; regional caseload%'!$B$99,'caseload data'!$D:$D,"PO")/SUMIF('caseload data'!$C:$C,'divisional &amp; regional caseload%'!$B$99,'caseload data'!J:J),"")</f>
        <v/>
      </c>
      <c r="I101" s="175" t="str">
        <f>IFERROR(SUMIFS('caseload data'!K:K,'caseload data'!$C:$C,'divisional &amp; regional caseload%'!$B$99,'caseload data'!$D:$D,"PO")/SUMIF('caseload data'!$C:$C,'divisional &amp; regional caseload%'!$B$99,'caseload data'!K:K),"")</f>
        <v/>
      </c>
      <c r="J101" s="175" t="str">
        <f>IFERROR(SUMIFS('caseload data'!L:L,'caseload data'!$C:$C,'divisional &amp; regional caseload%'!$B$99,'caseload data'!$D:$D,"PO")/SUMIF('caseload data'!$C:$C,'divisional &amp; regional caseload%'!$B$99,'caseload data'!L:L),"")</f>
        <v/>
      </c>
      <c r="K101" s="175" t="str">
        <f>IFERROR(SUMIFS('caseload data'!M:M,'caseload data'!$C:$C,'divisional &amp; regional caseload%'!$B$99,'caseload data'!$D:$D,"PO")/SUMIF('caseload data'!$C:$C,'divisional &amp; regional caseload%'!$B$99,'caseload data'!M:M),"")</f>
        <v/>
      </c>
      <c r="L101" s="175" t="str">
        <f>IFERROR(SUMIFS('caseload data'!N:N,'caseload data'!$C:$C,'divisional &amp; regional caseload%'!$B$99,'caseload data'!$D:$D,"PO")/SUMIF('caseload data'!$C:$C,'divisional &amp; regional caseload%'!$B$99,'caseload data'!N:N),"")</f>
        <v/>
      </c>
      <c r="M101" s="175" t="str">
        <f>IFERROR(SUMIFS('caseload data'!O:O,'caseload data'!$C:$C,'divisional &amp; regional caseload%'!$B$99,'caseload data'!$D:$D,"PO")/SUMIF('caseload data'!$C:$C,'divisional &amp; regional caseload%'!$B$99,'caseload data'!O:O),"")</f>
        <v/>
      </c>
      <c r="N101" s="175" t="str">
        <f>IFERROR(SUMIFS('caseload data'!P:P,'caseload data'!$C:$C,'divisional &amp; regional caseload%'!$B$99,'caseload data'!$D:$D,"PO")/SUMIF('caseload data'!$C:$C,'divisional &amp; regional caseload%'!$B$99,'caseload data'!P:P),"")</f>
        <v/>
      </c>
      <c r="O101" s="175" t="str">
        <f>IFERROR(SUMIFS('caseload data'!Q:Q,'caseload data'!$C:$C,'divisional &amp; regional caseload%'!$B$99,'caseload data'!$D:$D,"PO")/SUMIF('caseload data'!$C:$C,'divisional &amp; regional caseload%'!$B$99,'caseload data'!Q:Q),"")</f>
        <v/>
      </c>
      <c r="P101" s="175" t="str">
        <f>IFERROR(SUMIFS('caseload data'!R:R,'caseload data'!$C:$C,'divisional &amp; regional caseload%'!$B$99,'caseload data'!$D:$D,"PO")/SUMIF('caseload data'!$C:$C,'divisional &amp; regional caseload%'!$B$99,'caseload data'!R:R),"")</f>
        <v/>
      </c>
      <c r="Q101" s="175" t="str">
        <f>IFERROR(SUMIFS('caseload data'!S:S,'caseload data'!$C:$C,'divisional &amp; regional caseload%'!$B$99,'caseload data'!$D:$D,"PO")/SUMIF('caseload data'!$C:$C,'divisional &amp; regional caseload%'!$B$99,'caseload data'!S:S),"")</f>
        <v/>
      </c>
      <c r="R101" s="175" t="str">
        <f>IFERROR(SUMIFS('caseload data'!T:T,'caseload data'!$C:$C,'divisional &amp; regional caseload%'!$B$99,'caseload data'!$D:$D,"PO")/SUMIF('caseload data'!$C:$C,'divisional &amp; regional caseload%'!$B$99,'caseload data'!T:T),"")</f>
        <v/>
      </c>
      <c r="T101" s="100" t="s">
        <v>1166</v>
      </c>
      <c r="U101" s="175" t="str">
        <f>IFERROR(SUMIFS('caseload data'!E:E,'caseload data'!$C:$C,'divisional &amp; regional caseload%'!$T$99,'caseload data'!$D:$D,"PO")/SUMIF('caseload data'!$C:$C,'divisional &amp; regional caseload%'!$T$99,'caseload data'!E:E),"")</f>
        <v/>
      </c>
      <c r="V101" s="175" t="str">
        <f>IFERROR(SUMIFS('caseload data'!F:F,'caseload data'!$C:$C,'divisional &amp; regional caseload%'!$T$99,'caseload data'!$D:$D,"PO")/SUMIF('caseload data'!$C:$C,'divisional &amp; regional caseload%'!$T$99,'caseload data'!F:F),"")</f>
        <v/>
      </c>
      <c r="W101" s="175" t="str">
        <f>IFERROR(SUMIFS('caseload data'!G:G,'caseload data'!$C:$C,'divisional &amp; regional caseload%'!$T$99,'caseload data'!$D:$D,"PO")/SUMIF('caseload data'!$C:$C,'divisional &amp; regional caseload%'!$T$99,'caseload data'!G:G),"")</f>
        <v/>
      </c>
      <c r="X101" s="175" t="str">
        <f>IFERROR(SUMIFS('caseload data'!H:H,'caseload data'!$C:$C,'divisional &amp; regional caseload%'!$T$99,'caseload data'!$D:$D,"PO")/SUMIF('caseload data'!$C:$C,'divisional &amp; regional caseload%'!$T$99,'caseload data'!H:H),"")</f>
        <v/>
      </c>
      <c r="Y101" s="175" t="str">
        <f>IFERROR(SUMIFS('caseload data'!I:I,'caseload data'!$C:$C,'divisional &amp; regional caseload%'!$T$99,'caseload data'!$D:$D,"PO")/SUMIF('caseload data'!$C:$C,'divisional &amp; regional caseload%'!$T$99,'caseload data'!I:I),"")</f>
        <v/>
      </c>
      <c r="Z101" s="175" t="str">
        <f>IFERROR(SUMIFS('caseload data'!J:J,'caseload data'!$C:$C,'divisional &amp; regional caseload%'!$T$99,'caseload data'!$D:$D,"PO")/SUMIF('caseload data'!$C:$C,'divisional &amp; regional caseload%'!$T$99,'caseload data'!J:J),"")</f>
        <v/>
      </c>
      <c r="AA101" s="175" t="str">
        <f>IFERROR(SUMIFS('caseload data'!K:K,'caseload data'!$C:$C,'divisional &amp; regional caseload%'!$T$99,'caseload data'!$D:$D,"PO")/SUMIF('caseload data'!$C:$C,'divisional &amp; regional caseload%'!$T$99,'caseload data'!K:K),"")</f>
        <v/>
      </c>
      <c r="AB101" s="175" t="str">
        <f>IFERROR(SUMIFS('caseload data'!L:L,'caseload data'!$C:$C,'divisional &amp; regional caseload%'!$T$99,'caseload data'!$D:$D,"PO")/SUMIF('caseload data'!$C:$C,'divisional &amp; regional caseload%'!$T$99,'caseload data'!L:L),"")</f>
        <v/>
      </c>
      <c r="AC101" s="175" t="str">
        <f>IFERROR(SUMIFS('caseload data'!M:M,'caseload data'!$C:$C,'divisional &amp; regional caseload%'!$T$99,'caseload data'!$D:$D,"PO")/SUMIF('caseload data'!$C:$C,'divisional &amp; regional caseload%'!$T$99,'caseload data'!M:M),"")</f>
        <v/>
      </c>
      <c r="AD101" s="175" t="str">
        <f>IFERROR(SUMIFS('caseload data'!N:N,'caseload data'!$C:$C,'divisional &amp; regional caseload%'!$T$99,'caseload data'!$D:$D,"PO")/SUMIF('caseload data'!$C:$C,'divisional &amp; regional caseload%'!$T$99,'caseload data'!N:N),"")</f>
        <v/>
      </c>
      <c r="AE101" s="175" t="str">
        <f>IFERROR(SUMIFS('caseload data'!O:O,'caseload data'!$C:$C,'divisional &amp; regional caseload%'!$T$99,'caseload data'!$D:$D,"PO")/SUMIF('caseload data'!$C:$C,'divisional &amp; regional caseload%'!$T$99,'caseload data'!O:O),"")</f>
        <v/>
      </c>
      <c r="AF101" s="175" t="str">
        <f>IFERROR(SUMIFS('caseload data'!P:P,'caseload data'!$C:$C,'divisional &amp; regional caseload%'!$T$99,'caseload data'!$D:$D,"PO")/SUMIF('caseload data'!$C:$C,'divisional &amp; regional caseload%'!$T$99,'caseload data'!P:P),"")</f>
        <v/>
      </c>
      <c r="AG101" s="175" t="str">
        <f>IFERROR(SUMIFS('caseload data'!Q:Q,'caseload data'!$C:$C,'divisional &amp; regional caseload%'!$T$99,'caseload data'!$D:$D,"PO")/SUMIF('caseload data'!$C:$C,'divisional &amp; regional caseload%'!$T$99,'caseload data'!Q:Q),"")</f>
        <v/>
      </c>
      <c r="AH101" s="175" t="str">
        <f>IFERROR(SUMIFS('caseload data'!R:R,'caseload data'!$C:$C,'divisional &amp; regional caseload%'!$T$99,'caseload data'!$D:$D,"PO")/SUMIF('caseload data'!$C:$C,'divisional &amp; regional caseload%'!$T$99,'caseload data'!R:R),"")</f>
        <v/>
      </c>
      <c r="AI101" s="175" t="str">
        <f>IFERROR(SUMIFS('caseload data'!S:S,'caseload data'!$C:$C,'divisional &amp; regional caseload%'!$T$99,'caseload data'!$D:$D,"PO")/SUMIF('caseload data'!$C:$C,'divisional &amp; regional caseload%'!$T$99,'caseload data'!S:S),"")</f>
        <v/>
      </c>
      <c r="AJ101" s="175" t="str">
        <f>IFERROR(SUMIFS('caseload data'!T:T,'caseload data'!$C:$C,'divisional &amp; regional caseload%'!$T$99,'caseload data'!$D:$D,"PO")/SUMIF('caseload data'!$C:$C,'divisional &amp; regional caseload%'!$T$99,'caseload data'!T:T),"")</f>
        <v/>
      </c>
    </row>
    <row r="102" spans="2:36" x14ac:dyDescent="0.15">
      <c r="B102" s="101" t="s">
        <v>1172</v>
      </c>
      <c r="C102" s="175" t="str">
        <f>IFERROR(SUMIFS('caseload data'!E:E,'caseload data'!$C:$C,'divisional &amp; regional caseload%'!$B$99,'caseload data'!$D:$D,"PSO")/SUMIF('caseload data'!$C:$C,'divisional &amp; regional caseload%'!$B$99,'caseload data'!E:E),"")</f>
        <v/>
      </c>
      <c r="D102" s="175" t="str">
        <f>IFERROR(SUMIFS('caseload data'!F:F,'caseload data'!$C:$C,'divisional &amp; regional caseload%'!$B$99,'caseload data'!$D:$D,"PSO")/SUMIF('caseload data'!$C:$C,'divisional &amp; regional caseload%'!$B$99,'caseload data'!F:F),"")</f>
        <v/>
      </c>
      <c r="E102" s="175" t="str">
        <f>IFERROR(SUMIFS('caseload data'!G:G,'caseload data'!$C:$C,'divisional &amp; regional caseload%'!$B$99,'caseload data'!$D:$D,"PSO")/SUMIF('caseload data'!$C:$C,'divisional &amp; regional caseload%'!$B$99,'caseload data'!G:G),"")</f>
        <v/>
      </c>
      <c r="F102" s="175" t="str">
        <f>IFERROR(SUMIFS('caseload data'!H:H,'caseload data'!$C:$C,'divisional &amp; regional caseload%'!$B$99,'caseload data'!$D:$D,"PSO")/SUMIF('caseload data'!$C:$C,'divisional &amp; regional caseload%'!$B$99,'caseload data'!H:H),"")</f>
        <v/>
      </c>
      <c r="G102" s="175" t="str">
        <f>IFERROR(SUMIFS('caseload data'!I:I,'caseload data'!$C:$C,'divisional &amp; regional caseload%'!$B$99,'caseload data'!$D:$D,"PSO")/SUMIF('caseload data'!$C:$C,'divisional &amp; regional caseload%'!$B$99,'caseload data'!I:I),"")</f>
        <v/>
      </c>
      <c r="H102" s="175" t="str">
        <f>IFERROR(SUMIFS('caseload data'!J:J,'caseload data'!$C:$C,'divisional &amp; regional caseload%'!$B$99,'caseload data'!$D:$D,"PSO")/SUMIF('caseload data'!$C:$C,'divisional &amp; regional caseload%'!$B$99,'caseload data'!J:J),"")</f>
        <v/>
      </c>
      <c r="I102" s="175" t="str">
        <f>IFERROR(SUMIFS('caseload data'!K:K,'caseload data'!$C:$C,'divisional &amp; regional caseload%'!$B$99,'caseload data'!$D:$D,"PSO")/SUMIF('caseload data'!$C:$C,'divisional &amp; regional caseload%'!$B$99,'caseload data'!K:K),"")</f>
        <v/>
      </c>
      <c r="J102" s="175" t="str">
        <f>IFERROR(SUMIFS('caseload data'!L:L,'caseload data'!$C:$C,'divisional &amp; regional caseload%'!$B$99,'caseload data'!$D:$D,"PSO")/SUMIF('caseload data'!$C:$C,'divisional &amp; regional caseload%'!$B$99,'caseload data'!L:L),"")</f>
        <v/>
      </c>
      <c r="K102" s="175" t="str">
        <f>IFERROR(SUMIFS('caseload data'!M:M,'caseload data'!$C:$C,'divisional &amp; regional caseload%'!$B$99,'caseload data'!$D:$D,"PSO")/SUMIF('caseload data'!$C:$C,'divisional &amp; regional caseload%'!$B$99,'caseload data'!M:M),"")</f>
        <v/>
      </c>
      <c r="L102" s="175" t="str">
        <f>IFERROR(SUMIFS('caseload data'!N:N,'caseload data'!$C:$C,'divisional &amp; regional caseload%'!$B$99,'caseload data'!$D:$D,"PSO")/SUMIF('caseload data'!$C:$C,'divisional &amp; regional caseload%'!$B$99,'caseload data'!N:N),"")</f>
        <v/>
      </c>
      <c r="M102" s="175" t="str">
        <f>IFERROR(SUMIFS('caseload data'!O:O,'caseload data'!$C:$C,'divisional &amp; regional caseload%'!$B$99,'caseload data'!$D:$D,"PSO")/SUMIF('caseload data'!$C:$C,'divisional &amp; regional caseload%'!$B$99,'caseload data'!O:O),"")</f>
        <v/>
      </c>
      <c r="N102" s="175" t="str">
        <f>IFERROR(SUMIFS('caseload data'!P:P,'caseload data'!$C:$C,'divisional &amp; regional caseload%'!$B$99,'caseload data'!$D:$D,"PSO")/SUMIF('caseload data'!$C:$C,'divisional &amp; regional caseload%'!$B$99,'caseload data'!P:P),"")</f>
        <v/>
      </c>
      <c r="O102" s="175" t="str">
        <f>IFERROR(SUMIFS('caseload data'!Q:Q,'caseload data'!$C:$C,'divisional &amp; regional caseload%'!$B$99,'caseload data'!$D:$D,"PSO")/SUMIF('caseload data'!$C:$C,'divisional &amp; regional caseload%'!$B$99,'caseload data'!Q:Q),"")</f>
        <v/>
      </c>
      <c r="P102" s="175" t="str">
        <f>IFERROR(SUMIFS('caseload data'!R:R,'caseload data'!$C:$C,'divisional &amp; regional caseload%'!$B$99,'caseload data'!$D:$D,"PSO")/SUMIF('caseload data'!$C:$C,'divisional &amp; regional caseload%'!$B$99,'caseload data'!R:R),"")</f>
        <v/>
      </c>
      <c r="Q102" s="175" t="str">
        <f>IFERROR(SUMIFS('caseload data'!S:S,'caseload data'!$C:$C,'divisional &amp; regional caseload%'!$B$99,'caseload data'!$D:$D,"PSO")/SUMIF('caseload data'!$C:$C,'divisional &amp; regional caseload%'!$B$99,'caseload data'!S:S),"")</f>
        <v/>
      </c>
      <c r="R102" s="175" t="str">
        <f>IFERROR(SUMIFS('caseload data'!T:T,'caseload data'!$C:$C,'divisional &amp; regional caseload%'!$B$99,'caseload data'!$D:$D,"PSO")/SUMIF('caseload data'!$C:$C,'divisional &amp; regional caseload%'!$B$99,'caseload data'!T:T),"")</f>
        <v/>
      </c>
      <c r="T102" s="101" t="s">
        <v>1172</v>
      </c>
      <c r="U102" s="175" t="str">
        <f>IFERROR(SUMIFS('caseload data'!E:E,'caseload data'!$C:$C,'divisional &amp; regional caseload%'!$T$99,'caseload data'!$D:$D,"PSO")/SUMIF('caseload data'!$C:$C,'divisional &amp; regional caseload%'!$T$99,'caseload data'!E:E),"")</f>
        <v/>
      </c>
      <c r="V102" s="175" t="str">
        <f>IFERROR(SUMIFS('caseload data'!F:F,'caseload data'!$C:$C,'divisional &amp; regional caseload%'!$T$99,'caseload data'!$D:$D,"PSO")/SUMIF('caseload data'!$C:$C,'divisional &amp; regional caseload%'!$T$99,'caseload data'!F:F),"")</f>
        <v/>
      </c>
      <c r="W102" s="175" t="str">
        <f>IFERROR(SUMIFS('caseload data'!G:G,'caseload data'!$C:$C,'divisional &amp; regional caseload%'!$T$99,'caseload data'!$D:$D,"PSO")/SUMIF('caseload data'!$C:$C,'divisional &amp; regional caseload%'!$T$99,'caseload data'!G:G),"")</f>
        <v/>
      </c>
      <c r="X102" s="175" t="str">
        <f>IFERROR(SUMIFS('caseload data'!H:H,'caseload data'!$C:$C,'divisional &amp; regional caseload%'!$T$99,'caseload data'!$D:$D,"PSO")/SUMIF('caseload data'!$C:$C,'divisional &amp; regional caseload%'!$T$99,'caseload data'!H:H),"")</f>
        <v/>
      </c>
      <c r="Y102" s="175" t="str">
        <f>IFERROR(SUMIFS('caseload data'!I:I,'caseload data'!$C:$C,'divisional &amp; regional caseload%'!$T$99,'caseload data'!$D:$D,"PSO")/SUMIF('caseload data'!$C:$C,'divisional &amp; regional caseload%'!$T$99,'caseload data'!I:I),"")</f>
        <v/>
      </c>
      <c r="Z102" s="175" t="str">
        <f>IFERROR(SUMIFS('caseload data'!J:J,'caseload data'!$C:$C,'divisional &amp; regional caseload%'!$T$99,'caseload data'!$D:$D,"PSO")/SUMIF('caseload data'!$C:$C,'divisional &amp; regional caseload%'!$T$99,'caseload data'!J:J),"")</f>
        <v/>
      </c>
      <c r="AA102" s="175" t="str">
        <f>IFERROR(SUMIFS('caseload data'!K:K,'caseload data'!$C:$C,'divisional &amp; regional caseload%'!$T$99,'caseload data'!$D:$D,"PSO")/SUMIF('caseload data'!$C:$C,'divisional &amp; regional caseload%'!$T$99,'caseload data'!K:K),"")</f>
        <v/>
      </c>
      <c r="AB102" s="175" t="str">
        <f>IFERROR(SUMIFS('caseload data'!L:L,'caseload data'!$C:$C,'divisional &amp; regional caseload%'!$T$99,'caseload data'!$D:$D,"PSO")/SUMIF('caseload data'!$C:$C,'divisional &amp; regional caseload%'!$T$99,'caseload data'!L:L),"")</f>
        <v/>
      </c>
      <c r="AC102" s="175" t="str">
        <f>IFERROR(SUMIFS('caseload data'!M:M,'caseload data'!$C:$C,'divisional &amp; regional caseload%'!$T$99,'caseload data'!$D:$D,"PSO")/SUMIF('caseload data'!$C:$C,'divisional &amp; regional caseload%'!$T$99,'caseload data'!M:M),"")</f>
        <v/>
      </c>
      <c r="AD102" s="175" t="str">
        <f>IFERROR(SUMIFS('caseload data'!N:N,'caseload data'!$C:$C,'divisional &amp; regional caseload%'!$T$99,'caseload data'!$D:$D,"PSO")/SUMIF('caseload data'!$C:$C,'divisional &amp; regional caseload%'!$T$99,'caseload data'!N:N),"")</f>
        <v/>
      </c>
      <c r="AE102" s="175" t="str">
        <f>IFERROR(SUMIFS('caseload data'!O:O,'caseload data'!$C:$C,'divisional &amp; regional caseload%'!$T$99,'caseload data'!$D:$D,"PSO")/SUMIF('caseload data'!$C:$C,'divisional &amp; regional caseload%'!$T$99,'caseload data'!O:O),"")</f>
        <v/>
      </c>
      <c r="AF102" s="175" t="str">
        <f>IFERROR(SUMIFS('caseload data'!P:P,'caseload data'!$C:$C,'divisional &amp; regional caseload%'!$T$99,'caseload data'!$D:$D,"PSO")/SUMIF('caseload data'!$C:$C,'divisional &amp; regional caseload%'!$T$99,'caseload data'!P:P),"")</f>
        <v/>
      </c>
      <c r="AG102" s="175" t="str">
        <f>IFERROR(SUMIFS('caseload data'!Q:Q,'caseload data'!$C:$C,'divisional &amp; regional caseload%'!$T$99,'caseload data'!$D:$D,"PSO")/SUMIF('caseload data'!$C:$C,'divisional &amp; regional caseload%'!$T$99,'caseload data'!Q:Q),"")</f>
        <v/>
      </c>
      <c r="AH102" s="175" t="str">
        <f>IFERROR(SUMIFS('caseload data'!R:R,'caseload data'!$C:$C,'divisional &amp; regional caseload%'!$T$99,'caseload data'!$D:$D,"PSO")/SUMIF('caseload data'!$C:$C,'divisional &amp; regional caseload%'!$T$99,'caseload data'!R:R),"")</f>
        <v/>
      </c>
      <c r="AI102" s="175" t="str">
        <f>IFERROR(SUMIFS('caseload data'!S:S,'caseload data'!$C:$C,'divisional &amp; regional caseload%'!$T$99,'caseload data'!$D:$D,"PSO")/SUMIF('caseload data'!$C:$C,'divisional &amp; regional caseload%'!$T$99,'caseload data'!S:S),"")</f>
        <v/>
      </c>
      <c r="AJ102" s="175" t="str">
        <f>IFERROR(SUMIFS('caseload data'!T:T,'caseload data'!$C:$C,'divisional &amp; regional caseload%'!$T$99,'caseload data'!$D:$D,"PSO")/SUMIF('caseload data'!$C:$C,'divisional &amp; regional caseload%'!$T$99,'caseload data'!T:T),"")</f>
        <v/>
      </c>
    </row>
    <row r="103" spans="2:36" x14ac:dyDescent="0.15">
      <c r="B103" s="101" t="s">
        <v>1173</v>
      </c>
      <c r="C103" s="175" t="str">
        <f>IFERROR(SUMIFS('caseload data'!E:E,'caseload data'!$C:$C,'divisional &amp; regional caseload%'!$B$99,'caseload data'!$D:$D,"TPO")/SUMIF('caseload data'!$C:$C,'divisional &amp; regional caseload%'!$B$99,'caseload data'!E:E),"")</f>
        <v/>
      </c>
      <c r="D103" s="175" t="str">
        <f>IFERROR(SUMIFS('caseload data'!F:F,'caseload data'!$C:$C,'divisional &amp; regional caseload%'!$B$99,'caseload data'!$D:$D,"TPO")/SUMIF('caseload data'!$C:$C,'divisional &amp; regional caseload%'!$B$99,'caseload data'!F:F),"")</f>
        <v/>
      </c>
      <c r="E103" s="175" t="str">
        <f>IFERROR(SUMIFS('caseload data'!G:G,'caseload data'!$C:$C,'divisional &amp; regional caseload%'!$B$99,'caseload data'!$D:$D,"TPO")/SUMIF('caseload data'!$C:$C,'divisional &amp; regional caseload%'!$B$99,'caseload data'!G:G),"")</f>
        <v/>
      </c>
      <c r="F103" s="175" t="str">
        <f>IFERROR(SUMIFS('caseload data'!H:H,'caseload data'!$C:$C,'divisional &amp; regional caseload%'!$B$99,'caseload data'!$D:$D,"TPO")/SUMIF('caseload data'!$C:$C,'divisional &amp; regional caseload%'!$B$99,'caseload data'!H:H),"")</f>
        <v/>
      </c>
      <c r="G103" s="175" t="str">
        <f>IFERROR(SUMIFS('caseload data'!I:I,'caseload data'!$C:$C,'divisional &amp; regional caseload%'!$B$99,'caseload data'!$D:$D,"TPO")/SUMIF('caseload data'!$C:$C,'divisional &amp; regional caseload%'!$B$99,'caseload data'!I:I),"")</f>
        <v/>
      </c>
      <c r="H103" s="175" t="str">
        <f>IFERROR(SUMIFS('caseload data'!J:J,'caseload data'!$C:$C,'divisional &amp; regional caseload%'!$B$99,'caseload data'!$D:$D,"TPO")/SUMIF('caseload data'!$C:$C,'divisional &amp; regional caseload%'!$B$99,'caseload data'!J:J),"")</f>
        <v/>
      </c>
      <c r="I103" s="175" t="str">
        <f>IFERROR(SUMIFS('caseload data'!K:K,'caseload data'!$C:$C,'divisional &amp; regional caseload%'!$B$99,'caseload data'!$D:$D,"TPO")/SUMIF('caseload data'!$C:$C,'divisional &amp; regional caseload%'!$B$99,'caseload data'!K:K),"")</f>
        <v/>
      </c>
      <c r="J103" s="175" t="str">
        <f>IFERROR(SUMIFS('caseload data'!L:L,'caseload data'!$C:$C,'divisional &amp; regional caseload%'!$B$99,'caseload data'!$D:$D,"TPO")/SUMIF('caseload data'!$C:$C,'divisional &amp; regional caseload%'!$B$99,'caseload data'!L:L),"")</f>
        <v/>
      </c>
      <c r="K103" s="175" t="str">
        <f>IFERROR(SUMIFS('caseload data'!M:M,'caseload data'!$C:$C,'divisional &amp; regional caseload%'!$B$99,'caseload data'!$D:$D,"TPO")/SUMIF('caseload data'!$C:$C,'divisional &amp; regional caseload%'!$B$99,'caseload data'!M:M),"")</f>
        <v/>
      </c>
      <c r="L103" s="175" t="str">
        <f>IFERROR(SUMIFS('caseload data'!N:N,'caseload data'!$C:$C,'divisional &amp; regional caseload%'!$B$99,'caseload data'!$D:$D,"TPO")/SUMIF('caseload data'!$C:$C,'divisional &amp; regional caseload%'!$B$99,'caseload data'!N:N),"")</f>
        <v/>
      </c>
      <c r="M103" s="175" t="str">
        <f>IFERROR(SUMIFS('caseload data'!O:O,'caseload data'!$C:$C,'divisional &amp; regional caseload%'!$B$99,'caseload data'!$D:$D,"TPO")/SUMIF('caseload data'!$C:$C,'divisional &amp; regional caseload%'!$B$99,'caseload data'!O:O),"")</f>
        <v/>
      </c>
      <c r="N103" s="175" t="str">
        <f>IFERROR(SUMIFS('caseload data'!P:P,'caseload data'!$C:$C,'divisional &amp; regional caseload%'!$B$99,'caseload data'!$D:$D,"TPO")/SUMIF('caseload data'!$C:$C,'divisional &amp; regional caseload%'!$B$99,'caseload data'!P:P),"")</f>
        <v/>
      </c>
      <c r="O103" s="175" t="str">
        <f>IFERROR(SUMIFS('caseload data'!Q:Q,'caseload data'!$C:$C,'divisional &amp; regional caseload%'!$B$99,'caseload data'!$D:$D,"TPO")/SUMIF('caseload data'!$C:$C,'divisional &amp; regional caseload%'!$B$99,'caseload data'!Q:Q),"")</f>
        <v/>
      </c>
      <c r="P103" s="175" t="str">
        <f>IFERROR(SUMIFS('caseload data'!R:R,'caseload data'!$C:$C,'divisional &amp; regional caseload%'!$B$99,'caseload data'!$D:$D,"TPO")/SUMIF('caseload data'!$C:$C,'divisional &amp; regional caseload%'!$B$99,'caseload data'!R:R),"")</f>
        <v/>
      </c>
      <c r="Q103" s="175" t="str">
        <f>IFERROR(SUMIFS('caseload data'!S:S,'caseload data'!$C:$C,'divisional &amp; regional caseload%'!$B$99,'caseload data'!$D:$D,"TPO")/SUMIF('caseload data'!$C:$C,'divisional &amp; regional caseload%'!$B$99,'caseload data'!S:S),"")</f>
        <v/>
      </c>
      <c r="R103" s="175" t="str">
        <f>IFERROR(SUMIFS('caseload data'!T:T,'caseload data'!$C:$C,'divisional &amp; regional caseload%'!$B$99,'caseload data'!$D:$D,"TPO")/SUMIF('caseload data'!$C:$C,'divisional &amp; regional caseload%'!$B$99,'caseload data'!T:T),"")</f>
        <v/>
      </c>
      <c r="T103" s="101" t="s">
        <v>1173</v>
      </c>
      <c r="U103" s="175" t="str">
        <f>IFERROR(SUMIFS('caseload data'!E:E,'caseload data'!$C:$C,'divisional &amp; regional caseload%'!$T$99,'caseload data'!$D:$D,"TPO")/SUMIF('caseload data'!$C:$C,'divisional &amp; regional caseload%'!$T$99,'caseload data'!E:E),"")</f>
        <v/>
      </c>
      <c r="V103" s="175" t="str">
        <f>IFERROR(SUMIFS('caseload data'!F:F,'caseload data'!$C:$C,'divisional &amp; regional caseload%'!$T$99,'caseload data'!$D:$D,"TPO")/SUMIF('caseload data'!$C:$C,'divisional &amp; regional caseload%'!$T$99,'caseload data'!F:F),"")</f>
        <v/>
      </c>
      <c r="W103" s="175" t="str">
        <f>IFERROR(SUMIFS('caseload data'!G:G,'caseload data'!$C:$C,'divisional &amp; regional caseload%'!$T$99,'caseload data'!$D:$D,"TPO")/SUMIF('caseload data'!$C:$C,'divisional &amp; regional caseload%'!$T$99,'caseload data'!G:G),"")</f>
        <v/>
      </c>
      <c r="X103" s="175" t="str">
        <f>IFERROR(SUMIFS('caseload data'!H:H,'caseload data'!$C:$C,'divisional &amp; regional caseload%'!$T$99,'caseload data'!$D:$D,"TPO")/SUMIF('caseload data'!$C:$C,'divisional &amp; regional caseload%'!$T$99,'caseload data'!H:H),"")</f>
        <v/>
      </c>
      <c r="Y103" s="175" t="str">
        <f>IFERROR(SUMIFS('caseload data'!I:I,'caseload data'!$C:$C,'divisional &amp; regional caseload%'!$T$99,'caseload data'!$D:$D,"TPO")/SUMIF('caseload data'!$C:$C,'divisional &amp; regional caseload%'!$T$99,'caseload data'!I:I),"")</f>
        <v/>
      </c>
      <c r="Z103" s="175" t="str">
        <f>IFERROR(SUMIFS('caseload data'!J:J,'caseload data'!$C:$C,'divisional &amp; regional caseload%'!$T$99,'caseload data'!$D:$D,"TPO")/SUMIF('caseload data'!$C:$C,'divisional &amp; regional caseload%'!$T$99,'caseload data'!J:J),"")</f>
        <v/>
      </c>
      <c r="AA103" s="175" t="str">
        <f>IFERROR(SUMIFS('caseload data'!K:K,'caseload data'!$C:$C,'divisional &amp; regional caseload%'!$T$99,'caseload data'!$D:$D,"TPO")/SUMIF('caseload data'!$C:$C,'divisional &amp; regional caseload%'!$T$99,'caseload data'!K:K),"")</f>
        <v/>
      </c>
      <c r="AB103" s="175" t="str">
        <f>IFERROR(SUMIFS('caseload data'!L:L,'caseload data'!$C:$C,'divisional &amp; regional caseload%'!$T$99,'caseload data'!$D:$D,"TPO")/SUMIF('caseload data'!$C:$C,'divisional &amp; regional caseload%'!$T$99,'caseload data'!L:L),"")</f>
        <v/>
      </c>
      <c r="AC103" s="175" t="str">
        <f>IFERROR(SUMIFS('caseload data'!M:M,'caseload data'!$C:$C,'divisional &amp; regional caseload%'!$T$99,'caseload data'!$D:$D,"TPO")/SUMIF('caseload data'!$C:$C,'divisional &amp; regional caseload%'!$T$99,'caseload data'!M:M),"")</f>
        <v/>
      </c>
      <c r="AD103" s="175" t="str">
        <f>IFERROR(SUMIFS('caseload data'!N:N,'caseload data'!$C:$C,'divisional &amp; regional caseload%'!$T$99,'caseload data'!$D:$D,"TPO")/SUMIF('caseload data'!$C:$C,'divisional &amp; regional caseload%'!$T$99,'caseload data'!N:N),"")</f>
        <v/>
      </c>
      <c r="AE103" s="175" t="str">
        <f>IFERROR(SUMIFS('caseload data'!O:O,'caseload data'!$C:$C,'divisional &amp; regional caseload%'!$T$99,'caseload data'!$D:$D,"TPO")/SUMIF('caseload data'!$C:$C,'divisional &amp; regional caseload%'!$T$99,'caseload data'!O:O),"")</f>
        <v/>
      </c>
      <c r="AF103" s="175" t="str">
        <f>IFERROR(SUMIFS('caseload data'!P:P,'caseload data'!$C:$C,'divisional &amp; regional caseload%'!$T$99,'caseload data'!$D:$D,"TPO")/SUMIF('caseload data'!$C:$C,'divisional &amp; regional caseload%'!$T$99,'caseload data'!P:P),"")</f>
        <v/>
      </c>
      <c r="AG103" s="175" t="str">
        <f>IFERROR(SUMIFS('caseload data'!Q:Q,'caseload data'!$C:$C,'divisional &amp; regional caseload%'!$T$99,'caseload data'!$D:$D,"TPO")/SUMIF('caseload data'!$C:$C,'divisional &amp; regional caseload%'!$T$99,'caseload data'!Q:Q),"")</f>
        <v/>
      </c>
      <c r="AH103" s="175" t="str">
        <f>IFERROR(SUMIFS('caseload data'!R:R,'caseload data'!$C:$C,'divisional &amp; regional caseload%'!$T$99,'caseload data'!$D:$D,"TPO")/SUMIF('caseload data'!$C:$C,'divisional &amp; regional caseload%'!$T$99,'caseload data'!R:R),"")</f>
        <v/>
      </c>
      <c r="AI103" s="175" t="str">
        <f>IFERROR(SUMIFS('caseload data'!S:S,'caseload data'!$C:$C,'divisional &amp; regional caseload%'!$T$99,'caseload data'!$D:$D,"TPO")/SUMIF('caseload data'!$C:$C,'divisional &amp; regional caseload%'!$T$99,'caseload data'!S:S),"")</f>
        <v/>
      </c>
      <c r="AJ103" s="175" t="str">
        <f>IFERROR(SUMIFS('caseload data'!T:T,'caseload data'!$C:$C,'divisional &amp; regional caseload%'!$T$99,'caseload data'!$D:$D,"TPO")/SUMIF('caseload data'!$C:$C,'divisional &amp; regional caseload%'!$T$99,'caseload data'!T:T),"")</f>
        <v/>
      </c>
    </row>
    <row r="104" spans="2:36" x14ac:dyDescent="0.15">
      <c r="B104" s="102" t="s">
        <v>1174</v>
      </c>
      <c r="C104" s="175" t="str">
        <f>IFERROR(SUMIFS('caseload data'!E:E,'caseload data'!$C:$C,'divisional &amp; regional caseload%'!$B$99,'caseload data'!$D:$D,"SPO")/SUMIF('caseload data'!$C:$C,'divisional &amp; regional caseload%'!$B$99,'caseload data'!E:E),"")</f>
        <v/>
      </c>
      <c r="D104" s="175" t="str">
        <f>IFERROR(SUMIFS('caseload data'!F:F,'caseload data'!$C:$C,'divisional &amp; regional caseload%'!$B$99,'caseload data'!$D:$D,"SPO")/SUMIF('caseload data'!$C:$C,'divisional &amp; regional caseload%'!$B$99,'caseload data'!F:F),"")</f>
        <v/>
      </c>
      <c r="E104" s="175" t="str">
        <f>IFERROR(SUMIFS('caseload data'!G:G,'caseload data'!$C:$C,'divisional &amp; regional caseload%'!$B$99,'caseload data'!$D:$D,"SPO")/SUMIF('caseload data'!$C:$C,'divisional &amp; regional caseload%'!$B$99,'caseload data'!G:G),"")</f>
        <v/>
      </c>
      <c r="F104" s="175" t="str">
        <f>IFERROR(SUMIFS('caseload data'!H:H,'caseload data'!$C:$C,'divisional &amp; regional caseload%'!$B$99,'caseload data'!$D:$D,"SPO")/SUMIF('caseload data'!$C:$C,'divisional &amp; regional caseload%'!$B$99,'caseload data'!H:H),"")</f>
        <v/>
      </c>
      <c r="G104" s="175" t="str">
        <f>IFERROR(SUMIFS('caseload data'!I:I,'caseload data'!$C:$C,'divisional &amp; regional caseload%'!$B$99,'caseload data'!$D:$D,"SPO")/SUMIF('caseload data'!$C:$C,'divisional &amp; regional caseload%'!$B$99,'caseload data'!I:I),"")</f>
        <v/>
      </c>
      <c r="H104" s="175" t="str">
        <f>IFERROR(SUMIFS('caseload data'!J:J,'caseload data'!$C:$C,'divisional &amp; regional caseload%'!$B$99,'caseload data'!$D:$D,"SPO")/SUMIF('caseload data'!$C:$C,'divisional &amp; regional caseload%'!$B$99,'caseload data'!J:J),"")</f>
        <v/>
      </c>
      <c r="I104" s="175" t="str">
        <f>IFERROR(SUMIFS('caseload data'!K:K,'caseload data'!$C:$C,'divisional &amp; regional caseload%'!$B$99,'caseload data'!$D:$D,"SPO")/SUMIF('caseload data'!$C:$C,'divisional &amp; regional caseload%'!$B$99,'caseload data'!K:K),"")</f>
        <v/>
      </c>
      <c r="J104" s="175" t="str">
        <f>IFERROR(SUMIFS('caseload data'!L:L,'caseload data'!$C:$C,'divisional &amp; regional caseload%'!$B$99,'caseload data'!$D:$D,"SPO")/SUMIF('caseload data'!$C:$C,'divisional &amp; regional caseload%'!$B$99,'caseload data'!L:L),"")</f>
        <v/>
      </c>
      <c r="K104" s="175" t="str">
        <f>IFERROR(SUMIFS('caseload data'!M:M,'caseload data'!$C:$C,'divisional &amp; regional caseload%'!$B$99,'caseload data'!$D:$D,"SPO")/SUMIF('caseload data'!$C:$C,'divisional &amp; regional caseload%'!$B$99,'caseload data'!M:M),"")</f>
        <v/>
      </c>
      <c r="L104" s="175" t="str">
        <f>IFERROR(SUMIFS('caseload data'!N:N,'caseload data'!$C:$C,'divisional &amp; regional caseload%'!$B$99,'caseload data'!$D:$D,"SPO")/SUMIF('caseload data'!$C:$C,'divisional &amp; regional caseload%'!$B$99,'caseload data'!N:N),"")</f>
        <v/>
      </c>
      <c r="M104" s="175" t="str">
        <f>IFERROR(SUMIFS('caseload data'!O:O,'caseload data'!$C:$C,'divisional &amp; regional caseload%'!$B$99,'caseload data'!$D:$D,"SPO")/SUMIF('caseload data'!$C:$C,'divisional &amp; regional caseload%'!$B$99,'caseload data'!O:O),"")</f>
        <v/>
      </c>
      <c r="N104" s="175" t="str">
        <f>IFERROR(SUMIFS('caseload data'!P:P,'caseload data'!$C:$C,'divisional &amp; regional caseload%'!$B$99,'caseload data'!$D:$D,"SPO")/SUMIF('caseload data'!$C:$C,'divisional &amp; regional caseload%'!$B$99,'caseload data'!P:P),"")</f>
        <v/>
      </c>
      <c r="O104" s="175" t="str">
        <f>IFERROR(SUMIFS('caseload data'!Q:Q,'caseload data'!$C:$C,'divisional &amp; regional caseload%'!$B$99,'caseload data'!$D:$D,"SPO")/SUMIF('caseload data'!$C:$C,'divisional &amp; regional caseload%'!$B$99,'caseload data'!Q:Q),"")</f>
        <v/>
      </c>
      <c r="P104" s="175" t="str">
        <f>IFERROR(SUMIFS('caseload data'!R:R,'caseload data'!$C:$C,'divisional &amp; regional caseload%'!$B$99,'caseload data'!$D:$D,"SPO")/SUMIF('caseload data'!$C:$C,'divisional &amp; regional caseload%'!$B$99,'caseload data'!R:R),"")</f>
        <v/>
      </c>
      <c r="Q104" s="175" t="str">
        <f>IFERROR(SUMIFS('caseload data'!S:S,'caseload data'!$C:$C,'divisional &amp; regional caseload%'!$B$99,'caseload data'!$D:$D,"SPO")/SUMIF('caseload data'!$C:$C,'divisional &amp; regional caseload%'!$B$99,'caseload data'!S:S),"")</f>
        <v/>
      </c>
      <c r="R104" s="175" t="str">
        <f>IFERROR(SUMIFS('caseload data'!T:T,'caseload data'!$C:$C,'divisional &amp; regional caseload%'!$B$99,'caseload data'!$D:$D,"SPO")/SUMIF('caseload data'!$C:$C,'divisional &amp; regional caseload%'!$B$99,'caseload data'!T:T),"")</f>
        <v/>
      </c>
      <c r="T104" s="102" t="s">
        <v>1174</v>
      </c>
      <c r="U104" s="175" t="str">
        <f>IFERROR(SUMIFS('caseload data'!E:E,'caseload data'!$C:$C,'divisional &amp; regional caseload%'!$T$99,'caseload data'!$D:$D,"SPO")/SUMIF('caseload data'!$C:$C,'divisional &amp; regional caseload%'!$T$99,'caseload data'!E:E),"")</f>
        <v/>
      </c>
      <c r="V104" s="175" t="str">
        <f>IFERROR(SUMIFS('caseload data'!F:F,'caseload data'!$C:$C,'divisional &amp; regional caseload%'!$T$99,'caseload data'!$D:$D,"SPO")/SUMIF('caseload data'!$C:$C,'divisional &amp; regional caseload%'!$T$99,'caseload data'!F:F),"")</f>
        <v/>
      </c>
      <c r="W104" s="175" t="str">
        <f>IFERROR(SUMIFS('caseload data'!G:G,'caseload data'!$C:$C,'divisional &amp; regional caseload%'!$T$99,'caseload data'!$D:$D,"SPO")/SUMIF('caseload data'!$C:$C,'divisional &amp; regional caseload%'!$T$99,'caseload data'!G:G),"")</f>
        <v/>
      </c>
      <c r="X104" s="175" t="str">
        <f>IFERROR(SUMIFS('caseload data'!H:H,'caseload data'!$C:$C,'divisional &amp; regional caseload%'!$T$99,'caseload data'!$D:$D,"SPO")/SUMIF('caseload data'!$C:$C,'divisional &amp; regional caseload%'!$T$99,'caseload data'!H:H),"")</f>
        <v/>
      </c>
      <c r="Y104" s="175" t="str">
        <f>IFERROR(SUMIFS('caseload data'!I:I,'caseload data'!$C:$C,'divisional &amp; regional caseload%'!$T$99,'caseload data'!$D:$D,"SPO")/SUMIF('caseload data'!$C:$C,'divisional &amp; regional caseload%'!$T$99,'caseload data'!I:I),"")</f>
        <v/>
      </c>
      <c r="Z104" s="175" t="str">
        <f>IFERROR(SUMIFS('caseload data'!J:J,'caseload data'!$C:$C,'divisional &amp; regional caseload%'!$T$99,'caseload data'!$D:$D,"SPO")/SUMIF('caseload data'!$C:$C,'divisional &amp; regional caseload%'!$T$99,'caseload data'!J:J),"")</f>
        <v/>
      </c>
      <c r="AA104" s="175" t="str">
        <f>IFERROR(SUMIFS('caseload data'!K:K,'caseload data'!$C:$C,'divisional &amp; regional caseload%'!$T$99,'caseload data'!$D:$D,"SPO")/SUMIF('caseload data'!$C:$C,'divisional &amp; regional caseload%'!$T$99,'caseload data'!K:K),"")</f>
        <v/>
      </c>
      <c r="AB104" s="175" t="str">
        <f>IFERROR(SUMIFS('caseload data'!L:L,'caseload data'!$C:$C,'divisional &amp; regional caseload%'!$T$99,'caseload data'!$D:$D,"SPO")/SUMIF('caseload data'!$C:$C,'divisional &amp; regional caseload%'!$T$99,'caseload data'!L:L),"")</f>
        <v/>
      </c>
      <c r="AC104" s="175" t="str">
        <f>IFERROR(SUMIFS('caseload data'!M:M,'caseload data'!$C:$C,'divisional &amp; regional caseload%'!$T$99,'caseload data'!$D:$D,"SPO")/SUMIF('caseload data'!$C:$C,'divisional &amp; regional caseload%'!$T$99,'caseload data'!M:M),"")</f>
        <v/>
      </c>
      <c r="AD104" s="175" t="str">
        <f>IFERROR(SUMIFS('caseload data'!N:N,'caseload data'!$C:$C,'divisional &amp; regional caseload%'!$T$99,'caseload data'!$D:$D,"SPO")/SUMIF('caseload data'!$C:$C,'divisional &amp; regional caseload%'!$T$99,'caseload data'!N:N),"")</f>
        <v/>
      </c>
      <c r="AE104" s="175" t="str">
        <f>IFERROR(SUMIFS('caseload data'!O:O,'caseload data'!$C:$C,'divisional &amp; regional caseload%'!$T$99,'caseload data'!$D:$D,"SPO")/SUMIF('caseload data'!$C:$C,'divisional &amp; regional caseload%'!$T$99,'caseload data'!O:O),"")</f>
        <v/>
      </c>
      <c r="AF104" s="175" t="str">
        <f>IFERROR(SUMIFS('caseload data'!P:P,'caseload data'!$C:$C,'divisional &amp; regional caseload%'!$T$99,'caseload data'!$D:$D,"SPO")/SUMIF('caseload data'!$C:$C,'divisional &amp; regional caseload%'!$T$99,'caseload data'!P:P),"")</f>
        <v/>
      </c>
      <c r="AG104" s="175" t="str">
        <f>IFERROR(SUMIFS('caseload data'!Q:Q,'caseload data'!$C:$C,'divisional &amp; regional caseload%'!$T$99,'caseload data'!$D:$D,"SPO")/SUMIF('caseload data'!$C:$C,'divisional &amp; regional caseload%'!$T$99,'caseload data'!Q:Q),"")</f>
        <v/>
      </c>
      <c r="AH104" s="175" t="str">
        <f>IFERROR(SUMIFS('caseload data'!R:R,'caseload data'!$C:$C,'divisional &amp; regional caseload%'!$T$99,'caseload data'!$D:$D,"SPO")/SUMIF('caseload data'!$C:$C,'divisional &amp; regional caseload%'!$T$99,'caseload data'!R:R),"")</f>
        <v/>
      </c>
      <c r="AI104" s="175" t="str">
        <f>IFERROR(SUMIFS('caseload data'!S:S,'caseload data'!$C:$C,'divisional &amp; regional caseload%'!$T$99,'caseload data'!$D:$D,"SPO")/SUMIF('caseload data'!$C:$C,'divisional &amp; regional caseload%'!$T$99,'caseload data'!S:S),"")</f>
        <v/>
      </c>
      <c r="AJ104" s="175" t="str">
        <f>IFERROR(SUMIFS('caseload data'!T:T,'caseload data'!$C:$C,'divisional &amp; regional caseload%'!$T$99,'caseload data'!$D:$D,"SPO")/SUMIF('caseload data'!$C:$C,'divisional &amp; regional caseload%'!$T$99,'caseload data'!T:T),"")</f>
        <v/>
      </c>
    </row>
  </sheetData>
  <mergeCells count="58">
    <mergeCell ref="C85:O85"/>
    <mergeCell ref="P85:R85"/>
    <mergeCell ref="C92:O92"/>
    <mergeCell ref="P92:R92"/>
    <mergeCell ref="C99:O99"/>
    <mergeCell ref="P99:R99"/>
    <mergeCell ref="U85:AG85"/>
    <mergeCell ref="AH85:AJ85"/>
    <mergeCell ref="U92:AG92"/>
    <mergeCell ref="AH92:AJ92"/>
    <mergeCell ref="U99:AG99"/>
    <mergeCell ref="AH99:AJ99"/>
    <mergeCell ref="C71:O71"/>
    <mergeCell ref="P71:R71"/>
    <mergeCell ref="U71:AG71"/>
    <mergeCell ref="AH71:AJ71"/>
    <mergeCell ref="C78:O78"/>
    <mergeCell ref="P78:R78"/>
    <mergeCell ref="U78:AG78"/>
    <mergeCell ref="AH78:AJ78"/>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election activeCell="C11" sqref="C11"/>
    </sheetView>
  </sheetViews>
  <sheetFormatPr baseColWidth="10" defaultColWidth="8.83203125" defaultRowHeight="14" x14ac:dyDescent="0.15"/>
  <cols>
    <col min="1" max="1" width="36.5" style="8"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483" t="s">
        <v>1276</v>
      </c>
      <c r="C1" s="421"/>
      <c r="D1" s="421"/>
      <c r="E1" s="421"/>
      <c r="F1" s="421"/>
      <c r="G1" s="421"/>
      <c r="H1" s="421"/>
      <c r="I1" s="421"/>
      <c r="J1" s="421"/>
      <c r="K1" s="421"/>
      <c r="L1" s="269"/>
      <c r="M1" s="269"/>
      <c r="N1" s="269"/>
      <c r="O1" s="269"/>
      <c r="P1" s="269"/>
      <c r="Q1" s="269"/>
      <c r="R1" s="269"/>
      <c r="S1" s="269"/>
      <c r="T1" s="269"/>
      <c r="U1" s="269"/>
      <c r="V1" s="269"/>
      <c r="W1" s="269"/>
      <c r="X1" s="269"/>
      <c r="Y1" s="269"/>
      <c r="Z1" s="269"/>
    </row>
    <row r="2" spans="1:26" ht="42" customHeight="1" x14ac:dyDescent="0.15">
      <c r="A2"/>
      <c r="B2" s="484"/>
      <c r="C2" s="374"/>
      <c r="D2" s="374"/>
      <c r="E2" s="374"/>
      <c r="F2" s="374"/>
      <c r="G2" s="374"/>
      <c r="H2" s="374"/>
      <c r="I2" s="374"/>
      <c r="J2" s="374"/>
      <c r="K2" s="374"/>
      <c r="L2" s="270"/>
      <c r="M2" s="270"/>
      <c r="N2" s="270"/>
      <c r="O2" s="270"/>
      <c r="P2" s="270"/>
      <c r="Q2" s="270"/>
      <c r="R2" s="270"/>
      <c r="S2" s="270"/>
      <c r="T2" s="270"/>
      <c r="U2" s="270"/>
      <c r="V2" s="270"/>
      <c r="W2" s="270"/>
      <c r="X2" s="270"/>
      <c r="Y2" s="270"/>
      <c r="Z2" s="270"/>
    </row>
    <row r="3" spans="1:26" ht="58.5" customHeight="1" x14ac:dyDescent="0.15">
      <c r="A3"/>
      <c r="B3" s="197" t="s">
        <v>1103</v>
      </c>
    </row>
    <row r="4" spans="1:26" ht="33" customHeight="1" x14ac:dyDescent="0.2">
      <c r="A4" s="10"/>
      <c r="B4" s="251" t="s">
        <v>27</v>
      </c>
      <c r="C4" s="2"/>
      <c r="D4" s="2"/>
      <c r="E4" s="2"/>
      <c r="F4" s="2"/>
      <c r="G4" s="2"/>
      <c r="H4" s="2"/>
      <c r="I4" s="2"/>
      <c r="J4" s="2"/>
      <c r="K4" s="2"/>
      <c r="L4" s="2"/>
      <c r="M4" s="2"/>
      <c r="N4" s="2"/>
      <c r="O4" s="2"/>
      <c r="P4" s="2"/>
      <c r="Q4" s="2"/>
      <c r="R4" s="2"/>
      <c r="S4" s="2"/>
      <c r="T4" s="2"/>
      <c r="U4" s="2"/>
      <c r="V4" s="2"/>
      <c r="W4" s="1"/>
    </row>
    <row r="5" spans="1:26" ht="16" x14ac:dyDescent="0.2">
      <c r="A5" s="10"/>
      <c r="B5" s="1"/>
      <c r="C5" s="2"/>
      <c r="D5" s="2"/>
      <c r="E5" s="2"/>
      <c r="F5" s="2"/>
      <c r="G5" s="2"/>
      <c r="H5" s="2"/>
      <c r="I5" s="2"/>
      <c r="J5" s="2"/>
      <c r="K5" s="2"/>
      <c r="L5" s="2"/>
      <c r="M5" s="2"/>
      <c r="N5" s="2"/>
      <c r="O5" s="2"/>
      <c r="P5" s="2"/>
      <c r="Q5" s="2"/>
      <c r="R5" s="2"/>
      <c r="S5" s="2"/>
      <c r="T5" s="2"/>
      <c r="U5" s="2"/>
      <c r="V5" s="2"/>
      <c r="W5" s="1"/>
    </row>
    <row r="6" spans="1:26" ht="105" customHeight="1" x14ac:dyDescent="0.15">
      <c r="A6" s="14"/>
      <c r="B6" s="227" t="s">
        <v>1277</v>
      </c>
      <c r="C6" s="227" t="s">
        <v>1278</v>
      </c>
      <c r="D6" s="227" t="s">
        <v>1279</v>
      </c>
      <c r="E6" s="227" t="s">
        <v>1280</v>
      </c>
      <c r="F6" s="161"/>
      <c r="G6" s="227" t="s">
        <v>1109</v>
      </c>
      <c r="H6" s="227" t="s">
        <v>1110</v>
      </c>
      <c r="I6" s="161"/>
      <c r="J6" s="227" t="s">
        <v>1111</v>
      </c>
      <c r="K6" s="227" t="s">
        <v>1112</v>
      </c>
    </row>
    <row r="7" spans="1:26" ht="16" x14ac:dyDescent="0.15">
      <c r="A7" s="11"/>
      <c r="B7" s="162" t="s">
        <v>1190</v>
      </c>
      <c r="C7" s="163" t="e">
        <f>SUM((SUMIF('capacity data'!E:E,"PO",'capacity data'!G:G))-SUMIF('capacity data'!E:E,"PO",'capacity data'!H:H))/SUMIF('capacity data'!E:E,"PO",'capacity data'!G:G)</f>
        <v>#DIV/0!</v>
      </c>
      <c r="D7" s="164" t="e">
        <f>SUM((SUMIF('capacity data'!E:E,"PSO",'capacity data'!G:G))-SUMIF('capacity data'!E:E,"PSO",'capacity data'!H:H))/SUMIF('capacity data'!E:E,"PSO",'capacity data'!G:G)</f>
        <v>#DIV/0!</v>
      </c>
      <c r="E7" s="164" t="e">
        <f>SUM((SUMIF('capacity data'!E:E,"TPO",'capacity data'!G:G))-SUMIF('capacity data'!E:E,"TPO",'capacity data'!H:H))/SUMIF('capacity data'!E:E,"TPO",'capacity data'!G:G)</f>
        <v>#DIV/0!</v>
      </c>
      <c r="F7" s="161"/>
      <c r="G7" s="211" t="e">
        <f>SUMIF('capacity data'!$E:$E,"PSO",'capacity data'!$L:$L)/SUM(SUMIF('capacity data'!$E:$E,"PSO",'capacity data'!$G:$G)-SUMIF('capacity data'!$E:$E,"PSO",'capacity data'!$H:$H))</f>
        <v>#DIV/0!</v>
      </c>
      <c r="H7" s="211" t="e">
        <f>SUMIF('capacity data'!$E:$E,"PSO",'capacity data'!$L:$L)/SUMIF('capacity data'!$E:$E,"PSO",'capacity data'!$G:$G)</f>
        <v>#DIV/0!</v>
      </c>
      <c r="I7" s="161"/>
      <c r="J7" s="212" t="e">
        <f>SUMIF('capacity data'!$E:$E,"TPO",'capacity data'!$L:$L)/SUM(SUMIF('capacity data'!$E:$E,"TPO",'capacity data'!$G:$G)-SUMIF('capacity data'!$E:$E,"TPO",'capacity data'!$H:$H))</f>
        <v>#DIV/0!</v>
      </c>
      <c r="K7" s="212" t="e">
        <f>SUMIF('capacity data'!$E:$E,"TPO",'capacity data'!$L:$L)/SUMIF('capacity data'!$E:$E,"TPO",'capacity data'!$G:$G)</f>
        <v>#DIV/0!</v>
      </c>
    </row>
    <row r="8" spans="1:26" ht="16" x14ac:dyDescent="0.2">
      <c r="A8" s="10"/>
      <c r="B8" s="66" t="str">
        <f>HLOOKUP($B$4,Region_Table,2,0)</f>
        <v>Barking and Dagenham and Havering</v>
      </c>
      <c r="C8" s="71"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71"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71"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61"/>
      <c r="G8" s="219" t="str">
        <f>IFERROR(SUMIFS('capacity data'!$L:$L,'capacity data'!$B:$B,B8,'capacity data'!$E:$E,"PSO")/SUM((SUMIFS('capacity data'!$G:$G,'capacity data'!$E:$E,"PSO",'capacity data'!$B:$B,B8))-SUMIFS('capacity data'!$H:$H,'capacity data'!$E:$E,"PSO",'capacity data'!$B:$B,B8)),"")</f>
        <v/>
      </c>
      <c r="H8" s="219" t="str">
        <f>IFERROR(SUMIFS('capacity data'!$L:$L,'capacity data'!$B:$B,B8,'capacity data'!$E:$E,"PSO")/SUMIFS('capacity data'!$G:$G,'capacity data'!$E:$E,"PSO",'capacity data'!$B:$B,B8),"")</f>
        <v/>
      </c>
      <c r="I8" s="161"/>
      <c r="J8" s="70" t="str">
        <f>IFERROR(SUMIFS('capacity data'!$L:$L,'capacity data'!$B:$B,B8,'capacity data'!$E:$E,"TPO")/SUM((SUMIFS('capacity data'!$G:$G,'capacity data'!$E:$E,"TPO",'capacity data'!$B:$B,B8))-SUMIFS('capacity data'!$H:$H,'capacity data'!$E:$E,"TPO",'capacity data'!$B:$B,B8)),"")</f>
        <v/>
      </c>
      <c r="K8" s="70" t="str">
        <f>IFERROR(SUMIFS('capacity data'!$L:$L,'capacity data'!$B:$B,B8,'capacity data'!$E:$E,"TPO")/SUMIFS('capacity data'!$G:$G,'capacity data'!$E:$E,"TPO",'capacity data'!$B:$B,B8),"")</f>
        <v/>
      </c>
    </row>
    <row r="9" spans="1:26" ht="16" x14ac:dyDescent="0.2">
      <c r="A9" s="10"/>
      <c r="B9" s="66" t="str">
        <f>HLOOKUP($B$4,Region_Table,3,0)</f>
        <v>Brent - N07</v>
      </c>
      <c r="C9" s="71"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71"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71"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61"/>
      <c r="G9" s="219" t="str">
        <f>IFERROR(SUMIFS('capacity data'!$L:$L,'capacity data'!$B:$B,B9,'capacity data'!$E:$E,"PSO")/SUM((SUMIFS('capacity data'!$G:$G,'capacity data'!$E:$E,"PSO",'capacity data'!$B:$B,B9))-SUMIFS('capacity data'!$H:$H,'capacity data'!$E:$E,"PSO",'capacity data'!$B:$B,B9)),"")</f>
        <v/>
      </c>
      <c r="H9" s="219" t="str">
        <f>IFERROR(SUMIFS('capacity data'!$L:$L,'capacity data'!$B:$B,B9,'capacity data'!$E:$E,"PSO")/SUMIFS('capacity data'!$G:$G,'capacity data'!$E:$E,"PSO",'capacity data'!$B:$B,B9),"")</f>
        <v/>
      </c>
      <c r="I9" s="161"/>
      <c r="J9" s="70" t="str">
        <f>IFERROR(SUMIFS('capacity data'!$L:$L,'capacity data'!$B:$B,B9,'capacity data'!$E:$E,"TPO")/SUM((SUMIFS('capacity data'!$G:$G,'capacity data'!$E:$E,"TPO",'capacity data'!$B:$B,B9))-SUMIFS('capacity data'!$H:$H,'capacity data'!$E:$E,"TPO",'capacity data'!$B:$B,B9)),"")</f>
        <v/>
      </c>
      <c r="K9" s="70" t="str">
        <f>IFERROR(SUMIFS('capacity data'!$L:$L,'capacity data'!$B:$B,B9,'capacity data'!$E:$E,"TPO")/SUMIFS('capacity data'!$G:$G,'capacity data'!$E:$E,"TPO",'capacity data'!$B:$B,B9),"")</f>
        <v/>
      </c>
    </row>
    <row r="10" spans="1:26" ht="16" x14ac:dyDescent="0.2">
      <c r="A10" s="10"/>
      <c r="B10" s="66" t="str">
        <f>HLOOKUP($B$4,Region_Table,4,0)</f>
        <v>Camden, Islington</v>
      </c>
      <c r="C10" s="71"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71"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71"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36"/>
      <c r="G10" s="219" t="str">
        <f>IFERROR(SUMIFS('capacity data'!$L:$L,'capacity data'!$B:$B,B10,'capacity data'!$E:$E,"PSO")/SUM((SUMIFS('capacity data'!$G:$G,'capacity data'!$E:$E,"PSO",'capacity data'!$B:$B,B10))-SUMIFS('capacity data'!$H:$H,'capacity data'!$E:$E,"PSO",'capacity data'!$B:$B,B10)),"")</f>
        <v/>
      </c>
      <c r="H10" s="219" t="str">
        <f>IFERROR(SUMIFS('capacity data'!$L:$L,'capacity data'!$B:$B,B10,'capacity data'!$E:$E,"PSO")/SUMIFS('capacity data'!$G:$G,'capacity data'!$E:$E,"PSO",'capacity data'!$B:$B,B10),"")</f>
        <v/>
      </c>
      <c r="I10" s="161"/>
      <c r="J10" s="70" t="str">
        <f>IFERROR(SUMIFS('capacity data'!$L:$L,'capacity data'!$B:$B,B10,'capacity data'!$E:$E,"TPO")/SUM((SUMIFS('capacity data'!$G:$G,'capacity data'!$E:$E,"TPO",'capacity data'!$B:$B,B10))-SUMIFS('capacity data'!$H:$H,'capacity data'!$E:$E,"TPO",'capacity data'!$B:$B,B10)),"")</f>
        <v/>
      </c>
      <c r="K10" s="70" t="str">
        <f>IFERROR(SUMIFS('capacity data'!$L:$L,'capacity data'!$B:$B,B10,'capacity data'!$E:$E,"TPO")/SUMIFS('capacity data'!$G:$G,'capacity data'!$E:$E,"TPO",'capacity data'!$B:$B,B10),"")</f>
        <v/>
      </c>
    </row>
    <row r="11" spans="1:26" ht="16" x14ac:dyDescent="0.2">
      <c r="A11" s="10"/>
      <c r="B11" s="66" t="str">
        <f>HLOOKUP($B$4,Region_Table,5,0)</f>
        <v>Community Integration</v>
      </c>
      <c r="C11" s="71"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71"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71"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61"/>
      <c r="G11" s="219" t="str">
        <f>IFERROR(SUMIFS('capacity data'!$L:$L,'capacity data'!$B:$B,B11,'capacity data'!$E:$E,"PSO")/SUM((SUMIFS('capacity data'!$G:$G,'capacity data'!$E:$E,"PSO",'capacity data'!$B:$B,B11))-SUMIFS('capacity data'!$H:$H,'capacity data'!$E:$E,"PSO",'capacity data'!$B:$B,B11)),"")</f>
        <v/>
      </c>
      <c r="H11" s="219" t="str">
        <f>IFERROR(SUMIFS('capacity data'!$L:$L,'capacity data'!$B:$B,B11,'capacity data'!$E:$E,"PSO")/SUMIFS('capacity data'!$G:$G,'capacity data'!$E:$E,"PSO",'capacity data'!$B:$B,B11),"")</f>
        <v/>
      </c>
      <c r="I11" s="161"/>
      <c r="J11" s="70" t="str">
        <f>IFERROR(SUMIFS('capacity data'!$L:$L,'capacity data'!$B:$B,B11,'capacity data'!$E:$E,"TPO")/SUM((SUMIFS('capacity data'!$G:$G,'capacity data'!$E:$E,"TPO",'capacity data'!$B:$B,B11))-SUMIFS('capacity data'!$H:$H,'capacity data'!$E:$E,"TPO",'capacity data'!$B:$B,B11)),"")</f>
        <v/>
      </c>
      <c r="K11" s="70" t="str">
        <f>IFERROR(SUMIFS('capacity data'!$L:$L,'capacity data'!$B:$B,B11,'capacity data'!$E:$E,"TPO")/SUMIFS('capacity data'!$G:$G,'capacity data'!$E:$E,"TPO",'capacity data'!$B:$B,B11),"")</f>
        <v/>
      </c>
    </row>
    <row r="12" spans="1:26" ht="16" x14ac:dyDescent="0.2">
      <c r="A12" s="10"/>
      <c r="B12" s="66" t="str">
        <f>HLOOKUP($B$4,Region_Table,6,0)</f>
        <v>Corporate Services - N07</v>
      </c>
      <c r="C12" s="71"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71"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71"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61"/>
      <c r="G12" s="219" t="str">
        <f>IFERROR(SUMIFS('capacity data'!$L:$L,'capacity data'!$B:$B,B12,'capacity data'!$E:$E,"PSO")/SUM((SUMIFS('capacity data'!$G:$G,'capacity data'!$E:$E,"PSO",'capacity data'!$B:$B,B12))-SUMIFS('capacity data'!$H:$H,'capacity data'!$E:$E,"PSO",'capacity data'!$B:$B,B12)),"")</f>
        <v/>
      </c>
      <c r="H12" s="219" t="str">
        <f>IFERROR(SUMIFS('capacity data'!$L:$L,'capacity data'!$B:$B,B12,'capacity data'!$E:$E,"PSO")/SUMIFS('capacity data'!$G:$G,'capacity data'!$E:$E,"PSO",'capacity data'!$B:$B,B12),"")</f>
        <v/>
      </c>
      <c r="I12" s="161"/>
      <c r="J12" s="70" t="str">
        <f>IFERROR(SUMIFS('capacity data'!$L:$L,'capacity data'!$B:$B,B12,'capacity data'!$E:$E,"TPO")/SUM((SUMIFS('capacity data'!$G:$G,'capacity data'!$E:$E,"TPO",'capacity data'!$B:$B,B12))-SUMIFS('capacity data'!$H:$H,'capacity data'!$E:$E,"TPO",'capacity data'!$B:$B,B12)),"")</f>
        <v/>
      </c>
      <c r="K12" s="70" t="str">
        <f>IFERROR(SUMIFS('capacity data'!$L:$L,'capacity data'!$B:$B,B12,'capacity data'!$E:$E,"TPO")/SUMIFS('capacity data'!$G:$G,'capacity data'!$E:$E,"TPO",'capacity data'!$B:$B,B12),"")</f>
        <v/>
      </c>
    </row>
    <row r="13" spans="1:26" ht="16" x14ac:dyDescent="0.2">
      <c r="A13" s="10"/>
      <c r="B13" s="66" t="str">
        <f>HLOOKUP($B$4,Region_Table,7,0)</f>
        <v>Croydon - N07</v>
      </c>
      <c r="C13" s="71"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71"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71"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61"/>
      <c r="G13" s="219" t="str">
        <f>IFERROR(SUMIFS('capacity data'!$L:$L,'capacity data'!$B:$B,B13,'capacity data'!$E:$E,"PSO")/SUM((SUMIFS('capacity data'!$G:$G,'capacity data'!$E:$E,"PSO",'capacity data'!$B:$B,B13))-SUMIFS('capacity data'!$H:$H,'capacity data'!$E:$E,"PSO",'capacity data'!$B:$B,B13)),"")</f>
        <v/>
      </c>
      <c r="H13" s="219" t="str">
        <f>IFERROR(SUMIFS('capacity data'!$L:$L,'capacity data'!$B:$B,B13,'capacity data'!$E:$E,"PSO")/SUMIFS('capacity data'!$G:$G,'capacity data'!$E:$E,"PSO",'capacity data'!$B:$B,B13),"")</f>
        <v/>
      </c>
      <c r="I13" s="161"/>
      <c r="J13" s="70" t="str">
        <f>IFERROR(SUMIFS('capacity data'!$L:$L,'capacity data'!$B:$B,B13,'capacity data'!$E:$E,"TPO")/SUM((SUMIFS('capacity data'!$G:$G,'capacity data'!$E:$E,"TPO",'capacity data'!$B:$B,B13))-SUMIFS('capacity data'!$H:$H,'capacity data'!$E:$E,"TPO",'capacity data'!$B:$B,B13)),"")</f>
        <v/>
      </c>
      <c r="K13" s="70" t="str">
        <f>IFERROR(SUMIFS('capacity data'!$L:$L,'capacity data'!$B:$B,B13,'capacity data'!$E:$E,"TPO")/SUMIFS('capacity data'!$G:$G,'capacity data'!$E:$E,"TPO",'capacity data'!$B:$B,B13),"")</f>
        <v/>
      </c>
    </row>
    <row r="14" spans="1:26" ht="16" x14ac:dyDescent="0.2">
      <c r="A14" s="10"/>
      <c r="B14" s="66" t="str">
        <f>HLOOKUP($B$4,Region_Table,8,0)</f>
        <v>Ealing and Hillingdon</v>
      </c>
      <c r="C14" s="71"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71"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71"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61"/>
      <c r="G14" s="219" t="str">
        <f>IFERROR(SUMIFS('capacity data'!$L:$L,'capacity data'!$B:$B,B14,'capacity data'!$E:$E,"PSO")/SUM((SUMIFS('capacity data'!$G:$G,'capacity data'!$E:$E,"PSO",'capacity data'!$B:$B,B14))-SUMIFS('capacity data'!$H:$H,'capacity data'!$E:$E,"PSO",'capacity data'!$B:$B,B14)),"")</f>
        <v/>
      </c>
      <c r="H14" s="219" t="str">
        <f>IFERROR(SUMIFS('capacity data'!$L:$L,'capacity data'!$B:$B,B14,'capacity data'!$E:$E,"PSO")/SUMIFS('capacity data'!$G:$G,'capacity data'!$E:$E,"PSO",'capacity data'!$B:$B,B14),"")</f>
        <v/>
      </c>
      <c r="I14" s="161"/>
      <c r="J14" s="70" t="str">
        <f>IFERROR(SUMIFS('capacity data'!$L:$L,'capacity data'!$B:$B,B14,'capacity data'!$E:$E,"TPO")/SUM((SUMIFS('capacity data'!$G:$G,'capacity data'!$E:$E,"TPO",'capacity data'!$B:$B,B14))-SUMIFS('capacity data'!$H:$H,'capacity data'!$E:$E,"TPO",'capacity data'!$B:$B,B14)),"")</f>
        <v/>
      </c>
      <c r="K14" s="70" t="str">
        <f>IFERROR(SUMIFS('capacity data'!$L:$L,'capacity data'!$B:$B,B14,'capacity data'!$E:$E,"TPO")/SUMIFS('capacity data'!$G:$G,'capacity data'!$E:$E,"TPO",'capacity data'!$B:$B,B14),"")</f>
        <v/>
      </c>
    </row>
    <row r="15" spans="1:26" ht="16" x14ac:dyDescent="0.2">
      <c r="A15" s="10"/>
      <c r="B15" s="66" t="str">
        <f>HLOOKUP($B$4,Region_Table,9,0)</f>
        <v>Enfield and Haringey</v>
      </c>
      <c r="C15" s="71"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71"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71"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61"/>
      <c r="G15" s="219" t="str">
        <f>IFERROR(SUMIFS('capacity data'!$L:$L,'capacity data'!$B:$B,B15,'capacity data'!$E:$E,"PSO")/SUM((SUMIFS('capacity data'!$G:$G,'capacity data'!$E:$E,"PSO",'capacity data'!$B:$B,B15))-SUMIFS('capacity data'!$H:$H,'capacity data'!$E:$E,"PSO",'capacity data'!$B:$B,B15)),"")</f>
        <v/>
      </c>
      <c r="H15" s="219" t="str">
        <f>IFERROR(SUMIFS('capacity data'!$L:$L,'capacity data'!$B:$B,B15,'capacity data'!$E:$E,"PSO")/SUMIFS('capacity data'!$G:$G,'capacity data'!$E:$E,"PSO",'capacity data'!$B:$B,B15),"")</f>
        <v/>
      </c>
      <c r="I15" s="161"/>
      <c r="J15" s="70" t="str">
        <f>IFERROR(SUMIFS('capacity data'!$L:$L,'capacity data'!$B:$B,B15,'capacity data'!$E:$E,"TPO")/SUM((SUMIFS('capacity data'!$G:$G,'capacity data'!$E:$E,"TPO",'capacity data'!$B:$B,B15))-SUMIFS('capacity data'!$H:$H,'capacity data'!$E:$E,"TPO",'capacity data'!$B:$B,B15)),"")</f>
        <v/>
      </c>
      <c r="K15" s="70" t="str">
        <f>IFERROR(SUMIFS('capacity data'!$L:$L,'capacity data'!$B:$B,B15,'capacity data'!$E:$E,"TPO")/SUMIFS('capacity data'!$G:$G,'capacity data'!$E:$E,"TPO",'capacity data'!$B:$B,B15),"")</f>
        <v/>
      </c>
    </row>
    <row r="16" spans="1:26" ht="16" x14ac:dyDescent="0.2">
      <c r="A16" s="10"/>
      <c r="B16" s="66" t="str">
        <f>HLOOKUP($B$4,Region_Table,10,0)</f>
        <v>Greenwich and Bexley</v>
      </c>
      <c r="C16" s="71"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71"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71"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61"/>
      <c r="G16" s="219" t="str">
        <f>IFERROR(SUMIFS('capacity data'!$L:$L,'capacity data'!$B:$B,B16,'capacity data'!$E:$E,"PSO")/SUM((SUMIFS('capacity data'!$G:$G,'capacity data'!$E:$E,"PSO",'capacity data'!$B:$B,B16))-SUMIFS('capacity data'!$H:$H,'capacity data'!$E:$E,"PSO",'capacity data'!$B:$B,B16)),"")</f>
        <v/>
      </c>
      <c r="H16" s="219" t="str">
        <f>IFERROR(SUMIFS('capacity data'!$L:$L,'capacity data'!$B:$B,B16,'capacity data'!$E:$E,"PSO")/SUMIFS('capacity data'!$G:$G,'capacity data'!$E:$E,"PSO",'capacity data'!$B:$B,B16),"")</f>
        <v/>
      </c>
      <c r="I16" s="161"/>
      <c r="J16" s="70" t="str">
        <f>IFERROR(SUMIFS('capacity data'!$L:$L,'capacity data'!$B:$B,B16,'capacity data'!$E:$E,"TPO")/SUM((SUMIFS('capacity data'!$G:$G,'capacity data'!$E:$E,"TPO",'capacity data'!$B:$B,B16))-SUMIFS('capacity data'!$H:$H,'capacity data'!$E:$E,"TPO",'capacity data'!$B:$B,B16)),"")</f>
        <v/>
      </c>
      <c r="K16" s="70" t="str">
        <f>IFERROR(SUMIFS('capacity data'!$L:$L,'capacity data'!$B:$B,B16,'capacity data'!$E:$E,"TPO")/SUMIFS('capacity data'!$G:$G,'capacity data'!$E:$E,"TPO",'capacity data'!$B:$B,B16),"")</f>
        <v/>
      </c>
    </row>
    <row r="17" spans="1:11" ht="16" x14ac:dyDescent="0.2">
      <c r="A17" s="12" t="s">
        <v>27</v>
      </c>
      <c r="B17" s="66" t="str">
        <f>HLOOKUP($B$4,Region_Table,11,0)</f>
        <v>Hackney and City</v>
      </c>
      <c r="C17" s="71"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71"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71"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61"/>
      <c r="G17" s="219" t="str">
        <f>IFERROR(SUMIFS('capacity data'!$L:$L,'capacity data'!$B:$B,B17,'capacity data'!$E:$E,"PSO")/SUM((SUMIFS('capacity data'!$G:$G,'capacity data'!$E:$E,"PSO",'capacity data'!$B:$B,B17))-SUMIFS('capacity data'!$H:$H,'capacity data'!$E:$E,"PSO",'capacity data'!$B:$B,B17)),"")</f>
        <v/>
      </c>
      <c r="H17" s="219" t="str">
        <f>IFERROR(SUMIFS('capacity data'!$L:$L,'capacity data'!$B:$B,B17,'capacity data'!$E:$E,"PSO")/SUMIFS('capacity data'!$G:$G,'capacity data'!$E:$E,"PSO",'capacity data'!$B:$B,B17),"")</f>
        <v/>
      </c>
      <c r="I17" s="161"/>
      <c r="J17" s="70" t="str">
        <f>IFERROR(SUMIFS('capacity data'!$L:$L,'capacity data'!$B:$B,B17,'capacity data'!$E:$E,"TPO")/SUM((SUMIFS('capacity data'!$G:$G,'capacity data'!$E:$E,"TPO",'capacity data'!$B:$B,B17))-SUMIFS('capacity data'!$H:$H,'capacity data'!$E:$E,"TPO",'capacity data'!$B:$B,B17)),"")</f>
        <v/>
      </c>
      <c r="K17" s="70" t="str">
        <f>IFERROR(SUMIFS('capacity data'!$L:$L,'capacity data'!$B:$B,B17,'capacity data'!$E:$E,"TPO")/SUMIFS('capacity data'!$G:$G,'capacity data'!$E:$E,"TPO",'capacity data'!$B:$B,B17),"")</f>
        <v/>
      </c>
    </row>
    <row r="18" spans="1:11" ht="16" x14ac:dyDescent="0.2">
      <c r="A18" s="12" t="s">
        <v>1281</v>
      </c>
      <c r="B18" s="66" t="str">
        <f>HLOOKUP($B$4,Region_Table,12,0)</f>
        <v>Hammersmith, Fulham, Kensington, Chelsea and Westminster</v>
      </c>
      <c r="C18" s="71"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71"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71"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61"/>
      <c r="G18" s="219" t="str">
        <f>IFERROR(SUMIFS('capacity data'!$L:$L,'capacity data'!$B:$B,B18,'capacity data'!$E:$E,"PSO")/SUM((SUMIFS('capacity data'!$G:$G,'capacity data'!$E:$E,"PSO",'capacity data'!$B:$B,B18))-SUMIFS('capacity data'!$H:$H,'capacity data'!$E:$E,"PSO",'capacity data'!$B:$B,B18)),"")</f>
        <v/>
      </c>
      <c r="H18" s="219" t="str">
        <f>IFERROR(SUMIFS('capacity data'!$L:$L,'capacity data'!$B:$B,B18,'capacity data'!$E:$E,"PSO")/SUMIFS('capacity data'!$G:$G,'capacity data'!$E:$E,"PSO",'capacity data'!$B:$B,B18),"")</f>
        <v/>
      </c>
      <c r="I18" s="161"/>
      <c r="J18" s="70" t="str">
        <f>IFERROR(SUMIFS('capacity data'!$L:$L,'capacity data'!$B:$B,B18,'capacity data'!$E:$E,"TPO")/SUM((SUMIFS('capacity data'!$G:$G,'capacity data'!$E:$E,"TPO",'capacity data'!$B:$B,B18))-SUMIFS('capacity data'!$H:$H,'capacity data'!$E:$E,"TPO",'capacity data'!$B:$B,B18)),"")</f>
        <v/>
      </c>
      <c r="K18" s="70" t="str">
        <f>IFERROR(SUMIFS('capacity data'!$L:$L,'capacity data'!$B:$B,B18,'capacity data'!$E:$E,"TPO")/SUMIFS('capacity data'!$G:$G,'capacity data'!$E:$E,"TPO",'capacity data'!$B:$B,B18),"")</f>
        <v/>
      </c>
    </row>
    <row r="19" spans="1:11" ht="16" x14ac:dyDescent="0.2">
      <c r="A19" s="12" t="s">
        <v>1282</v>
      </c>
      <c r="B19" s="66" t="str">
        <f>HLOOKUP($B$4,Region_Table,13,0)</f>
        <v>Harrow and Barnet</v>
      </c>
      <c r="C19" s="71"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71"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71"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61"/>
      <c r="G19" s="219" t="str">
        <f>IFERROR(SUMIFS('capacity data'!$L:$L,'capacity data'!$B:$B,B19,'capacity data'!$E:$E,"PSO")/SUM((SUMIFS('capacity data'!$G:$G,'capacity data'!$E:$E,"PSO",'capacity data'!$B:$B,B19))-SUMIFS('capacity data'!$H:$H,'capacity data'!$E:$E,"PSO",'capacity data'!$B:$B,B19)),"")</f>
        <v/>
      </c>
      <c r="H19" s="219" t="str">
        <f>IFERROR(SUMIFS('capacity data'!$L:$L,'capacity data'!$B:$B,B19,'capacity data'!$E:$E,"PSO")/SUMIFS('capacity data'!$G:$G,'capacity data'!$E:$E,"PSO",'capacity data'!$B:$B,B19),"")</f>
        <v/>
      </c>
      <c r="I19" s="161"/>
      <c r="J19" s="70" t="str">
        <f>IFERROR(SUMIFS('capacity data'!$L:$L,'capacity data'!$B:$B,B19,'capacity data'!$E:$E,"TPO")/SUM((SUMIFS('capacity data'!$G:$G,'capacity data'!$E:$E,"TPO",'capacity data'!$B:$B,B19))-SUMIFS('capacity data'!$H:$H,'capacity data'!$E:$E,"TPO",'capacity data'!$B:$B,B19)),"")</f>
        <v/>
      </c>
      <c r="K19" s="70" t="str">
        <f>IFERROR(SUMIFS('capacity data'!$L:$L,'capacity data'!$B:$B,B19,'capacity data'!$E:$E,"TPO")/SUMIFS('capacity data'!$G:$G,'capacity data'!$E:$E,"TPO",'capacity data'!$B:$B,B19),"")</f>
        <v/>
      </c>
    </row>
    <row r="20" spans="1:11" ht="16" x14ac:dyDescent="0.2">
      <c r="A20" s="12" t="s">
        <v>1283</v>
      </c>
      <c r="B20" s="66" t="str">
        <f>HLOOKUP($B$4,Region_Table,14,0)</f>
        <v>Inactive Level 2(N07)</v>
      </c>
      <c r="C20" s="71"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71"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71"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61"/>
      <c r="G20" s="219" t="str">
        <f>IFERROR(SUMIFS('capacity data'!$L:$L,'capacity data'!$B:$B,B20,'capacity data'!$E:$E,"PSO")/SUM((SUMIFS('capacity data'!$G:$G,'capacity data'!$E:$E,"PSO",'capacity data'!$B:$B,B20))-SUMIFS('capacity data'!$H:$H,'capacity data'!$E:$E,"PSO",'capacity data'!$B:$B,B20)),"")</f>
        <v/>
      </c>
      <c r="H20" s="219" t="str">
        <f>IFERROR(SUMIFS('capacity data'!$L:$L,'capacity data'!$B:$B,B20,'capacity data'!$E:$E,"PSO")/SUMIFS('capacity data'!$G:$G,'capacity data'!$E:$E,"PSO",'capacity data'!$B:$B,B20),"")</f>
        <v/>
      </c>
      <c r="I20" s="161"/>
      <c r="J20" s="70" t="str">
        <f>IFERROR(SUMIFS('capacity data'!$L:$L,'capacity data'!$B:$B,B20,'capacity data'!$E:$E,"TPO")/SUM((SUMIFS('capacity data'!$G:$G,'capacity data'!$E:$E,"TPO",'capacity data'!$B:$B,B20))-SUMIFS('capacity data'!$H:$H,'capacity data'!$E:$E,"TPO",'capacity data'!$B:$B,B20)),"")</f>
        <v/>
      </c>
      <c r="K20" s="70" t="str">
        <f>IFERROR(SUMIFS('capacity data'!$L:$L,'capacity data'!$B:$B,B20,'capacity data'!$E:$E,"TPO")/SUMIFS('capacity data'!$G:$G,'capacity data'!$E:$E,"TPO",'capacity data'!$B:$B,B20),"")</f>
        <v/>
      </c>
    </row>
    <row r="21" spans="1:11" ht="16" x14ac:dyDescent="0.2">
      <c r="A21" s="12" t="s">
        <v>1284</v>
      </c>
      <c r="B21" s="66" t="str">
        <f>HLOOKUP($B$4,Region_Table,15,0)</f>
        <v>Kingston, Richmond and Hounslow</v>
      </c>
      <c r="C21" s="71"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71"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71"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61"/>
      <c r="G21" s="219" t="str">
        <f>IFERROR(SUMIFS('capacity data'!$L:$L,'capacity data'!$B:$B,B21,'capacity data'!$E:$E,"PSO")/SUM((SUMIFS('capacity data'!$G:$G,'capacity data'!$E:$E,"PSO",'capacity data'!$B:$B,B21))-SUMIFS('capacity data'!$H:$H,'capacity data'!$E:$E,"PSO",'capacity data'!$B:$B,B21)),"")</f>
        <v/>
      </c>
      <c r="H21" s="219" t="str">
        <f>IFERROR(SUMIFS('capacity data'!$L:$L,'capacity data'!$B:$B,B21,'capacity data'!$E:$E,"PSO")/SUMIFS('capacity data'!$G:$G,'capacity data'!$E:$E,"PSO",'capacity data'!$B:$B,B21),"")</f>
        <v/>
      </c>
      <c r="I21" s="161"/>
      <c r="J21" s="70" t="str">
        <f>IFERROR(SUMIFS('capacity data'!$L:$L,'capacity data'!$B:$B,B21,'capacity data'!$E:$E,"TPO")/SUM((SUMIFS('capacity data'!$G:$G,'capacity data'!$E:$E,"TPO",'capacity data'!$B:$B,B21))-SUMIFS('capacity data'!$H:$H,'capacity data'!$E:$E,"TPO",'capacity data'!$B:$B,B21)),"")</f>
        <v/>
      </c>
      <c r="K21" s="70" t="str">
        <f>IFERROR(SUMIFS('capacity data'!$L:$L,'capacity data'!$B:$B,B21,'capacity data'!$E:$E,"TPO")/SUMIFS('capacity data'!$G:$G,'capacity data'!$E:$E,"TPO",'capacity data'!$B:$B,B21),"")</f>
        <v/>
      </c>
    </row>
    <row r="22" spans="1:11" ht="16" x14ac:dyDescent="0.2">
      <c r="A22" s="12" t="s">
        <v>1285</v>
      </c>
      <c r="B22" s="66" t="str">
        <f>HLOOKUP($B$4,Region_Table,16,0)</f>
        <v>Lambeth - N07</v>
      </c>
      <c r="C22" s="71"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71"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71"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61"/>
      <c r="G22" s="219" t="str">
        <f>IFERROR(SUMIFS('capacity data'!$L:$L,'capacity data'!$B:$B,B22,'capacity data'!$E:$E,"PSO")/SUM((SUMIFS('capacity data'!$G:$G,'capacity data'!$E:$E,"PSO",'capacity data'!$B:$B,B22))-SUMIFS('capacity data'!$H:$H,'capacity data'!$E:$E,"PSO",'capacity data'!$B:$B,B22)),"")</f>
        <v/>
      </c>
      <c r="H22" s="219" t="str">
        <f>IFERROR(SUMIFS('capacity data'!$L:$L,'capacity data'!$B:$B,B22,'capacity data'!$E:$E,"PSO")/SUMIFS('capacity data'!$G:$G,'capacity data'!$E:$E,"PSO",'capacity data'!$B:$B,B22),"")</f>
        <v/>
      </c>
      <c r="I22" s="161"/>
      <c r="J22" s="70" t="str">
        <f>IFERROR(SUMIFS('capacity data'!$L:$L,'capacity data'!$B:$B,B22,'capacity data'!$E:$E,"TPO")/SUM((SUMIFS('capacity data'!$G:$G,'capacity data'!$E:$E,"TPO",'capacity data'!$B:$B,B22))-SUMIFS('capacity data'!$H:$H,'capacity data'!$E:$E,"TPO",'capacity data'!$B:$B,B22)),"")</f>
        <v/>
      </c>
      <c r="K22" s="70" t="str">
        <f>IFERROR(SUMIFS('capacity data'!$L:$L,'capacity data'!$B:$B,B22,'capacity data'!$E:$E,"TPO")/SUMIFS('capacity data'!$G:$G,'capacity data'!$E:$E,"TPO",'capacity data'!$B:$B,B22),"")</f>
        <v/>
      </c>
    </row>
    <row r="23" spans="1:11" ht="16" customHeight="1" x14ac:dyDescent="0.2">
      <c r="A23" s="12" t="s">
        <v>32</v>
      </c>
      <c r="B23" s="66" t="str">
        <f>HLOOKUP($B$4,Region_Table,17,0)</f>
        <v>Lewisham and Bromley</v>
      </c>
      <c r="C23" s="71"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71"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71"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61"/>
      <c r="G23" s="219" t="str">
        <f>IFERROR(SUMIFS('capacity data'!$L:$L,'capacity data'!$B:$B,B23,'capacity data'!$E:$E,"PSO")/SUM((SUMIFS('capacity data'!$G:$G,'capacity data'!$E:$E,"PSO",'capacity data'!$B:$B,B23))-SUMIFS('capacity data'!$H:$H,'capacity data'!$E:$E,"PSO",'capacity data'!$B:$B,B23)),"")</f>
        <v/>
      </c>
      <c r="H23" s="219" t="str">
        <f>IFERROR(SUMIFS('capacity data'!$L:$L,'capacity data'!$B:$B,B23,'capacity data'!$E:$E,"PSO")/SUMIFS('capacity data'!$G:$G,'capacity data'!$E:$E,"PSO",'capacity data'!$B:$B,B23),"")</f>
        <v/>
      </c>
      <c r="I23" s="161"/>
      <c r="J23" s="70" t="str">
        <f>IFERROR(SUMIFS('capacity data'!$L:$L,'capacity data'!$B:$B,B23,'capacity data'!$E:$E,"TPO")/SUM((SUMIFS('capacity data'!$G:$G,'capacity data'!$E:$E,"TPO",'capacity data'!$B:$B,B23))-SUMIFS('capacity data'!$H:$H,'capacity data'!$E:$E,"TPO",'capacity data'!$B:$B,B23)),"")</f>
        <v/>
      </c>
      <c r="K23" s="70" t="str">
        <f>IFERROR(SUMIFS('capacity data'!$L:$L,'capacity data'!$B:$B,B23,'capacity data'!$E:$E,"TPO")/SUMIFS('capacity data'!$G:$G,'capacity data'!$E:$E,"TPO",'capacity data'!$B:$B,B23),"")</f>
        <v/>
      </c>
    </row>
    <row r="24" spans="1:11" ht="16" x14ac:dyDescent="0.2">
      <c r="A24" s="229"/>
      <c r="B24" s="66" t="str">
        <f>HLOOKUP($B$4,Region_Table,18,0)</f>
        <v>Newham - N07</v>
      </c>
      <c r="C24" s="71"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71"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71"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61"/>
      <c r="G24" s="219" t="str">
        <f>IFERROR(SUMIFS('capacity data'!$L:$L,'capacity data'!$B:$B,B24,'capacity data'!$E:$E,"PSO")/SUM((SUMIFS('capacity data'!$G:$G,'capacity data'!$E:$E,"PSO",'capacity data'!$B:$B,B24))-SUMIFS('capacity data'!$H:$H,'capacity data'!$E:$E,"PSO",'capacity data'!$B:$B,B24)),"")</f>
        <v/>
      </c>
      <c r="H24" s="219" t="str">
        <f>IFERROR(SUMIFS('capacity data'!$L:$L,'capacity data'!$B:$B,B24,'capacity data'!$E:$E,"PSO")/SUMIFS('capacity data'!$G:$G,'capacity data'!$E:$E,"PSO",'capacity data'!$B:$B,B24),"")</f>
        <v/>
      </c>
      <c r="I24" s="161"/>
      <c r="J24" s="70" t="str">
        <f>IFERROR(SUMIFS('capacity data'!$L:$L,'capacity data'!$B:$B,B24,'capacity data'!$E:$E,"TPO")/SUM((SUMIFS('capacity data'!$G:$G,'capacity data'!$E:$E,"TPO",'capacity data'!$B:$B,B24))-SUMIFS('capacity data'!$H:$H,'capacity data'!$E:$E,"TPO",'capacity data'!$B:$B,B24)),"")</f>
        <v/>
      </c>
      <c r="K24" s="70" t="str">
        <f>IFERROR(SUMIFS('capacity data'!$L:$L,'capacity data'!$B:$B,B24,'capacity data'!$E:$E,"TPO")/SUMIFS('capacity data'!$G:$G,'capacity data'!$E:$E,"TPO",'capacity data'!$B:$B,B24),"")</f>
        <v/>
      </c>
    </row>
    <row r="25" spans="1:11" ht="16" x14ac:dyDescent="0.2">
      <c r="A25" s="229"/>
      <c r="B25" s="66" t="str">
        <f>HLOOKUP($B$4,Region_Table,19,0)</f>
        <v>Public Protection London</v>
      </c>
      <c r="C25" s="71"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71"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71"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61"/>
      <c r="G25" s="219" t="str">
        <f>IFERROR(SUMIFS('capacity data'!$L:$L,'capacity data'!$B:$B,B25,'capacity data'!$E:$E,"PSO")/SUM((SUMIFS('capacity data'!$G:$G,'capacity data'!$E:$E,"PSO",'capacity data'!$B:$B,B25))-SUMIFS('capacity data'!$H:$H,'capacity data'!$E:$E,"PSO",'capacity data'!$B:$B,B25)),"")</f>
        <v/>
      </c>
      <c r="H25" s="219" t="str">
        <f>IFERROR(SUMIFS('capacity data'!$L:$L,'capacity data'!$B:$B,B25,'capacity data'!$E:$E,"PSO")/SUMIFS('capacity data'!$G:$G,'capacity data'!$E:$E,"PSO",'capacity data'!$B:$B,B25),"")</f>
        <v/>
      </c>
      <c r="I25" s="161"/>
      <c r="J25" s="70" t="str">
        <f>IFERROR(SUMIFS('capacity data'!$L:$L,'capacity data'!$B:$B,B25,'capacity data'!$E:$E,"TPO")/SUM((SUMIFS('capacity data'!$G:$G,'capacity data'!$E:$E,"TPO",'capacity data'!$B:$B,B25))-SUMIFS('capacity data'!$H:$H,'capacity data'!$E:$E,"TPO",'capacity data'!$B:$B,B25)),"")</f>
        <v/>
      </c>
      <c r="K25" s="70" t="str">
        <f>IFERROR(SUMIFS('capacity data'!$L:$L,'capacity data'!$B:$B,B25,'capacity data'!$E:$E,"TPO")/SUMIFS('capacity data'!$G:$G,'capacity data'!$E:$E,"TPO",'capacity data'!$B:$B,B25),"")</f>
        <v/>
      </c>
    </row>
    <row r="26" spans="1:11" ht="16" x14ac:dyDescent="0.2">
      <c r="A26" s="229"/>
      <c r="B26" s="66" t="str">
        <f>HLOOKUP($B$4,Region_Table,20,0)</f>
        <v>Redbridge and Waltham Forest</v>
      </c>
      <c r="C26" s="71"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71"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71"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61"/>
      <c r="G26" s="219" t="str">
        <f>IFERROR(SUMIFS('capacity data'!$L:$L,'capacity data'!$B:$B,B26,'capacity data'!$E:$E,"PSO")/SUM((SUMIFS('capacity data'!$G:$G,'capacity data'!$E:$E,"PSO",'capacity data'!$B:$B,B26))-SUMIFS('capacity data'!$H:$H,'capacity data'!$E:$E,"PSO",'capacity data'!$B:$B,B26)),"")</f>
        <v/>
      </c>
      <c r="H26" s="219" t="str">
        <f>IFERROR(SUMIFS('capacity data'!$L:$L,'capacity data'!$B:$B,B26,'capacity data'!$E:$E,"PSO")/SUMIFS('capacity data'!$G:$G,'capacity data'!$E:$E,"PSO",'capacity data'!$B:$B,B26),"")</f>
        <v/>
      </c>
      <c r="I26" s="161"/>
      <c r="J26" s="70" t="str">
        <f>IFERROR(SUMIFS('capacity data'!$L:$L,'capacity data'!$B:$B,B26,'capacity data'!$E:$E,"TPO")/SUM((SUMIFS('capacity data'!$G:$G,'capacity data'!$E:$E,"TPO",'capacity data'!$B:$B,B26))-SUMIFS('capacity data'!$H:$H,'capacity data'!$E:$E,"TPO",'capacity data'!$B:$B,B26)),"")</f>
        <v/>
      </c>
      <c r="K26" s="70" t="str">
        <f>IFERROR(SUMIFS('capacity data'!$L:$L,'capacity data'!$B:$B,B26,'capacity data'!$E:$E,"TPO")/SUMIFS('capacity data'!$G:$G,'capacity data'!$E:$E,"TPO",'capacity data'!$B:$B,B26),"")</f>
        <v/>
      </c>
    </row>
    <row r="27" spans="1:11" ht="16" x14ac:dyDescent="0.2">
      <c r="A27" s="229"/>
      <c r="B27" s="66" t="str">
        <f>HLOOKUP($B$4,Region_Table,21,0)</f>
        <v>Southwark - N07</v>
      </c>
      <c r="C27" s="71"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71"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71"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61"/>
      <c r="G27" s="219" t="str">
        <f>IFERROR(SUMIFS('capacity data'!$L:$L,'capacity data'!$B:$B,B27,'capacity data'!$E:$E,"PSO")/SUM((SUMIFS('capacity data'!$G:$G,'capacity data'!$E:$E,"PSO",'capacity data'!$B:$B,B27))-SUMIFS('capacity data'!$H:$H,'capacity data'!$E:$E,"PSO",'capacity data'!$B:$B,B27)),"")</f>
        <v/>
      </c>
      <c r="H27" s="219" t="str">
        <f>IFERROR(SUMIFS('capacity data'!$L:$L,'capacity data'!$B:$B,B27,'capacity data'!$E:$E,"PSO")/SUMIFS('capacity data'!$G:$G,'capacity data'!$E:$E,"PSO",'capacity data'!$B:$B,B27),"")</f>
        <v/>
      </c>
      <c r="I27" s="161"/>
      <c r="J27" s="70" t="str">
        <f>IFERROR(SUMIFS('capacity data'!$L:$L,'capacity data'!$B:$B,B27,'capacity data'!$E:$E,"TPO")/SUM((SUMIFS('capacity data'!$G:$G,'capacity data'!$E:$E,"TPO",'capacity data'!$B:$B,B27))-SUMIFS('capacity data'!$H:$H,'capacity data'!$E:$E,"TPO",'capacity data'!$B:$B,B27)),"")</f>
        <v/>
      </c>
      <c r="K27" s="70" t="str">
        <f>IFERROR(SUMIFS('capacity data'!$L:$L,'capacity data'!$B:$B,B27,'capacity data'!$E:$E,"TPO")/SUMIFS('capacity data'!$G:$G,'capacity data'!$E:$E,"TPO",'capacity data'!$B:$B,B27),"")</f>
        <v/>
      </c>
    </row>
    <row r="28" spans="1:11" ht="16" x14ac:dyDescent="0.2">
      <c r="A28" s="229"/>
      <c r="B28" s="66" t="str">
        <f>HLOOKUP($B$4,Region_Table,22,0)</f>
        <v>Tower Hamlets</v>
      </c>
      <c r="C28" s="71"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71"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71"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61"/>
      <c r="G28" s="219" t="str">
        <f>IFERROR(SUMIFS('capacity data'!$L:$L,'capacity data'!$B:$B,B28,'capacity data'!$E:$E,"PSO")/SUM((SUMIFS('capacity data'!$G:$G,'capacity data'!$E:$E,"PSO",'capacity data'!$B:$B,B28))-SUMIFS('capacity data'!$H:$H,'capacity data'!$E:$E,"PSO",'capacity data'!$B:$B,B28)),"")</f>
        <v/>
      </c>
      <c r="H28" s="219" t="str">
        <f>IFERROR(SUMIFS('capacity data'!$L:$L,'capacity data'!$B:$B,B28,'capacity data'!$E:$E,"PSO")/SUMIFS('capacity data'!$G:$G,'capacity data'!$E:$E,"PSO",'capacity data'!$B:$B,B28),"")</f>
        <v/>
      </c>
      <c r="I28" s="161"/>
      <c r="J28" s="70" t="str">
        <f>IFERROR(SUMIFS('capacity data'!$L:$L,'capacity data'!$B:$B,B28,'capacity data'!$E:$E,"TPO")/SUM((SUMIFS('capacity data'!$G:$G,'capacity data'!$E:$E,"TPO",'capacity data'!$B:$B,B28))-SUMIFS('capacity data'!$H:$H,'capacity data'!$E:$E,"TPO",'capacity data'!$B:$B,B28)),"")</f>
        <v/>
      </c>
      <c r="K28" s="70" t="str">
        <f>IFERROR(SUMIFS('capacity data'!$L:$L,'capacity data'!$B:$B,B28,'capacity data'!$E:$E,"TPO")/SUMIFS('capacity data'!$G:$G,'capacity data'!$E:$E,"TPO",'capacity data'!$B:$B,B28),"")</f>
        <v/>
      </c>
    </row>
    <row r="29" spans="1:11" ht="16" x14ac:dyDescent="0.2">
      <c r="A29" s="229"/>
      <c r="B29" s="66" t="str">
        <f>HLOOKUP($B$4,Region_Table,23,0)</f>
        <v>Unallocated Level 2(N07)</v>
      </c>
      <c r="C29" s="71"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71"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71"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61"/>
      <c r="G29" s="219" t="str">
        <f>IFERROR(SUMIFS('capacity data'!$L:$L,'capacity data'!$B:$B,B29,'capacity data'!$E:$E,"PSO")/SUM((SUMIFS('capacity data'!$G:$G,'capacity data'!$E:$E,"PSO",'capacity data'!$B:$B,B29))-SUMIFS('capacity data'!$H:$H,'capacity data'!$E:$E,"PSO",'capacity data'!$B:$B,B29)),"")</f>
        <v/>
      </c>
      <c r="H29" s="219" t="str">
        <f>IFERROR(SUMIFS('capacity data'!$L:$L,'capacity data'!$B:$B,B29,'capacity data'!$E:$E,"PSO")/SUMIFS('capacity data'!$G:$G,'capacity data'!$E:$E,"PSO",'capacity data'!$B:$B,B29),"")</f>
        <v/>
      </c>
      <c r="I29" s="161"/>
      <c r="J29" s="70" t="str">
        <f>IFERROR(SUMIFS('capacity data'!$L:$L,'capacity data'!$B:$B,B29,'capacity data'!$E:$E,"TPO")/SUM((SUMIFS('capacity data'!$G:$G,'capacity data'!$E:$E,"TPO",'capacity data'!$B:$B,B29))-SUMIFS('capacity data'!$H:$H,'capacity data'!$E:$E,"TPO",'capacity data'!$B:$B,B29)),"")</f>
        <v/>
      </c>
      <c r="K29" s="70" t="str">
        <f>IFERROR(SUMIFS('capacity data'!$L:$L,'capacity data'!$B:$B,B29,'capacity data'!$E:$E,"TPO")/SUMIFS('capacity data'!$G:$G,'capacity data'!$E:$E,"TPO",'capacity data'!$B:$B,B29),"")</f>
        <v/>
      </c>
    </row>
    <row r="30" spans="1:11" ht="16" x14ac:dyDescent="0.2">
      <c r="A30" s="229"/>
      <c r="B30" s="66" t="str">
        <f>HLOOKUP($B$4,Region_Table,24,0)</f>
        <v>Unpaid Work and Attendance Centres - N07</v>
      </c>
      <c r="C30" s="71"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71"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71"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61"/>
      <c r="G30" s="219" t="str">
        <f>IFERROR(SUMIFS('capacity data'!$L:$L,'capacity data'!$B:$B,B30,'capacity data'!$E:$E,"PSO")/SUM((SUMIFS('capacity data'!$G:$G,'capacity data'!$E:$E,"PSO",'capacity data'!$B:$B,B30))-SUMIFS('capacity data'!$H:$H,'capacity data'!$E:$E,"PSO",'capacity data'!$B:$B,B30)),"")</f>
        <v/>
      </c>
      <c r="H30" s="219" t="str">
        <f>IFERROR(SUMIFS('capacity data'!$L:$L,'capacity data'!$B:$B,B30,'capacity data'!$E:$E,"PSO")/SUMIFS('capacity data'!$G:$G,'capacity data'!$E:$E,"PSO",'capacity data'!$B:$B,B30),"")</f>
        <v/>
      </c>
      <c r="I30" s="161"/>
      <c r="J30" s="70" t="str">
        <f>IFERROR(SUMIFS('capacity data'!$L:$L,'capacity data'!$B:$B,B30,'capacity data'!$E:$E,"TPO")/SUM((SUMIFS('capacity data'!$G:$G,'capacity data'!$E:$E,"TPO",'capacity data'!$B:$B,B30))-SUMIFS('capacity data'!$H:$H,'capacity data'!$E:$E,"TPO",'capacity data'!$B:$B,B30)),"")</f>
        <v/>
      </c>
      <c r="K30" s="70" t="str">
        <f>IFERROR(SUMIFS('capacity data'!$L:$L,'capacity data'!$B:$B,B30,'capacity data'!$E:$E,"TPO")/SUMIFS('capacity data'!$G:$G,'capacity data'!$E:$E,"TPO",'capacity data'!$B:$B,B30),"")</f>
        <v/>
      </c>
    </row>
    <row r="31" spans="1:11" ht="16" x14ac:dyDescent="0.2">
      <c r="A31" s="229"/>
      <c r="B31" s="66" t="str">
        <f>HLOOKUP($B$4,Region_Table,25,0)</f>
        <v>Wandsworth, Merton and Sutton</v>
      </c>
      <c r="C31" s="71"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71"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71"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61"/>
      <c r="G31" s="219" t="str">
        <f>IFERROR(SUMIFS('capacity data'!$L:$L,'capacity data'!$B:$B,B31,'capacity data'!$E:$E,"PSO")/SUM((SUMIFS('capacity data'!$G:$G,'capacity data'!$E:$E,"PSO",'capacity data'!$B:$B,B31))-SUMIFS('capacity data'!$H:$H,'capacity data'!$E:$E,"PSO",'capacity data'!$B:$B,B31)),"")</f>
        <v/>
      </c>
      <c r="H31" s="219" t="str">
        <f>IFERROR(SUMIFS('capacity data'!$L:$L,'capacity data'!$B:$B,B31,'capacity data'!$E:$E,"PSO")/SUMIFS('capacity data'!$G:$G,'capacity data'!$E:$E,"PSO",'capacity data'!$B:$B,B31),"")</f>
        <v/>
      </c>
      <c r="I31" s="161"/>
      <c r="J31" s="70" t="str">
        <f>IFERROR(SUMIFS('capacity data'!$L:$L,'capacity data'!$B:$B,B31,'capacity data'!$E:$E,"TPO")/SUM((SUMIFS('capacity data'!$G:$G,'capacity data'!$E:$E,"TPO",'capacity data'!$B:$B,B31))-SUMIFS('capacity data'!$H:$H,'capacity data'!$E:$E,"TPO",'capacity data'!$B:$B,B31)),"")</f>
        <v/>
      </c>
      <c r="K31" s="70" t="str">
        <f>IFERROR(SUMIFS('capacity data'!$L:$L,'capacity data'!$B:$B,B31,'capacity data'!$E:$E,"TPO")/SUMIFS('capacity data'!$G:$G,'capacity data'!$E:$E,"TPO",'capacity data'!$B:$B,B31),"")</f>
        <v/>
      </c>
    </row>
    <row r="32" spans="1:11" ht="16" x14ac:dyDescent="0.2">
      <c r="A32" s="229"/>
      <c r="B32" s="66">
        <f>HLOOKUP($B$4,Region_Table,26,0)</f>
        <v>0</v>
      </c>
      <c r="C32" s="71"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71"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71"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61"/>
      <c r="G32" s="219" t="str">
        <f>IFERROR(SUMIFS('capacity data'!$L:$L,'capacity data'!$B:$B,B32,'capacity data'!$E:$E,"PSO")/SUM((SUMIFS('capacity data'!$G:$G,'capacity data'!$E:$E,"PSO",'capacity data'!$B:$B,B32))-SUMIFS('capacity data'!$H:$H,'capacity data'!$E:$E,"PSO",'capacity data'!$B:$B,B32)),"")</f>
        <v/>
      </c>
      <c r="H32" s="219" t="str">
        <f>IFERROR(SUMIFS('capacity data'!$L:$L,'capacity data'!$B:$B,B32,'capacity data'!$E:$E,"PSO")/SUMIFS('capacity data'!$G:$G,'capacity data'!$E:$E,"PSO",'capacity data'!$B:$B,B32),"")</f>
        <v/>
      </c>
      <c r="I32" s="161"/>
      <c r="J32" s="70" t="str">
        <f>IFERROR(SUMIFS('capacity data'!$L:$L,'capacity data'!$B:$B,B32,'capacity data'!$E:$E,"TPO")/SUM((SUMIFS('capacity data'!$G:$G,'capacity data'!$E:$E,"TPO",'capacity data'!$B:$B,B32))-SUMIFS('capacity data'!$H:$H,'capacity data'!$E:$E,"TPO",'capacity data'!$B:$B,B32)),"")</f>
        <v/>
      </c>
      <c r="K32" s="70" t="str">
        <f>IFERROR(SUMIFS('capacity data'!$L:$L,'capacity data'!$B:$B,B32,'capacity data'!$E:$E,"TPO")/SUMIFS('capacity data'!$G:$G,'capacity data'!$E:$E,"TPO",'capacity data'!$B:$B,B32),"")</f>
        <v/>
      </c>
    </row>
    <row r="33" spans="1:23" ht="16" x14ac:dyDescent="0.2">
      <c r="A33" s="229"/>
      <c r="B33" s="66">
        <f>HLOOKUP($B$4,Region_Table,27,0)</f>
        <v>0</v>
      </c>
      <c r="C33" s="71"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71"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71"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61"/>
      <c r="G33" s="219" t="str">
        <f>IFERROR(SUMIFS('capacity data'!$L:$L,'capacity data'!$B:$B,B33,'capacity data'!$E:$E,"PSO")/SUM((SUMIFS('capacity data'!$G:$G,'capacity data'!$E:$E,"PSO",'capacity data'!$B:$B,B33))-SUMIFS('capacity data'!$H:$H,'capacity data'!$E:$E,"PSO",'capacity data'!$B:$B,B33)),"")</f>
        <v/>
      </c>
      <c r="H33" s="219" t="str">
        <f>IFERROR(SUMIFS('capacity data'!$L:$L,'capacity data'!$B:$B,B33,'capacity data'!$E:$E,"PSO")/SUMIFS('capacity data'!$G:$G,'capacity data'!$E:$E,"PSO",'capacity data'!$B:$B,B33),"")</f>
        <v/>
      </c>
      <c r="I33" s="161"/>
      <c r="J33" s="70" t="str">
        <f>IFERROR(SUMIFS('capacity data'!$L:$L,'capacity data'!$B:$B,B33,'capacity data'!$E:$E,"TPO")/SUM((SUMIFS('capacity data'!$G:$G,'capacity data'!$E:$E,"TPO",'capacity data'!$B:$B,B33))-SUMIFS('capacity data'!$H:$H,'capacity data'!$E:$E,"TPO",'capacity data'!$B:$B,B33)),"")</f>
        <v/>
      </c>
      <c r="K33" s="70" t="str">
        <f>IFERROR(SUMIFS('capacity data'!$L:$L,'capacity data'!$B:$B,B33,'capacity data'!$E:$E,"TPO")/SUMIFS('capacity data'!$G:$G,'capacity data'!$E:$E,"TPO",'capacity data'!$B:$B,B33),"")</f>
        <v/>
      </c>
    </row>
    <row r="34" spans="1:23" ht="16" x14ac:dyDescent="0.2">
      <c r="A34" s="229"/>
      <c r="B34" s="66">
        <f>HLOOKUP($B$4,Region_Table,28,0)</f>
        <v>0</v>
      </c>
      <c r="C34" s="71"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71"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71"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61"/>
      <c r="G34" s="219" t="str">
        <f>IFERROR(SUMIFS('capacity data'!$L:$L,'capacity data'!$B:$B,B34,'capacity data'!$E:$E,"PSO")/SUM((SUMIFS('capacity data'!$G:$G,'capacity data'!$E:$E,"PSO",'capacity data'!$B:$B,B34))-SUMIFS('capacity data'!$H:$H,'capacity data'!$E:$E,"PSO",'capacity data'!$B:$B,B34)),"")</f>
        <v/>
      </c>
      <c r="H34" s="219" t="str">
        <f>IFERROR(SUMIFS('capacity data'!$L:$L,'capacity data'!$B:$B,B34,'capacity data'!$E:$E,"PSO")/SUMIFS('capacity data'!$G:$G,'capacity data'!$E:$E,"PSO",'capacity data'!$B:$B,B34),"")</f>
        <v/>
      </c>
      <c r="I34" s="161"/>
      <c r="J34" s="70" t="str">
        <f>IFERROR(SUMIFS('capacity data'!$L:$L,'capacity data'!$B:$B,B34,'capacity data'!$E:$E,"TPO")/SUM((SUMIFS('capacity data'!$G:$G,'capacity data'!$E:$E,"TPO",'capacity data'!$B:$B,B34))-SUMIFS('capacity data'!$H:$H,'capacity data'!$E:$E,"TPO",'capacity data'!$B:$B,B34)),"")</f>
        <v/>
      </c>
      <c r="K34" s="70" t="str">
        <f>IFERROR(SUMIFS('capacity data'!$L:$L,'capacity data'!$B:$B,B34,'capacity data'!$E:$E,"TPO")/SUMIFS('capacity data'!$G:$G,'capacity data'!$E:$E,"TPO",'capacity data'!$B:$B,B34),"")</f>
        <v/>
      </c>
    </row>
    <row r="35" spans="1:23" ht="52.5" customHeight="1" x14ac:dyDescent="0.2">
      <c r="A35" s="10"/>
      <c r="B35" s="1"/>
      <c r="C35" s="2"/>
      <c r="D35" s="2"/>
      <c r="E35" s="2"/>
      <c r="F35" s="2"/>
      <c r="G35" s="2"/>
      <c r="H35" s="2"/>
      <c r="I35" s="2"/>
      <c r="J35" s="2"/>
      <c r="K35" s="2"/>
      <c r="L35" s="2"/>
      <c r="M35" s="2"/>
      <c r="N35" s="2"/>
      <c r="O35" s="2"/>
      <c r="P35" s="2"/>
      <c r="Q35" s="2"/>
      <c r="R35" s="2"/>
      <c r="S35" s="2"/>
      <c r="T35" s="2"/>
      <c r="U35" s="2"/>
      <c r="V35" s="2"/>
      <c r="W35" s="1"/>
    </row>
    <row r="36" spans="1:23" ht="84" x14ac:dyDescent="0.2">
      <c r="A36" s="10"/>
      <c r="B36" s="227" t="s">
        <v>1277</v>
      </c>
      <c r="C36" s="165" t="s">
        <v>1286</v>
      </c>
      <c r="D36" s="165" t="s">
        <v>1287</v>
      </c>
      <c r="E36" s="165" t="s">
        <v>1288</v>
      </c>
      <c r="F36" s="165" t="s">
        <v>1289</v>
      </c>
      <c r="G36" s="165" t="s">
        <v>1290</v>
      </c>
      <c r="H36" s="165" t="s">
        <v>1291</v>
      </c>
      <c r="I36" s="165" t="s">
        <v>1292</v>
      </c>
      <c r="J36" s="166" t="s">
        <v>1293</v>
      </c>
      <c r="K36" s="165" t="s">
        <v>1294</v>
      </c>
      <c r="L36" s="165" t="s">
        <v>1295</v>
      </c>
      <c r="M36" s="165" t="s">
        <v>1296</v>
      </c>
      <c r="N36" s="2"/>
      <c r="O36" s="2"/>
      <c r="P36" s="2"/>
      <c r="Q36" s="2"/>
      <c r="R36" s="2"/>
      <c r="S36" s="2"/>
      <c r="T36" s="2"/>
      <c r="U36" s="2"/>
      <c r="V36" s="2"/>
      <c r="W36" s="1"/>
    </row>
    <row r="37" spans="1:23" ht="16" x14ac:dyDescent="0.2">
      <c r="A37" s="10"/>
      <c r="B37" s="162" t="s">
        <v>1190</v>
      </c>
      <c r="C37" s="167">
        <f>COUNTIF('capacity data'!E:E,"PO")</f>
        <v>0</v>
      </c>
      <c r="D37" s="167">
        <f>COUNTIFS('capacity data'!E:E,"PO",'capacity data'!F:F,"&gt;110%")</f>
        <v>0</v>
      </c>
      <c r="E37" s="168" t="str">
        <f>IFERROR((D37/C37),"0")</f>
        <v>0</v>
      </c>
      <c r="F37" s="167">
        <f>COUNTIF('capacity data'!E:E,"PSO")</f>
        <v>0</v>
      </c>
      <c r="G37" s="167">
        <f>COUNTIFS('capacity data'!E:E,"PSO",'capacity data'!F:F,"&gt;110%")</f>
        <v>0</v>
      </c>
      <c r="H37" s="168" t="str">
        <f>IFERROR((G37/F37),"")</f>
        <v/>
      </c>
      <c r="I37" s="167">
        <f>COUNTIFS('capacity data'!E:E,"PSO",'capacity data'!F:F,"&lt;90%")</f>
        <v>0</v>
      </c>
      <c r="J37" s="168" t="str">
        <f>IFERROR((I37/F37),"")</f>
        <v/>
      </c>
      <c r="K37" s="167">
        <f>COUNTIF('capacity data'!E:E,"TPO")</f>
        <v>0</v>
      </c>
      <c r="L37" s="167">
        <f>COUNTIFS('capacity data'!E:E,"TPO",'capacity data'!F:F,"&gt;110%")</f>
        <v>0</v>
      </c>
      <c r="M37" s="168" t="str">
        <f>IFERROR((L37/K37),"")</f>
        <v/>
      </c>
      <c r="N37" s="2"/>
      <c r="O37" s="2"/>
      <c r="P37" s="2"/>
      <c r="Q37" s="2"/>
      <c r="R37" s="2"/>
      <c r="S37" s="2"/>
      <c r="T37" s="2"/>
      <c r="U37" s="2"/>
      <c r="V37" s="2"/>
      <c r="W37" s="1"/>
    </row>
    <row r="38" spans="1:23" ht="16" x14ac:dyDescent="0.2">
      <c r="A38" s="10"/>
      <c r="B38" s="66" t="str">
        <f>HLOOKUP($B$4,Region_Table,2,0)</f>
        <v>Barking and Dagenham and Havering</v>
      </c>
      <c r="C38" s="79">
        <f>COUNTIFS('capacity data'!$B:$B,'cluster capacity, unallocateds'!B38,'capacity data'!$E:$E,"PO")</f>
        <v>0</v>
      </c>
      <c r="D38" s="79">
        <f>COUNTIFS('capacity data'!$B:$B,'cluster capacity, unallocateds'!B38,'capacity data'!$E:$E,"PO",'capacity data'!$F:$F,"&gt;110%")</f>
        <v>0</v>
      </c>
      <c r="E38" s="70" t="str">
        <f t="shared" ref="E38:E56" si="0">IFERROR((D38/C38),"")</f>
        <v/>
      </c>
      <c r="F38" s="79">
        <f>COUNTIFS('capacity data'!$B:$B,'cluster capacity, unallocateds'!B38,'capacity data'!$E:$E,"PSO")</f>
        <v>0</v>
      </c>
      <c r="G38" s="79">
        <f>COUNTIFS('capacity data'!$B:$B,'cluster capacity, unallocateds'!B38,'capacity data'!$E:$E,"PSO",'capacity data'!$F:$F,"&gt;110%")</f>
        <v>0</v>
      </c>
      <c r="H38" s="70" t="str">
        <f t="shared" ref="H38:H56" si="1">IFERROR((G38/F38),"")</f>
        <v/>
      </c>
      <c r="I38" s="79">
        <f>COUNTIFS('capacity data'!$B:$B,'cluster capacity, unallocateds'!B38,'capacity data'!$E:$E,"PSO",'capacity data'!$F:$F,"&lt;90%")</f>
        <v>0</v>
      </c>
      <c r="J38" s="70" t="str">
        <f t="shared" ref="J38:J56" si="2">IFERROR((I38/F38),"")</f>
        <v/>
      </c>
      <c r="K38" s="79">
        <f>COUNTIFS('capacity data'!$B:$B,'cluster capacity, unallocateds'!B38,'capacity data'!$E:$E,"TPO")</f>
        <v>0</v>
      </c>
      <c r="L38" s="79">
        <f>COUNTIFS('capacity data'!$B:$B,'cluster capacity, unallocateds'!B38,'capacity data'!$E:$E,"TPO",'capacity data'!$F:$F,"&gt;110%")</f>
        <v>0</v>
      </c>
      <c r="M38" s="70" t="str">
        <f t="shared" ref="M38:M56" si="3">IFERROR((L38/K38),"")</f>
        <v/>
      </c>
      <c r="N38" s="2"/>
      <c r="O38" s="2"/>
      <c r="P38" s="2"/>
      <c r="Q38" s="2"/>
      <c r="R38" s="2"/>
      <c r="S38" s="2"/>
      <c r="T38" s="2"/>
      <c r="U38" s="2"/>
      <c r="V38" s="2"/>
      <c r="W38" s="1"/>
    </row>
    <row r="39" spans="1:23" ht="16" x14ac:dyDescent="0.2">
      <c r="A39" s="10"/>
      <c r="B39" s="66" t="str">
        <f>HLOOKUP($B$4,Region_Table,3,0)</f>
        <v>Brent - N07</v>
      </c>
      <c r="C39" s="79">
        <f>COUNTIFS('capacity data'!$B:$B,'cluster capacity, unallocateds'!B39,'capacity data'!$E:$E,"PO")</f>
        <v>0</v>
      </c>
      <c r="D39" s="79">
        <f>COUNTIFS('capacity data'!$B:$B,'cluster capacity, unallocateds'!B39,'capacity data'!$E:$E,"PO",'capacity data'!$F:$F,"&gt;110%")</f>
        <v>0</v>
      </c>
      <c r="E39" s="70" t="str">
        <f t="shared" si="0"/>
        <v/>
      </c>
      <c r="F39" s="79">
        <f>COUNTIFS('capacity data'!$B:$B,'cluster capacity, unallocateds'!B39,'capacity data'!$E:$E,"PSO")</f>
        <v>0</v>
      </c>
      <c r="G39" s="79">
        <f>COUNTIFS('capacity data'!$B:$B,'cluster capacity, unallocateds'!B39,'capacity data'!$E:$E,"PSO",'capacity data'!$F:$F,"&gt;110%")</f>
        <v>0</v>
      </c>
      <c r="H39" s="70" t="str">
        <f t="shared" si="1"/>
        <v/>
      </c>
      <c r="I39" s="79">
        <f>COUNTIFS('capacity data'!$B:$B,'cluster capacity, unallocateds'!B39,'capacity data'!$E:$E,"PSO",'capacity data'!$F:$F,"&lt;90%")</f>
        <v>0</v>
      </c>
      <c r="J39" s="70" t="str">
        <f t="shared" si="2"/>
        <v/>
      </c>
      <c r="K39" s="79">
        <f>COUNTIFS('capacity data'!$B:$B,'cluster capacity, unallocateds'!B39,'capacity data'!$E:$E,"TPO")</f>
        <v>0</v>
      </c>
      <c r="L39" s="79">
        <f>COUNTIFS('capacity data'!$B:$B,'cluster capacity, unallocateds'!B39,'capacity data'!$E:$E,"TPO",'capacity data'!$F:$F,"&gt;110%")</f>
        <v>0</v>
      </c>
      <c r="M39" s="70" t="str">
        <f t="shared" si="3"/>
        <v/>
      </c>
      <c r="N39" s="2"/>
      <c r="O39" s="2"/>
      <c r="P39" s="2"/>
      <c r="Q39" s="2"/>
      <c r="R39" s="2"/>
      <c r="S39" s="2"/>
      <c r="T39" s="2"/>
      <c r="U39" s="2"/>
      <c r="V39" s="2"/>
      <c r="W39" s="1"/>
    </row>
    <row r="40" spans="1:23" ht="16" x14ac:dyDescent="0.2">
      <c r="A40" s="10"/>
      <c r="B40" s="66" t="str">
        <f>HLOOKUP($B$4,Region_Table,4,0)</f>
        <v>Camden, Islington</v>
      </c>
      <c r="C40" s="79">
        <f>COUNTIFS('capacity data'!$B:$B,'cluster capacity, unallocateds'!B40,'capacity data'!$E:$E,"PO")</f>
        <v>0</v>
      </c>
      <c r="D40" s="79">
        <f>COUNTIFS('capacity data'!$B:$B,'cluster capacity, unallocateds'!B40,'capacity data'!$E:$E,"PO",'capacity data'!$F:$F,"&gt;110%")</f>
        <v>0</v>
      </c>
      <c r="E40" s="70" t="str">
        <f t="shared" si="0"/>
        <v/>
      </c>
      <c r="F40" s="79">
        <f>COUNTIFS('capacity data'!$B:$B,'cluster capacity, unallocateds'!B40,'capacity data'!$E:$E,"PSO")</f>
        <v>0</v>
      </c>
      <c r="G40" s="79">
        <f>COUNTIFS('capacity data'!$B:$B,'cluster capacity, unallocateds'!B40,'capacity data'!$E:$E,"PSO",'capacity data'!$F:$F,"&gt;110%")</f>
        <v>0</v>
      </c>
      <c r="H40" s="70" t="str">
        <f t="shared" si="1"/>
        <v/>
      </c>
      <c r="I40" s="79">
        <f>COUNTIFS('capacity data'!$B:$B,'cluster capacity, unallocateds'!B40,'capacity data'!$E:$E,"PSO",'capacity data'!$F:$F,"&lt;90%")</f>
        <v>0</v>
      </c>
      <c r="J40" s="70" t="str">
        <f t="shared" si="2"/>
        <v/>
      </c>
      <c r="K40" s="79">
        <f>COUNTIFS('capacity data'!$B:$B,'cluster capacity, unallocateds'!B40,'capacity data'!$E:$E,"TPO")</f>
        <v>0</v>
      </c>
      <c r="L40" s="79">
        <f>COUNTIFS('capacity data'!$B:$B,'cluster capacity, unallocateds'!B40,'capacity data'!$E:$E,"TPO",'capacity data'!$F:$F,"&gt;110%")</f>
        <v>0</v>
      </c>
      <c r="M40" s="70" t="str">
        <f t="shared" si="3"/>
        <v/>
      </c>
      <c r="N40" s="2"/>
      <c r="O40" s="2"/>
      <c r="P40" s="2"/>
      <c r="Q40" s="2"/>
      <c r="R40" s="2"/>
      <c r="S40" s="2"/>
      <c r="T40" s="2"/>
      <c r="U40" s="2"/>
      <c r="V40" s="2"/>
      <c r="W40" s="1"/>
    </row>
    <row r="41" spans="1:23" ht="16" x14ac:dyDescent="0.2">
      <c r="A41" s="10"/>
      <c r="B41" s="66" t="str">
        <f>HLOOKUP($B$4,Region_Table,5,0)</f>
        <v>Community Integration</v>
      </c>
      <c r="C41" s="79">
        <f>COUNTIFS('capacity data'!$B:$B,'cluster capacity, unallocateds'!B41,'capacity data'!$E:$E,"PO")</f>
        <v>0</v>
      </c>
      <c r="D41" s="79">
        <f>COUNTIFS('capacity data'!$B:$B,'cluster capacity, unallocateds'!B41,'capacity data'!$E:$E,"PO",'capacity data'!$F:$F,"&gt;110%")</f>
        <v>0</v>
      </c>
      <c r="E41" s="70" t="str">
        <f t="shared" si="0"/>
        <v/>
      </c>
      <c r="F41" s="79">
        <f>COUNTIFS('capacity data'!$B:$B,'cluster capacity, unallocateds'!B41,'capacity data'!$E:$E,"PSO")</f>
        <v>0</v>
      </c>
      <c r="G41" s="79">
        <f>COUNTIFS('capacity data'!$B:$B,'cluster capacity, unallocateds'!B41,'capacity data'!$E:$E,"PSO",'capacity data'!$F:$F,"&gt;110%")</f>
        <v>0</v>
      </c>
      <c r="H41" s="70" t="str">
        <f t="shared" si="1"/>
        <v/>
      </c>
      <c r="I41" s="79">
        <f>COUNTIFS('capacity data'!$B:$B,'cluster capacity, unallocateds'!B41,'capacity data'!$E:$E,"PSO",'capacity data'!$F:$F,"&lt;90%")</f>
        <v>0</v>
      </c>
      <c r="J41" s="70" t="str">
        <f t="shared" si="2"/>
        <v/>
      </c>
      <c r="K41" s="79">
        <f>COUNTIFS('capacity data'!$B:$B,'cluster capacity, unallocateds'!B41,'capacity data'!$E:$E,"TPO")</f>
        <v>0</v>
      </c>
      <c r="L41" s="79">
        <f>COUNTIFS('capacity data'!$B:$B,'cluster capacity, unallocateds'!B41,'capacity data'!$E:$E,"TPO",'capacity data'!$F:$F,"&gt;110%")</f>
        <v>0</v>
      </c>
      <c r="M41" s="70" t="str">
        <f t="shared" si="3"/>
        <v/>
      </c>
      <c r="N41" s="2"/>
      <c r="O41" s="2"/>
      <c r="P41" s="2"/>
      <c r="Q41" s="2"/>
      <c r="R41" s="2"/>
      <c r="S41" s="2"/>
      <c r="T41" s="2"/>
      <c r="U41" s="2"/>
      <c r="V41" s="2"/>
      <c r="W41" s="1"/>
    </row>
    <row r="42" spans="1:23" ht="16" x14ac:dyDescent="0.2">
      <c r="A42" s="10"/>
      <c r="B42" s="66" t="str">
        <f>HLOOKUP($B$4,Region_Table,6,0)</f>
        <v>Corporate Services - N07</v>
      </c>
      <c r="C42" s="79">
        <f>COUNTIFS('capacity data'!$B:$B,'cluster capacity, unallocateds'!B42,'capacity data'!$E:$E,"PO")</f>
        <v>0</v>
      </c>
      <c r="D42" s="79">
        <f>COUNTIFS('capacity data'!$B:$B,'cluster capacity, unallocateds'!B42,'capacity data'!$E:$E,"PO",'capacity data'!$F:$F,"&gt;110%")</f>
        <v>0</v>
      </c>
      <c r="E42" s="70" t="str">
        <f t="shared" si="0"/>
        <v/>
      </c>
      <c r="F42" s="79">
        <f>COUNTIFS('capacity data'!$B:$B,'cluster capacity, unallocateds'!B42,'capacity data'!$E:$E,"PSO")</f>
        <v>0</v>
      </c>
      <c r="G42" s="79">
        <f>COUNTIFS('capacity data'!$B:$B,'cluster capacity, unallocateds'!B42,'capacity data'!$E:$E,"PSO",'capacity data'!$F:$F,"&gt;110%")</f>
        <v>0</v>
      </c>
      <c r="H42" s="70" t="str">
        <f t="shared" si="1"/>
        <v/>
      </c>
      <c r="I42" s="79">
        <f>COUNTIFS('capacity data'!$B:$B,'cluster capacity, unallocateds'!B42,'capacity data'!$E:$E,"PSO",'capacity data'!$F:$F,"&lt;90%")</f>
        <v>0</v>
      </c>
      <c r="J42" s="70" t="str">
        <f t="shared" si="2"/>
        <v/>
      </c>
      <c r="K42" s="79">
        <f>COUNTIFS('capacity data'!$B:$B,'cluster capacity, unallocateds'!B42,'capacity data'!$E:$E,"TPO")</f>
        <v>0</v>
      </c>
      <c r="L42" s="79">
        <f>COUNTIFS('capacity data'!$B:$B,'cluster capacity, unallocateds'!B42,'capacity data'!$E:$E,"TPO",'capacity data'!$F:$F,"&gt;110%")</f>
        <v>0</v>
      </c>
      <c r="M42" s="70" t="str">
        <f t="shared" si="3"/>
        <v/>
      </c>
      <c r="N42" s="2"/>
      <c r="O42" s="2"/>
      <c r="P42" s="2"/>
      <c r="Q42" s="2"/>
      <c r="R42" s="2"/>
      <c r="S42" s="2"/>
      <c r="T42" s="2"/>
      <c r="U42" s="2"/>
      <c r="V42" s="2"/>
      <c r="W42" s="1"/>
    </row>
    <row r="43" spans="1:23" ht="16" x14ac:dyDescent="0.2">
      <c r="A43" s="10"/>
      <c r="B43" s="66" t="str">
        <f>HLOOKUP($B$4,Region_Table,7,0)</f>
        <v>Croydon - N07</v>
      </c>
      <c r="C43" s="79">
        <f>COUNTIFS('capacity data'!$B:$B,'cluster capacity, unallocateds'!B43,'capacity data'!$E:$E,"PO")</f>
        <v>0</v>
      </c>
      <c r="D43" s="79">
        <f>COUNTIFS('capacity data'!$B:$B,'cluster capacity, unallocateds'!B43,'capacity data'!$E:$E,"PO",'capacity data'!$F:$F,"&gt;110%")</f>
        <v>0</v>
      </c>
      <c r="E43" s="70" t="str">
        <f t="shared" si="0"/>
        <v/>
      </c>
      <c r="F43" s="79">
        <f>COUNTIFS('capacity data'!$B:$B,'cluster capacity, unallocateds'!B43,'capacity data'!$E:$E,"PSO")</f>
        <v>0</v>
      </c>
      <c r="G43" s="79">
        <f>COUNTIFS('capacity data'!$B:$B,'cluster capacity, unallocateds'!B43,'capacity data'!$E:$E,"PSO",'capacity data'!$F:$F,"&gt;110%")</f>
        <v>0</v>
      </c>
      <c r="H43" s="70" t="str">
        <f t="shared" si="1"/>
        <v/>
      </c>
      <c r="I43" s="79">
        <f>COUNTIFS('capacity data'!$B:$B,'cluster capacity, unallocateds'!B43,'capacity data'!$E:$E,"PSO",'capacity data'!$F:$F,"&lt;90%")</f>
        <v>0</v>
      </c>
      <c r="J43" s="70" t="str">
        <f t="shared" si="2"/>
        <v/>
      </c>
      <c r="K43" s="79">
        <f>COUNTIFS('capacity data'!$B:$B,'cluster capacity, unallocateds'!B43,'capacity data'!$E:$E,"TPO")</f>
        <v>0</v>
      </c>
      <c r="L43" s="79">
        <f>COUNTIFS('capacity data'!$B:$B,'cluster capacity, unallocateds'!B43,'capacity data'!$E:$E,"TPO",'capacity data'!$F:$F,"&gt;110%")</f>
        <v>0</v>
      </c>
      <c r="M43" s="70" t="str">
        <f t="shared" si="3"/>
        <v/>
      </c>
      <c r="N43" s="2"/>
      <c r="O43" s="2"/>
      <c r="P43" s="2"/>
      <c r="Q43" s="2"/>
      <c r="R43" s="2"/>
      <c r="S43" s="2"/>
      <c r="T43" s="2"/>
      <c r="U43" s="2"/>
      <c r="V43" s="2"/>
      <c r="W43" s="1"/>
    </row>
    <row r="44" spans="1:23" ht="16" x14ac:dyDescent="0.2">
      <c r="A44" s="10"/>
      <c r="B44" s="66" t="str">
        <f>HLOOKUP($B$4,Region_Table,8,0)</f>
        <v>Ealing and Hillingdon</v>
      </c>
      <c r="C44" s="79">
        <f>COUNTIFS('capacity data'!$B:$B,'cluster capacity, unallocateds'!B44,'capacity data'!$E:$E,"PO")</f>
        <v>0</v>
      </c>
      <c r="D44" s="79">
        <f>COUNTIFS('capacity data'!$B:$B,'cluster capacity, unallocateds'!B44,'capacity data'!$E:$E,"PO",'capacity data'!$F:$F,"&gt;110%")</f>
        <v>0</v>
      </c>
      <c r="E44" s="70" t="str">
        <f t="shared" si="0"/>
        <v/>
      </c>
      <c r="F44" s="79">
        <f>COUNTIFS('capacity data'!$B:$B,'cluster capacity, unallocateds'!B44,'capacity data'!$E:$E,"PSO")</f>
        <v>0</v>
      </c>
      <c r="G44" s="79">
        <f>COUNTIFS('capacity data'!$B:$B,'cluster capacity, unallocateds'!B44,'capacity data'!$E:$E,"PSO",'capacity data'!$F:$F,"&gt;110%")</f>
        <v>0</v>
      </c>
      <c r="H44" s="70" t="str">
        <f t="shared" si="1"/>
        <v/>
      </c>
      <c r="I44" s="79">
        <f>COUNTIFS('capacity data'!$B:$B,'cluster capacity, unallocateds'!B44,'capacity data'!$E:$E,"PSO",'capacity data'!$F:$F,"&lt;90%")</f>
        <v>0</v>
      </c>
      <c r="J44" s="70" t="str">
        <f t="shared" si="2"/>
        <v/>
      </c>
      <c r="K44" s="79">
        <f>COUNTIFS('capacity data'!$B:$B,'cluster capacity, unallocateds'!B44,'capacity data'!$E:$E,"TPO")</f>
        <v>0</v>
      </c>
      <c r="L44" s="79">
        <f>COUNTIFS('capacity data'!$B:$B,'cluster capacity, unallocateds'!B44,'capacity data'!$E:$E,"TPO",'capacity data'!$F:$F,"&gt;110%")</f>
        <v>0</v>
      </c>
      <c r="M44" s="70" t="str">
        <f t="shared" si="3"/>
        <v/>
      </c>
      <c r="N44" s="2"/>
      <c r="O44" s="2"/>
      <c r="P44" s="2"/>
      <c r="Q44" s="2"/>
      <c r="R44" s="2"/>
      <c r="S44" s="2"/>
      <c r="T44" s="2"/>
      <c r="U44" s="2"/>
      <c r="V44" s="2"/>
      <c r="W44" s="1"/>
    </row>
    <row r="45" spans="1:23" ht="16" x14ac:dyDescent="0.2">
      <c r="A45" s="10"/>
      <c r="B45" s="66" t="str">
        <f>HLOOKUP($B$4,Region_Table,9,0)</f>
        <v>Enfield and Haringey</v>
      </c>
      <c r="C45" s="79">
        <f>COUNTIFS('capacity data'!$B:$B,'cluster capacity, unallocateds'!B45,'capacity data'!$E:$E,"PO")</f>
        <v>0</v>
      </c>
      <c r="D45" s="79">
        <f>COUNTIFS('capacity data'!$B:$B,'cluster capacity, unallocateds'!B45,'capacity data'!$E:$E,"PO",'capacity data'!$F:$F,"&gt;110%")</f>
        <v>0</v>
      </c>
      <c r="E45" s="70" t="str">
        <f t="shared" si="0"/>
        <v/>
      </c>
      <c r="F45" s="79">
        <f>COUNTIFS('capacity data'!$B:$B,'cluster capacity, unallocateds'!B45,'capacity data'!$E:$E,"PSO")</f>
        <v>0</v>
      </c>
      <c r="G45" s="79">
        <f>COUNTIFS('capacity data'!$B:$B,'cluster capacity, unallocateds'!B45,'capacity data'!$E:$E,"PSO",'capacity data'!$F:$F,"&gt;110%")</f>
        <v>0</v>
      </c>
      <c r="H45" s="70" t="str">
        <f t="shared" si="1"/>
        <v/>
      </c>
      <c r="I45" s="79">
        <f>COUNTIFS('capacity data'!$B:$B,'cluster capacity, unallocateds'!B45,'capacity data'!$E:$E,"PSO",'capacity data'!$F:$F,"&lt;90%")</f>
        <v>0</v>
      </c>
      <c r="J45" s="70" t="str">
        <f t="shared" si="2"/>
        <v/>
      </c>
      <c r="K45" s="79">
        <f>COUNTIFS('capacity data'!$B:$B,'cluster capacity, unallocateds'!B45,'capacity data'!$E:$E,"TPO")</f>
        <v>0</v>
      </c>
      <c r="L45" s="79">
        <f>COUNTIFS('capacity data'!$B:$B,'cluster capacity, unallocateds'!B45,'capacity data'!$E:$E,"TPO",'capacity data'!$F:$F,"&gt;110%")</f>
        <v>0</v>
      </c>
      <c r="M45" s="70" t="str">
        <f t="shared" si="3"/>
        <v/>
      </c>
      <c r="N45" s="2"/>
      <c r="O45" s="2"/>
      <c r="P45" s="2"/>
      <c r="Q45" s="2"/>
      <c r="R45" s="2"/>
      <c r="S45" s="2"/>
      <c r="T45" s="2"/>
      <c r="U45" s="2"/>
      <c r="V45" s="2"/>
      <c r="W45" s="1"/>
    </row>
    <row r="46" spans="1:23" ht="16" x14ac:dyDescent="0.2">
      <c r="A46" s="10"/>
      <c r="B46" s="66" t="str">
        <f>HLOOKUP($B$4,Region_Table,10,0)</f>
        <v>Greenwich and Bexley</v>
      </c>
      <c r="C46" s="79">
        <f>COUNTIFS('capacity data'!$B:$B,'cluster capacity, unallocateds'!B46,'capacity data'!$E:$E,"PO")</f>
        <v>0</v>
      </c>
      <c r="D46" s="79">
        <f>COUNTIFS('capacity data'!$B:$B,'cluster capacity, unallocateds'!B46,'capacity data'!$E:$E,"PO",'capacity data'!$F:$F,"&gt;110%")</f>
        <v>0</v>
      </c>
      <c r="E46" s="70" t="str">
        <f t="shared" si="0"/>
        <v/>
      </c>
      <c r="F46" s="79">
        <f>COUNTIFS('capacity data'!$B:$B,'cluster capacity, unallocateds'!B46,'capacity data'!$E:$E,"PSO")</f>
        <v>0</v>
      </c>
      <c r="G46" s="79">
        <f>COUNTIFS('capacity data'!$B:$B,'cluster capacity, unallocateds'!B46,'capacity data'!$E:$E,"PSO",'capacity data'!$F:$F,"&gt;110%")</f>
        <v>0</v>
      </c>
      <c r="H46" s="70" t="str">
        <f t="shared" si="1"/>
        <v/>
      </c>
      <c r="I46" s="79">
        <f>COUNTIFS('capacity data'!$B:$B,'cluster capacity, unallocateds'!B46,'capacity data'!$E:$E,"PSO",'capacity data'!$F:$F,"&lt;90%")</f>
        <v>0</v>
      </c>
      <c r="J46" s="70" t="str">
        <f t="shared" si="2"/>
        <v/>
      </c>
      <c r="K46" s="79">
        <f>COUNTIFS('capacity data'!$B:$B,'cluster capacity, unallocateds'!B46,'capacity data'!$E:$E,"TPO")</f>
        <v>0</v>
      </c>
      <c r="L46" s="79">
        <f>COUNTIFS('capacity data'!$B:$B,'cluster capacity, unallocateds'!B46,'capacity data'!$E:$E,"TPO",'capacity data'!$F:$F,"&gt;110%")</f>
        <v>0</v>
      </c>
      <c r="M46" s="70" t="str">
        <f t="shared" si="3"/>
        <v/>
      </c>
      <c r="N46" s="2"/>
      <c r="O46" s="2"/>
      <c r="P46" s="2"/>
      <c r="Q46" s="2"/>
      <c r="R46" s="2"/>
      <c r="S46" s="2"/>
      <c r="T46" s="2"/>
      <c r="U46" s="2"/>
      <c r="V46" s="2"/>
      <c r="W46" s="1"/>
    </row>
    <row r="47" spans="1:23" ht="16" x14ac:dyDescent="0.2">
      <c r="A47" s="10"/>
      <c r="B47" s="66" t="str">
        <f>HLOOKUP($B$4,Region_Table,11,0)</f>
        <v>Hackney and City</v>
      </c>
      <c r="C47" s="79">
        <f>COUNTIFS('capacity data'!$B:$B,'cluster capacity, unallocateds'!B47,'capacity data'!$E:$E,"PO")</f>
        <v>0</v>
      </c>
      <c r="D47" s="79">
        <f>COUNTIFS('capacity data'!$B:$B,'cluster capacity, unallocateds'!B47,'capacity data'!$E:$E,"PO",'capacity data'!$F:$F,"&gt;110%")</f>
        <v>0</v>
      </c>
      <c r="E47" s="70" t="str">
        <f t="shared" si="0"/>
        <v/>
      </c>
      <c r="F47" s="79">
        <f>COUNTIFS('capacity data'!$B:$B,'cluster capacity, unallocateds'!B47,'capacity data'!$E:$E,"PSO")</f>
        <v>0</v>
      </c>
      <c r="G47" s="79">
        <f>COUNTIFS('capacity data'!$B:$B,'cluster capacity, unallocateds'!B47,'capacity data'!$E:$E,"PSO",'capacity data'!$F:$F,"&gt;110%")</f>
        <v>0</v>
      </c>
      <c r="H47" s="70" t="str">
        <f t="shared" si="1"/>
        <v/>
      </c>
      <c r="I47" s="79">
        <f>COUNTIFS('capacity data'!$B:$B,'cluster capacity, unallocateds'!B47,'capacity data'!$E:$E,"PSO",'capacity data'!$F:$F,"&lt;90%")</f>
        <v>0</v>
      </c>
      <c r="J47" s="70" t="str">
        <f t="shared" si="2"/>
        <v/>
      </c>
      <c r="K47" s="79">
        <f>COUNTIFS('capacity data'!$B:$B,'cluster capacity, unallocateds'!B47,'capacity data'!$E:$E,"TPO")</f>
        <v>0</v>
      </c>
      <c r="L47" s="79">
        <f>COUNTIFS('capacity data'!$B:$B,'cluster capacity, unallocateds'!B47,'capacity data'!$E:$E,"TPO",'capacity data'!$F:$F,"&gt;110%")</f>
        <v>0</v>
      </c>
      <c r="M47" s="70" t="str">
        <f t="shared" si="3"/>
        <v/>
      </c>
      <c r="N47" s="2"/>
      <c r="O47" s="2"/>
      <c r="P47" s="2"/>
      <c r="Q47" s="2"/>
      <c r="R47" s="2"/>
      <c r="S47" s="2"/>
      <c r="T47" s="2"/>
      <c r="U47" s="2"/>
      <c r="V47" s="2"/>
      <c r="W47" s="1"/>
    </row>
    <row r="48" spans="1:23" ht="16" x14ac:dyDescent="0.2">
      <c r="A48" s="10"/>
      <c r="B48" s="66" t="str">
        <f>HLOOKUP($B$4,Region_Table,12,0)</f>
        <v>Hammersmith, Fulham, Kensington, Chelsea and Westminster</v>
      </c>
      <c r="C48" s="79">
        <f>COUNTIFS('capacity data'!$B:$B,'cluster capacity, unallocateds'!B48,'capacity data'!$E:$E,"PO")</f>
        <v>0</v>
      </c>
      <c r="D48" s="79">
        <f>COUNTIFS('capacity data'!$B:$B,'cluster capacity, unallocateds'!B48,'capacity data'!$E:$E,"PO",'capacity data'!$F:$F,"&gt;110%")</f>
        <v>0</v>
      </c>
      <c r="E48" s="70" t="str">
        <f t="shared" si="0"/>
        <v/>
      </c>
      <c r="F48" s="79">
        <f>COUNTIFS('capacity data'!$B:$B,'cluster capacity, unallocateds'!B48,'capacity data'!$E:$E,"PSO")</f>
        <v>0</v>
      </c>
      <c r="G48" s="79">
        <f>COUNTIFS('capacity data'!$B:$B,'cluster capacity, unallocateds'!B48,'capacity data'!$E:$E,"PSO",'capacity data'!$F:$F,"&gt;110%")</f>
        <v>0</v>
      </c>
      <c r="H48" s="70" t="str">
        <f t="shared" si="1"/>
        <v/>
      </c>
      <c r="I48" s="79">
        <f>COUNTIFS('capacity data'!$B:$B,'cluster capacity, unallocateds'!B48,'capacity data'!$E:$E,"PSO",'capacity data'!$F:$F,"&lt;90%")</f>
        <v>0</v>
      </c>
      <c r="J48" s="70" t="str">
        <f t="shared" si="2"/>
        <v/>
      </c>
      <c r="K48" s="79">
        <f>COUNTIFS('capacity data'!$B:$B,'cluster capacity, unallocateds'!B48,'capacity data'!$E:$E,"TPO")</f>
        <v>0</v>
      </c>
      <c r="L48" s="79">
        <f>COUNTIFS('capacity data'!$B:$B,'cluster capacity, unallocateds'!B48,'capacity data'!$E:$E,"TPO",'capacity data'!$F:$F,"&gt;110%")</f>
        <v>0</v>
      </c>
      <c r="M48" s="70" t="str">
        <f t="shared" si="3"/>
        <v/>
      </c>
      <c r="N48" s="2"/>
      <c r="O48" s="2"/>
      <c r="P48" s="2"/>
      <c r="Q48" s="2"/>
      <c r="R48" s="2"/>
      <c r="S48" s="2"/>
      <c r="T48" s="2"/>
      <c r="U48" s="2"/>
      <c r="V48" s="2"/>
      <c r="W48" s="1"/>
    </row>
    <row r="49" spans="1:23" ht="16" x14ac:dyDescent="0.2">
      <c r="A49" s="10"/>
      <c r="B49" s="66" t="str">
        <f>HLOOKUP($B$4,Region_Table,13,0)</f>
        <v>Harrow and Barnet</v>
      </c>
      <c r="C49" s="79">
        <f>COUNTIFS('capacity data'!$B:$B,'cluster capacity, unallocateds'!B49,'capacity data'!$E:$E,"PO")</f>
        <v>0</v>
      </c>
      <c r="D49" s="79">
        <f>COUNTIFS('capacity data'!$B:$B,'cluster capacity, unallocateds'!B49,'capacity data'!$E:$E,"PO",'capacity data'!$F:$F,"&gt;110%")</f>
        <v>0</v>
      </c>
      <c r="E49" s="70" t="str">
        <f t="shared" si="0"/>
        <v/>
      </c>
      <c r="F49" s="79">
        <f>COUNTIFS('capacity data'!$B:$B,'cluster capacity, unallocateds'!B49,'capacity data'!$E:$E,"PSO")</f>
        <v>0</v>
      </c>
      <c r="G49" s="79">
        <f>COUNTIFS('capacity data'!$B:$B,'cluster capacity, unallocateds'!B49,'capacity data'!$E:$E,"PSO",'capacity data'!$F:$F,"&gt;110%")</f>
        <v>0</v>
      </c>
      <c r="H49" s="70" t="str">
        <f t="shared" si="1"/>
        <v/>
      </c>
      <c r="I49" s="79">
        <f>COUNTIFS('capacity data'!$B:$B,'cluster capacity, unallocateds'!B49,'capacity data'!$E:$E,"PSO",'capacity data'!$F:$F,"&lt;90%")</f>
        <v>0</v>
      </c>
      <c r="J49" s="70" t="str">
        <f t="shared" si="2"/>
        <v/>
      </c>
      <c r="K49" s="79">
        <f>COUNTIFS('capacity data'!$B:$B,'cluster capacity, unallocateds'!B49,'capacity data'!$E:$E,"TPO")</f>
        <v>0</v>
      </c>
      <c r="L49" s="79">
        <f>COUNTIFS('capacity data'!$B:$B,'cluster capacity, unallocateds'!B49,'capacity data'!$E:$E,"TPO",'capacity data'!$F:$F,"&gt;110%")</f>
        <v>0</v>
      </c>
      <c r="M49" s="70" t="str">
        <f t="shared" si="3"/>
        <v/>
      </c>
      <c r="N49" s="2"/>
      <c r="O49" s="2"/>
      <c r="P49" s="2"/>
      <c r="Q49" s="2"/>
      <c r="R49" s="2"/>
      <c r="S49" s="2"/>
      <c r="T49" s="2"/>
      <c r="U49" s="2"/>
      <c r="V49" s="2"/>
      <c r="W49" s="1"/>
    </row>
    <row r="50" spans="1:23" ht="16" x14ac:dyDescent="0.2">
      <c r="A50" s="10"/>
      <c r="B50" s="66" t="str">
        <f>HLOOKUP($B$4,Region_Table,14,0)</f>
        <v>Inactive Level 2(N07)</v>
      </c>
      <c r="C50" s="79">
        <f>COUNTIFS('capacity data'!$B:$B,'cluster capacity, unallocateds'!B50,'capacity data'!$E:$E,"PO")</f>
        <v>0</v>
      </c>
      <c r="D50" s="79">
        <f>COUNTIFS('capacity data'!$B:$B,'cluster capacity, unallocateds'!B50,'capacity data'!$E:$E,"PO",'capacity data'!$F:$F,"&gt;110%")</f>
        <v>0</v>
      </c>
      <c r="E50" s="70" t="str">
        <f t="shared" si="0"/>
        <v/>
      </c>
      <c r="F50" s="79">
        <f>COUNTIFS('capacity data'!$B:$B,'cluster capacity, unallocateds'!B50,'capacity data'!$E:$E,"PSO")</f>
        <v>0</v>
      </c>
      <c r="G50" s="79">
        <f>COUNTIFS('capacity data'!$B:$B,'cluster capacity, unallocateds'!B50,'capacity data'!$E:$E,"PSO",'capacity data'!$F:$F,"&gt;110%")</f>
        <v>0</v>
      </c>
      <c r="H50" s="70" t="str">
        <f t="shared" si="1"/>
        <v/>
      </c>
      <c r="I50" s="79">
        <f>COUNTIFS('capacity data'!$B:$B,'cluster capacity, unallocateds'!B50,'capacity data'!$E:$E,"PSO",'capacity data'!$F:$F,"&lt;90%")</f>
        <v>0</v>
      </c>
      <c r="J50" s="70" t="str">
        <f t="shared" si="2"/>
        <v/>
      </c>
      <c r="K50" s="79">
        <f>COUNTIFS('capacity data'!$B:$B,'cluster capacity, unallocateds'!B50,'capacity data'!$E:$E,"TPO")</f>
        <v>0</v>
      </c>
      <c r="L50" s="79">
        <f>COUNTIFS('capacity data'!$B:$B,'cluster capacity, unallocateds'!B50,'capacity data'!$E:$E,"TPO",'capacity data'!$F:$F,"&gt;110%")</f>
        <v>0</v>
      </c>
      <c r="M50" s="70" t="str">
        <f t="shared" si="3"/>
        <v/>
      </c>
      <c r="N50" s="2"/>
      <c r="O50" s="2"/>
      <c r="P50" s="2"/>
      <c r="Q50" s="2"/>
      <c r="R50" s="2"/>
      <c r="S50" s="2"/>
      <c r="T50" s="2"/>
      <c r="U50" s="2"/>
      <c r="V50" s="2"/>
      <c r="W50" s="1"/>
    </row>
    <row r="51" spans="1:23" ht="16" x14ac:dyDescent="0.2">
      <c r="A51" s="10"/>
      <c r="B51" s="66" t="str">
        <f>HLOOKUP($B$4,Region_Table,15,0)</f>
        <v>Kingston, Richmond and Hounslow</v>
      </c>
      <c r="C51" s="79">
        <f>COUNTIFS('capacity data'!$B:$B,'cluster capacity, unallocateds'!B51,'capacity data'!$E:$E,"PO")</f>
        <v>0</v>
      </c>
      <c r="D51" s="79">
        <f>COUNTIFS('capacity data'!$B:$B,'cluster capacity, unallocateds'!B51,'capacity data'!$E:$E,"PO",'capacity data'!$F:$F,"&gt;110%")</f>
        <v>0</v>
      </c>
      <c r="E51" s="70" t="str">
        <f t="shared" si="0"/>
        <v/>
      </c>
      <c r="F51" s="79">
        <f>COUNTIFS('capacity data'!$B:$B,'cluster capacity, unallocateds'!B51,'capacity data'!$E:$E,"PSO")</f>
        <v>0</v>
      </c>
      <c r="G51" s="79">
        <f>COUNTIFS('capacity data'!$B:$B,'cluster capacity, unallocateds'!B51,'capacity data'!$E:$E,"PSO",'capacity data'!$F:$F,"&gt;110%")</f>
        <v>0</v>
      </c>
      <c r="H51" s="70" t="str">
        <f t="shared" si="1"/>
        <v/>
      </c>
      <c r="I51" s="79">
        <f>COUNTIFS('capacity data'!$B:$B,'cluster capacity, unallocateds'!B51,'capacity data'!$E:$E,"PSO",'capacity data'!$F:$F,"&lt;90%")</f>
        <v>0</v>
      </c>
      <c r="J51" s="70" t="str">
        <f t="shared" si="2"/>
        <v/>
      </c>
      <c r="K51" s="79">
        <f>COUNTIFS('capacity data'!$B:$B,'cluster capacity, unallocateds'!B51,'capacity data'!$E:$E,"TPO")</f>
        <v>0</v>
      </c>
      <c r="L51" s="79">
        <f>COUNTIFS('capacity data'!$B:$B,'cluster capacity, unallocateds'!B51,'capacity data'!$E:$E,"TPO",'capacity data'!$F:$F,"&gt;110%")</f>
        <v>0</v>
      </c>
      <c r="M51" s="70" t="str">
        <f t="shared" si="3"/>
        <v/>
      </c>
      <c r="N51" s="2"/>
      <c r="O51" s="2"/>
      <c r="P51" s="2"/>
      <c r="Q51" s="2"/>
      <c r="R51" s="2"/>
      <c r="S51" s="2"/>
      <c r="T51" s="2"/>
      <c r="U51" s="2"/>
      <c r="V51" s="2"/>
      <c r="W51" s="1"/>
    </row>
    <row r="52" spans="1:23" ht="16" x14ac:dyDescent="0.2">
      <c r="A52" s="10"/>
      <c r="B52" s="66" t="str">
        <f>HLOOKUP($B$4,Region_Table,16,0)</f>
        <v>Lambeth - N07</v>
      </c>
      <c r="C52" s="79">
        <f>COUNTIFS('capacity data'!$B:$B,'cluster capacity, unallocateds'!B52,'capacity data'!$E:$E,"PO")</f>
        <v>0</v>
      </c>
      <c r="D52" s="79">
        <f>COUNTIFS('capacity data'!$B:$B,'cluster capacity, unallocateds'!B52,'capacity data'!$E:$E,"PO",'capacity data'!$F:$F,"&gt;110%")</f>
        <v>0</v>
      </c>
      <c r="E52" s="70" t="str">
        <f t="shared" si="0"/>
        <v/>
      </c>
      <c r="F52" s="79">
        <f>COUNTIFS('capacity data'!$B:$B,'cluster capacity, unallocateds'!B52,'capacity data'!$E:$E,"PSO")</f>
        <v>0</v>
      </c>
      <c r="G52" s="79">
        <f>COUNTIFS('capacity data'!$B:$B,'cluster capacity, unallocateds'!B52,'capacity data'!$E:$E,"PSO",'capacity data'!$F:$F,"&gt;110%")</f>
        <v>0</v>
      </c>
      <c r="H52" s="70" t="str">
        <f t="shared" si="1"/>
        <v/>
      </c>
      <c r="I52" s="79">
        <f>COUNTIFS('capacity data'!$B:$B,'cluster capacity, unallocateds'!B52,'capacity data'!$E:$E,"PSO",'capacity data'!$F:$F,"&lt;90%")</f>
        <v>0</v>
      </c>
      <c r="J52" s="70" t="str">
        <f t="shared" si="2"/>
        <v/>
      </c>
      <c r="K52" s="79">
        <f>COUNTIFS('capacity data'!$B:$B,'cluster capacity, unallocateds'!B52,'capacity data'!$E:$E,"TPO")</f>
        <v>0</v>
      </c>
      <c r="L52" s="79">
        <f>COUNTIFS('capacity data'!$B:$B,'cluster capacity, unallocateds'!B52,'capacity data'!$E:$E,"TPO",'capacity data'!$F:$F,"&gt;110%")</f>
        <v>0</v>
      </c>
      <c r="M52" s="70" t="str">
        <f t="shared" si="3"/>
        <v/>
      </c>
      <c r="N52" s="2"/>
      <c r="O52" s="2"/>
      <c r="P52" s="2"/>
      <c r="Q52" s="2"/>
      <c r="R52" s="2"/>
      <c r="S52" s="2"/>
      <c r="T52" s="2"/>
      <c r="U52" s="2"/>
      <c r="V52" s="2"/>
      <c r="W52" s="1"/>
    </row>
    <row r="53" spans="1:23" ht="16" x14ac:dyDescent="0.2">
      <c r="A53" s="10"/>
      <c r="B53" s="66" t="str">
        <f>HLOOKUP($B$4,Region_Table,17,0)</f>
        <v>Lewisham and Bromley</v>
      </c>
      <c r="C53" s="79">
        <f>COUNTIFS('capacity data'!$B:$B,'cluster capacity, unallocateds'!B53,'capacity data'!$E:$E,"PO")</f>
        <v>0</v>
      </c>
      <c r="D53" s="79">
        <f>COUNTIFS('capacity data'!$B:$B,'cluster capacity, unallocateds'!B53,'capacity data'!$E:$E,"PO",'capacity data'!$F:$F,"&gt;110%")</f>
        <v>0</v>
      </c>
      <c r="E53" s="70" t="str">
        <f t="shared" si="0"/>
        <v/>
      </c>
      <c r="F53" s="79">
        <f>COUNTIFS('capacity data'!$B:$B,'cluster capacity, unallocateds'!B53,'capacity data'!$E:$E,"PSO")</f>
        <v>0</v>
      </c>
      <c r="G53" s="79">
        <f>COUNTIFS('capacity data'!$B:$B,'cluster capacity, unallocateds'!B53,'capacity data'!$E:$E,"PSO",'capacity data'!$F:$F,"&gt;110%")</f>
        <v>0</v>
      </c>
      <c r="H53" s="70" t="str">
        <f t="shared" si="1"/>
        <v/>
      </c>
      <c r="I53" s="79">
        <f>COUNTIFS('capacity data'!$B:$B,'cluster capacity, unallocateds'!B53,'capacity data'!$E:$E,"PSO",'capacity data'!$F:$F,"&lt;90%")</f>
        <v>0</v>
      </c>
      <c r="J53" s="70" t="str">
        <f t="shared" si="2"/>
        <v/>
      </c>
      <c r="K53" s="79">
        <f>COUNTIFS('capacity data'!$B:$B,'cluster capacity, unallocateds'!B53,'capacity data'!$E:$E,"TPO")</f>
        <v>0</v>
      </c>
      <c r="L53" s="79">
        <f>COUNTIFS('capacity data'!$B:$B,'cluster capacity, unallocateds'!B53,'capacity data'!$E:$E,"TPO",'capacity data'!$F:$F,"&gt;110%")</f>
        <v>0</v>
      </c>
      <c r="M53" s="70" t="str">
        <f t="shared" si="3"/>
        <v/>
      </c>
      <c r="N53" s="2"/>
      <c r="O53" s="2"/>
      <c r="P53" s="2"/>
      <c r="Q53" s="2"/>
      <c r="R53" s="2"/>
      <c r="S53" s="2"/>
      <c r="T53" s="2"/>
      <c r="U53" s="2"/>
      <c r="V53" s="2"/>
      <c r="W53" s="1"/>
    </row>
    <row r="54" spans="1:23" ht="16" x14ac:dyDescent="0.2">
      <c r="A54" s="10"/>
      <c r="B54" s="66" t="str">
        <f>HLOOKUP($B$4,Region_Table,18,0)</f>
        <v>Newham - N07</v>
      </c>
      <c r="C54" s="79">
        <f>COUNTIFS('capacity data'!$B:$B,'cluster capacity, unallocateds'!B54,'capacity data'!$E:$E,"PO")</f>
        <v>0</v>
      </c>
      <c r="D54" s="79">
        <f>COUNTIFS('capacity data'!$B:$B,'cluster capacity, unallocateds'!B54,'capacity data'!$E:$E,"PO",'capacity data'!$F:$F,"&gt;110%")</f>
        <v>0</v>
      </c>
      <c r="E54" s="70" t="str">
        <f t="shared" si="0"/>
        <v/>
      </c>
      <c r="F54" s="79">
        <f>COUNTIFS('capacity data'!$B:$B,'cluster capacity, unallocateds'!B54,'capacity data'!$E:$E,"PSO")</f>
        <v>0</v>
      </c>
      <c r="G54" s="79">
        <f>COUNTIFS('capacity data'!$B:$B,'cluster capacity, unallocateds'!B54,'capacity data'!$E:$E,"PSO",'capacity data'!$F:$F,"&gt;110%")</f>
        <v>0</v>
      </c>
      <c r="H54" s="70" t="str">
        <f t="shared" si="1"/>
        <v/>
      </c>
      <c r="I54" s="79">
        <f>COUNTIFS('capacity data'!$B:$B,'cluster capacity, unallocateds'!B54,'capacity data'!$E:$E,"PSO",'capacity data'!$F:$F,"&lt;90%")</f>
        <v>0</v>
      </c>
      <c r="J54" s="70" t="str">
        <f t="shared" si="2"/>
        <v/>
      </c>
      <c r="K54" s="79">
        <f>COUNTIFS('capacity data'!$B:$B,'cluster capacity, unallocateds'!B54,'capacity data'!$E:$E,"TPO")</f>
        <v>0</v>
      </c>
      <c r="L54" s="79">
        <f>COUNTIFS('capacity data'!$B:$B,'cluster capacity, unallocateds'!B54,'capacity data'!$E:$E,"TPO",'capacity data'!$F:$F,"&gt;110%")</f>
        <v>0</v>
      </c>
      <c r="M54" s="70" t="str">
        <f t="shared" si="3"/>
        <v/>
      </c>
      <c r="N54" s="2"/>
      <c r="O54" s="2"/>
      <c r="P54" s="2"/>
      <c r="Q54" s="2"/>
      <c r="R54" s="2"/>
      <c r="S54" s="2"/>
      <c r="T54" s="2"/>
      <c r="U54" s="2"/>
      <c r="V54" s="2"/>
      <c r="W54" s="1"/>
    </row>
    <row r="55" spans="1:23" ht="16" x14ac:dyDescent="0.2">
      <c r="A55" s="10"/>
      <c r="B55" s="66" t="str">
        <f>HLOOKUP($B$4,Region_Table,19,0)</f>
        <v>Public Protection London</v>
      </c>
      <c r="C55" s="79">
        <f>COUNTIFS('capacity data'!$B:$B,'cluster capacity, unallocateds'!B55,'capacity data'!$E:$E,"PO")</f>
        <v>0</v>
      </c>
      <c r="D55" s="79">
        <f>COUNTIFS('capacity data'!$B:$B,'cluster capacity, unallocateds'!B55,'capacity data'!$E:$E,"PO",'capacity data'!$F:$F,"&gt;110%")</f>
        <v>0</v>
      </c>
      <c r="E55" s="70" t="str">
        <f t="shared" si="0"/>
        <v/>
      </c>
      <c r="F55" s="79">
        <f>COUNTIFS('capacity data'!$B:$B,'cluster capacity, unallocateds'!B55,'capacity data'!$E:$E,"PSO")</f>
        <v>0</v>
      </c>
      <c r="G55" s="79">
        <f>COUNTIFS('capacity data'!$B:$B,'cluster capacity, unallocateds'!B55,'capacity data'!$E:$E,"PSO",'capacity data'!$F:$F,"&gt;110%")</f>
        <v>0</v>
      </c>
      <c r="H55" s="70" t="str">
        <f t="shared" si="1"/>
        <v/>
      </c>
      <c r="I55" s="79">
        <f>COUNTIFS('capacity data'!$B:$B,'cluster capacity, unallocateds'!B55,'capacity data'!$E:$E,"PSO",'capacity data'!$F:$F,"&lt;90%")</f>
        <v>0</v>
      </c>
      <c r="J55" s="70" t="str">
        <f t="shared" si="2"/>
        <v/>
      </c>
      <c r="K55" s="79">
        <f>COUNTIFS('capacity data'!$B:$B,'cluster capacity, unallocateds'!B55,'capacity data'!$E:$E,"TPO")</f>
        <v>0</v>
      </c>
      <c r="L55" s="79">
        <f>COUNTIFS('capacity data'!$B:$B,'cluster capacity, unallocateds'!B55,'capacity data'!$E:$E,"TPO",'capacity data'!$F:$F,"&gt;110%")</f>
        <v>0</v>
      </c>
      <c r="M55" s="70" t="str">
        <f t="shared" si="3"/>
        <v/>
      </c>
      <c r="N55" s="2"/>
      <c r="O55" s="2"/>
      <c r="P55" s="2"/>
      <c r="Q55" s="2"/>
      <c r="R55" s="2"/>
      <c r="S55" s="2"/>
      <c r="T55" s="2"/>
      <c r="U55" s="2"/>
      <c r="V55" s="2"/>
      <c r="W55" s="1"/>
    </row>
    <row r="56" spans="1:23" ht="16" x14ac:dyDescent="0.2">
      <c r="A56" s="10"/>
      <c r="B56" s="66" t="str">
        <f>HLOOKUP($B$4,Region_Table,20,0)</f>
        <v>Redbridge and Waltham Forest</v>
      </c>
      <c r="C56" s="79">
        <f>COUNTIFS('capacity data'!$B:$B,'cluster capacity, unallocateds'!B56,'capacity data'!$E:$E,"PO")</f>
        <v>0</v>
      </c>
      <c r="D56" s="79">
        <f>COUNTIFS('capacity data'!$B:$B,'cluster capacity, unallocateds'!B56,'capacity data'!$E:$E,"PO",'capacity data'!$F:$F,"&gt;110%")</f>
        <v>0</v>
      </c>
      <c r="E56" s="70" t="str">
        <f t="shared" si="0"/>
        <v/>
      </c>
      <c r="F56" s="79">
        <f>COUNTIFS('capacity data'!$B:$B,'cluster capacity, unallocateds'!B56,'capacity data'!$E:$E,"PSO")</f>
        <v>0</v>
      </c>
      <c r="G56" s="79">
        <f>COUNTIFS('capacity data'!$B:$B,'cluster capacity, unallocateds'!B56,'capacity data'!$E:$E,"PSO",'capacity data'!$F:$F,"&gt;110%")</f>
        <v>0</v>
      </c>
      <c r="H56" s="70" t="str">
        <f t="shared" si="1"/>
        <v/>
      </c>
      <c r="I56" s="79">
        <f>COUNTIFS('capacity data'!$B:$B,'cluster capacity, unallocateds'!B56,'capacity data'!$E:$E,"PSO",'capacity data'!$F:$F,"&lt;90%")</f>
        <v>0</v>
      </c>
      <c r="J56" s="70" t="str">
        <f t="shared" si="2"/>
        <v/>
      </c>
      <c r="K56" s="79">
        <f>COUNTIFS('capacity data'!$B:$B,'cluster capacity, unallocateds'!B56,'capacity data'!$E:$E,"TPO")</f>
        <v>0</v>
      </c>
      <c r="L56" s="79">
        <f>COUNTIFS('capacity data'!$B:$B,'cluster capacity, unallocateds'!B56,'capacity data'!$E:$E,"TPO",'capacity data'!$F:$F,"&gt;110%")</f>
        <v>0</v>
      </c>
      <c r="M56" s="70" t="str">
        <f t="shared" si="3"/>
        <v/>
      </c>
      <c r="N56" s="2"/>
      <c r="O56" s="2"/>
      <c r="P56" s="2"/>
      <c r="Q56" s="2"/>
      <c r="R56" s="2"/>
      <c r="S56" s="2"/>
      <c r="T56" s="2"/>
      <c r="U56" s="2"/>
      <c r="V56" s="2"/>
      <c r="W56" s="1"/>
    </row>
    <row r="57" spans="1:23" ht="16" x14ac:dyDescent="0.2">
      <c r="A57" s="10"/>
      <c r="B57" s="66" t="str">
        <f>HLOOKUP($B$4,Region_Table,21,0)</f>
        <v>Southwark - N07</v>
      </c>
      <c r="C57" s="79">
        <f>COUNTIFS('capacity data'!$B:$B,'cluster capacity, unallocateds'!B57,'capacity data'!$E:$E,"PO")</f>
        <v>0</v>
      </c>
      <c r="D57" s="79">
        <f>COUNTIFS('capacity data'!$B:$B,'cluster capacity, unallocateds'!B57,'capacity data'!$E:$E,"PO",'capacity data'!$F:$F,"&gt;110%")</f>
        <v>0</v>
      </c>
      <c r="E57" s="70" t="str">
        <f t="shared" ref="E57:E64" si="4">IFERROR((D57/C57),"")</f>
        <v/>
      </c>
      <c r="F57" s="79">
        <f>COUNTIFS('capacity data'!$B:$B,'cluster capacity, unallocateds'!B57,'capacity data'!$E:$E,"PSO")</f>
        <v>0</v>
      </c>
      <c r="G57" s="79">
        <f>COUNTIFS('capacity data'!$B:$B,'cluster capacity, unallocateds'!B57,'capacity data'!$E:$E,"PSO",'capacity data'!$F:$F,"&gt;110%")</f>
        <v>0</v>
      </c>
      <c r="H57" s="70" t="str">
        <f t="shared" ref="H57:H64" si="5">IFERROR((G57/F57),"")</f>
        <v/>
      </c>
      <c r="I57" s="79">
        <f>COUNTIFS('capacity data'!$B:$B,'cluster capacity, unallocateds'!B57,'capacity data'!$E:$E,"PSO",'capacity data'!$F:$F,"&lt;90%")</f>
        <v>0</v>
      </c>
      <c r="J57" s="70" t="str">
        <f t="shared" ref="J57:J64" si="6">IFERROR((I57/F57),"")</f>
        <v/>
      </c>
      <c r="K57" s="79">
        <f>COUNTIFS('capacity data'!$B:$B,'cluster capacity, unallocateds'!B57,'capacity data'!$E:$E,"TPO")</f>
        <v>0</v>
      </c>
      <c r="L57" s="79">
        <f>COUNTIFS('capacity data'!$B:$B,'cluster capacity, unallocateds'!B57,'capacity data'!$E:$E,"TPO",'capacity data'!$F:$F,"&gt;110%")</f>
        <v>0</v>
      </c>
      <c r="M57" s="70" t="str">
        <f t="shared" ref="M57:M64" si="7">IFERROR((L57/K57),"")</f>
        <v/>
      </c>
      <c r="N57" s="2"/>
      <c r="O57" s="2"/>
      <c r="P57" s="2"/>
      <c r="Q57" s="2"/>
      <c r="R57" s="2"/>
      <c r="S57" s="2"/>
      <c r="T57" s="2"/>
      <c r="U57" s="2"/>
      <c r="V57" s="2"/>
      <c r="W57" s="1"/>
    </row>
    <row r="58" spans="1:23" ht="16" x14ac:dyDescent="0.2">
      <c r="A58" s="10"/>
      <c r="B58" s="66" t="str">
        <f>HLOOKUP($B$4,Region_Table,22,0)</f>
        <v>Tower Hamlets</v>
      </c>
      <c r="C58" s="79">
        <f>COUNTIFS('capacity data'!$B:$B,'cluster capacity, unallocateds'!B58,'capacity data'!$E:$E,"PO")</f>
        <v>0</v>
      </c>
      <c r="D58" s="79">
        <f>COUNTIFS('capacity data'!$B:$B,'cluster capacity, unallocateds'!B58,'capacity data'!$E:$E,"PO",'capacity data'!$F:$F,"&gt;110%")</f>
        <v>0</v>
      </c>
      <c r="E58" s="70" t="str">
        <f t="shared" si="4"/>
        <v/>
      </c>
      <c r="F58" s="79">
        <f>COUNTIFS('capacity data'!$B:$B,'cluster capacity, unallocateds'!B58,'capacity data'!$E:$E,"PSO")</f>
        <v>0</v>
      </c>
      <c r="G58" s="79">
        <f>COUNTIFS('capacity data'!$B:$B,'cluster capacity, unallocateds'!B58,'capacity data'!$E:$E,"PSO",'capacity data'!$F:$F,"&gt;110%")</f>
        <v>0</v>
      </c>
      <c r="H58" s="70" t="str">
        <f t="shared" si="5"/>
        <v/>
      </c>
      <c r="I58" s="79">
        <f>COUNTIFS('capacity data'!$B:$B,'cluster capacity, unallocateds'!B58,'capacity data'!$E:$E,"PSO",'capacity data'!$F:$F,"&lt;90%")</f>
        <v>0</v>
      </c>
      <c r="J58" s="70" t="str">
        <f t="shared" si="6"/>
        <v/>
      </c>
      <c r="K58" s="79">
        <f>COUNTIFS('capacity data'!$B:$B,'cluster capacity, unallocateds'!B58,'capacity data'!$E:$E,"TPO")</f>
        <v>0</v>
      </c>
      <c r="L58" s="79">
        <f>COUNTIFS('capacity data'!$B:$B,'cluster capacity, unallocateds'!B58,'capacity data'!$E:$E,"TPO",'capacity data'!$F:$F,"&gt;110%")</f>
        <v>0</v>
      </c>
      <c r="M58" s="70" t="str">
        <f t="shared" si="7"/>
        <v/>
      </c>
      <c r="N58" s="2"/>
      <c r="O58" s="2"/>
      <c r="P58" s="2"/>
      <c r="Q58" s="2"/>
      <c r="R58" s="2"/>
      <c r="S58" s="2"/>
      <c r="T58" s="2"/>
      <c r="U58" s="2"/>
      <c r="V58" s="2"/>
      <c r="W58" s="1"/>
    </row>
    <row r="59" spans="1:23" ht="16" x14ac:dyDescent="0.2">
      <c r="A59" s="10"/>
      <c r="B59" s="66" t="str">
        <f>HLOOKUP($B$4,Region_Table,23,0)</f>
        <v>Unallocated Level 2(N07)</v>
      </c>
      <c r="C59" s="79">
        <f>COUNTIFS('capacity data'!$B:$B,'cluster capacity, unallocateds'!B59,'capacity data'!$E:$E,"PO")</f>
        <v>0</v>
      </c>
      <c r="D59" s="79">
        <f>COUNTIFS('capacity data'!$B:$B,'cluster capacity, unallocateds'!B59,'capacity data'!$E:$E,"PO",'capacity data'!$F:$F,"&gt;110%")</f>
        <v>0</v>
      </c>
      <c r="E59" s="70" t="str">
        <f t="shared" si="4"/>
        <v/>
      </c>
      <c r="F59" s="79">
        <f>COUNTIFS('capacity data'!$B:$B,'cluster capacity, unallocateds'!B59,'capacity data'!$E:$E,"PSO")</f>
        <v>0</v>
      </c>
      <c r="G59" s="79">
        <f>COUNTIFS('capacity data'!$B:$B,'cluster capacity, unallocateds'!B59,'capacity data'!$E:$E,"PSO",'capacity data'!$F:$F,"&gt;110%")</f>
        <v>0</v>
      </c>
      <c r="H59" s="70" t="str">
        <f t="shared" si="5"/>
        <v/>
      </c>
      <c r="I59" s="79">
        <f>COUNTIFS('capacity data'!$B:$B,'cluster capacity, unallocateds'!B59,'capacity data'!$E:$E,"PSO",'capacity data'!$F:$F,"&lt;90%")</f>
        <v>0</v>
      </c>
      <c r="J59" s="70" t="str">
        <f t="shared" si="6"/>
        <v/>
      </c>
      <c r="K59" s="79">
        <f>COUNTIFS('capacity data'!$B:$B,'cluster capacity, unallocateds'!B59,'capacity data'!$E:$E,"TPO")</f>
        <v>0</v>
      </c>
      <c r="L59" s="79">
        <f>COUNTIFS('capacity data'!$B:$B,'cluster capacity, unallocateds'!B59,'capacity data'!$E:$E,"TPO",'capacity data'!$F:$F,"&gt;110%")</f>
        <v>0</v>
      </c>
      <c r="M59" s="70" t="str">
        <f t="shared" si="7"/>
        <v/>
      </c>
      <c r="N59" s="2"/>
      <c r="O59" s="2"/>
      <c r="P59" s="2"/>
      <c r="Q59" s="2"/>
      <c r="R59" s="2"/>
      <c r="S59" s="2"/>
      <c r="T59" s="2"/>
      <c r="U59" s="2"/>
      <c r="V59" s="2"/>
      <c r="W59" s="1"/>
    </row>
    <row r="60" spans="1:23" ht="16" x14ac:dyDescent="0.2">
      <c r="A60" s="10"/>
      <c r="B60" s="66" t="str">
        <f>HLOOKUP($B$4,Region_Table,24,0)</f>
        <v>Unpaid Work and Attendance Centres - N07</v>
      </c>
      <c r="C60" s="79">
        <f>COUNTIFS('capacity data'!$B:$B,'cluster capacity, unallocateds'!B60,'capacity data'!$E:$E,"PO")</f>
        <v>0</v>
      </c>
      <c r="D60" s="79">
        <f>COUNTIFS('capacity data'!$B:$B,'cluster capacity, unallocateds'!B60,'capacity data'!$E:$E,"PO",'capacity data'!$F:$F,"&gt;110%")</f>
        <v>0</v>
      </c>
      <c r="E60" s="70" t="str">
        <f t="shared" si="4"/>
        <v/>
      </c>
      <c r="F60" s="79">
        <f>COUNTIFS('capacity data'!$B:$B,'cluster capacity, unallocateds'!B60,'capacity data'!$E:$E,"PSO")</f>
        <v>0</v>
      </c>
      <c r="G60" s="79">
        <f>COUNTIFS('capacity data'!$B:$B,'cluster capacity, unallocateds'!B60,'capacity data'!$E:$E,"PSO",'capacity data'!$F:$F,"&gt;110%")</f>
        <v>0</v>
      </c>
      <c r="H60" s="70" t="str">
        <f t="shared" si="5"/>
        <v/>
      </c>
      <c r="I60" s="79">
        <f>COUNTIFS('capacity data'!$B:$B,'cluster capacity, unallocateds'!B60,'capacity data'!$E:$E,"PSO",'capacity data'!$F:$F,"&lt;90%")</f>
        <v>0</v>
      </c>
      <c r="J60" s="70" t="str">
        <f t="shared" si="6"/>
        <v/>
      </c>
      <c r="K60" s="79">
        <f>COUNTIFS('capacity data'!$B:$B,'cluster capacity, unallocateds'!B60,'capacity data'!$E:$E,"TPO")</f>
        <v>0</v>
      </c>
      <c r="L60" s="79">
        <f>COUNTIFS('capacity data'!$B:$B,'cluster capacity, unallocateds'!B60,'capacity data'!$E:$E,"TPO",'capacity data'!$F:$F,"&gt;110%")</f>
        <v>0</v>
      </c>
      <c r="M60" s="70" t="str">
        <f t="shared" si="7"/>
        <v/>
      </c>
      <c r="N60" s="2"/>
      <c r="O60" s="2"/>
      <c r="P60" s="2"/>
      <c r="Q60" s="2"/>
      <c r="R60" s="2"/>
      <c r="S60" s="2"/>
      <c r="T60" s="2"/>
      <c r="U60" s="2"/>
      <c r="V60" s="2"/>
      <c r="W60" s="1"/>
    </row>
    <row r="61" spans="1:23" ht="16" x14ac:dyDescent="0.2">
      <c r="A61" s="10"/>
      <c r="B61" s="66" t="str">
        <f>HLOOKUP($B$4,Region_Table,25,0)</f>
        <v>Wandsworth, Merton and Sutton</v>
      </c>
      <c r="C61" s="79">
        <f>COUNTIFS('capacity data'!$B:$B,'cluster capacity, unallocateds'!B61,'capacity data'!$E:$E,"PO")</f>
        <v>0</v>
      </c>
      <c r="D61" s="79">
        <f>COUNTIFS('capacity data'!$B:$B,'cluster capacity, unallocateds'!B61,'capacity data'!$E:$E,"PO",'capacity data'!$F:$F,"&gt;110%")</f>
        <v>0</v>
      </c>
      <c r="E61" s="70" t="str">
        <f t="shared" si="4"/>
        <v/>
      </c>
      <c r="F61" s="79">
        <f>COUNTIFS('capacity data'!$B:$B,'cluster capacity, unallocateds'!B61,'capacity data'!$E:$E,"PSO")</f>
        <v>0</v>
      </c>
      <c r="G61" s="79">
        <f>COUNTIFS('capacity data'!$B:$B,'cluster capacity, unallocateds'!B61,'capacity data'!$E:$E,"PSO",'capacity data'!$F:$F,"&gt;110%")</f>
        <v>0</v>
      </c>
      <c r="H61" s="70" t="str">
        <f t="shared" si="5"/>
        <v/>
      </c>
      <c r="I61" s="79">
        <f>COUNTIFS('capacity data'!$B:$B,'cluster capacity, unallocateds'!B61,'capacity data'!$E:$E,"PSO",'capacity data'!$F:$F,"&lt;90%")</f>
        <v>0</v>
      </c>
      <c r="J61" s="70" t="str">
        <f t="shared" si="6"/>
        <v/>
      </c>
      <c r="K61" s="79">
        <f>COUNTIFS('capacity data'!$B:$B,'cluster capacity, unallocateds'!B61,'capacity data'!$E:$E,"TPO")</f>
        <v>0</v>
      </c>
      <c r="L61" s="79">
        <f>COUNTIFS('capacity data'!$B:$B,'cluster capacity, unallocateds'!B61,'capacity data'!$E:$E,"TPO",'capacity data'!$F:$F,"&gt;110%")</f>
        <v>0</v>
      </c>
      <c r="M61" s="70" t="str">
        <f t="shared" si="7"/>
        <v/>
      </c>
      <c r="N61" s="2"/>
      <c r="O61" s="2"/>
      <c r="P61" s="2"/>
      <c r="Q61" s="2"/>
      <c r="R61" s="2"/>
      <c r="S61" s="2"/>
      <c r="T61" s="2"/>
      <c r="U61" s="2"/>
      <c r="V61" s="2"/>
      <c r="W61" s="1"/>
    </row>
    <row r="62" spans="1:23" ht="16" x14ac:dyDescent="0.2">
      <c r="A62" s="10"/>
      <c r="B62" s="66">
        <f>HLOOKUP($B$4,Region_Table,26,0)</f>
        <v>0</v>
      </c>
      <c r="C62" s="79">
        <f>COUNTIFS('capacity data'!$B:$B,'cluster capacity, unallocateds'!B62,'capacity data'!$E:$E,"PO")</f>
        <v>0</v>
      </c>
      <c r="D62" s="79">
        <f>COUNTIFS('capacity data'!$B:$B,'cluster capacity, unallocateds'!B62,'capacity data'!$E:$E,"PO",'capacity data'!$F:$F,"&gt;110%")</f>
        <v>0</v>
      </c>
      <c r="E62" s="70" t="str">
        <f t="shared" si="4"/>
        <v/>
      </c>
      <c r="F62" s="79">
        <f>COUNTIFS('capacity data'!$B:$B,'cluster capacity, unallocateds'!B62,'capacity data'!$E:$E,"PSO")</f>
        <v>0</v>
      </c>
      <c r="G62" s="79">
        <f>COUNTIFS('capacity data'!$B:$B,'cluster capacity, unallocateds'!B62,'capacity data'!$E:$E,"PSO",'capacity data'!$F:$F,"&gt;110%")</f>
        <v>0</v>
      </c>
      <c r="H62" s="70" t="str">
        <f t="shared" si="5"/>
        <v/>
      </c>
      <c r="I62" s="79">
        <f>COUNTIFS('capacity data'!$B:$B,'cluster capacity, unallocateds'!B62,'capacity data'!$E:$E,"PSO",'capacity data'!$F:$F,"&lt;90%")</f>
        <v>0</v>
      </c>
      <c r="J62" s="70" t="str">
        <f t="shared" si="6"/>
        <v/>
      </c>
      <c r="K62" s="79">
        <f>COUNTIFS('capacity data'!$B:$B,'cluster capacity, unallocateds'!B62,'capacity data'!$E:$E,"TPO")</f>
        <v>0</v>
      </c>
      <c r="L62" s="79">
        <f>COUNTIFS('capacity data'!$B:$B,'cluster capacity, unallocateds'!B62,'capacity data'!$E:$E,"TPO",'capacity data'!$F:$F,"&gt;110%")</f>
        <v>0</v>
      </c>
      <c r="M62" s="70" t="str">
        <f t="shared" si="7"/>
        <v/>
      </c>
      <c r="N62" s="2"/>
      <c r="O62" s="2"/>
      <c r="P62" s="2"/>
      <c r="Q62" s="2"/>
      <c r="R62" s="2"/>
      <c r="S62" s="2"/>
      <c r="T62" s="2"/>
      <c r="U62" s="2"/>
      <c r="V62" s="2"/>
      <c r="W62" s="1"/>
    </row>
    <row r="63" spans="1:23" ht="16" x14ac:dyDescent="0.2">
      <c r="A63" s="10"/>
      <c r="B63" s="66">
        <f>HLOOKUP($B$4,Region_Table,27,0)</f>
        <v>0</v>
      </c>
      <c r="C63" s="79">
        <f>COUNTIFS('capacity data'!$B:$B,'cluster capacity, unallocateds'!B63,'capacity data'!$E:$E,"PO")</f>
        <v>0</v>
      </c>
      <c r="D63" s="79">
        <f>COUNTIFS('capacity data'!$B:$B,'cluster capacity, unallocateds'!B63,'capacity data'!$E:$E,"PO",'capacity data'!$F:$F,"&gt;110%")</f>
        <v>0</v>
      </c>
      <c r="E63" s="70" t="str">
        <f t="shared" si="4"/>
        <v/>
      </c>
      <c r="F63" s="79">
        <f>COUNTIFS('capacity data'!$B:$B,'cluster capacity, unallocateds'!B63,'capacity data'!$E:$E,"PSO")</f>
        <v>0</v>
      </c>
      <c r="G63" s="79">
        <f>COUNTIFS('capacity data'!$B:$B,'cluster capacity, unallocateds'!B63,'capacity data'!$E:$E,"PSO",'capacity data'!$F:$F,"&gt;110%")</f>
        <v>0</v>
      </c>
      <c r="H63" s="70" t="str">
        <f t="shared" si="5"/>
        <v/>
      </c>
      <c r="I63" s="79">
        <f>COUNTIFS('capacity data'!$B:$B,'cluster capacity, unallocateds'!B63,'capacity data'!$E:$E,"PSO",'capacity data'!$F:$F,"&lt;90%")</f>
        <v>0</v>
      </c>
      <c r="J63" s="70" t="str">
        <f t="shared" si="6"/>
        <v/>
      </c>
      <c r="K63" s="79">
        <f>COUNTIFS('capacity data'!$B:$B,'cluster capacity, unallocateds'!B63,'capacity data'!$E:$E,"TPO")</f>
        <v>0</v>
      </c>
      <c r="L63" s="79">
        <f>COUNTIFS('capacity data'!$B:$B,'cluster capacity, unallocateds'!B63,'capacity data'!$E:$E,"TPO",'capacity data'!$F:$F,"&gt;110%")</f>
        <v>0</v>
      </c>
      <c r="M63" s="70" t="str">
        <f t="shared" si="7"/>
        <v/>
      </c>
      <c r="N63" s="2"/>
      <c r="O63" s="2"/>
      <c r="P63" s="2"/>
      <c r="Q63" s="2"/>
      <c r="R63" s="2"/>
      <c r="S63" s="2"/>
      <c r="T63" s="2"/>
      <c r="U63" s="2"/>
      <c r="V63" s="2"/>
      <c r="W63" s="1"/>
    </row>
    <row r="64" spans="1:23" ht="16" x14ac:dyDescent="0.2">
      <c r="A64" s="10"/>
      <c r="B64" s="66">
        <f>HLOOKUP($B$4,Region_Table,28,0)</f>
        <v>0</v>
      </c>
      <c r="C64" s="79">
        <f>COUNTIFS('capacity data'!$B:$B,'cluster capacity, unallocateds'!B64,'capacity data'!$E:$E,"PO")</f>
        <v>0</v>
      </c>
      <c r="D64" s="79">
        <f>COUNTIFS('capacity data'!$B:$B,'cluster capacity, unallocateds'!B64,'capacity data'!$E:$E,"PO",'capacity data'!$F:$F,"&gt;110%")</f>
        <v>0</v>
      </c>
      <c r="E64" s="70" t="str">
        <f t="shared" si="4"/>
        <v/>
      </c>
      <c r="F64" s="79">
        <f>COUNTIFS('capacity data'!$B:$B,'cluster capacity, unallocateds'!B64,'capacity data'!$E:$E,"PSO")</f>
        <v>0</v>
      </c>
      <c r="G64" s="79">
        <f>COUNTIFS('capacity data'!$B:$B,'cluster capacity, unallocateds'!B64,'capacity data'!$E:$E,"PSO",'capacity data'!$F:$F,"&gt;110%")</f>
        <v>0</v>
      </c>
      <c r="H64" s="70" t="str">
        <f t="shared" si="5"/>
        <v/>
      </c>
      <c r="I64" s="79">
        <f>COUNTIFS('capacity data'!$B:$B,'cluster capacity, unallocateds'!B64,'capacity data'!$E:$E,"PSO",'capacity data'!$F:$F,"&lt;90%")</f>
        <v>0</v>
      </c>
      <c r="J64" s="70" t="str">
        <f t="shared" si="6"/>
        <v/>
      </c>
      <c r="K64" s="79">
        <f>COUNTIFS('capacity data'!$B:$B,'cluster capacity, unallocateds'!B64,'capacity data'!$E:$E,"TPO")</f>
        <v>0</v>
      </c>
      <c r="L64" s="79">
        <f>COUNTIFS('capacity data'!$B:$B,'cluster capacity, unallocateds'!B64,'capacity data'!$E:$E,"TPO",'capacity data'!$F:$F,"&gt;110%")</f>
        <v>0</v>
      </c>
      <c r="M64" s="70" t="str">
        <f t="shared" si="7"/>
        <v/>
      </c>
      <c r="N64" s="2"/>
      <c r="O64" s="2"/>
      <c r="P64" s="2"/>
      <c r="Q64" s="2"/>
      <c r="R64" s="2"/>
      <c r="S64" s="2"/>
      <c r="T64" s="2"/>
      <c r="U64" s="2"/>
      <c r="V64" s="2"/>
      <c r="W64" s="1"/>
    </row>
    <row r="65" spans="1:23" ht="55.5" customHeight="1" x14ac:dyDescent="0.2">
      <c r="A65" s="10"/>
      <c r="B65" s="1"/>
      <c r="C65" s="481"/>
      <c r="D65" s="482"/>
      <c r="E65" s="482"/>
      <c r="F65" s="482"/>
      <c r="G65" s="482"/>
      <c r="H65" s="482"/>
      <c r="I65" s="482"/>
      <c r="J65" s="482"/>
      <c r="K65" s="482"/>
      <c r="L65" s="2"/>
      <c r="M65" s="2"/>
      <c r="N65" s="2"/>
      <c r="O65" s="2"/>
      <c r="P65" s="2"/>
      <c r="Q65" s="2"/>
      <c r="R65" s="2"/>
      <c r="S65" s="2"/>
      <c r="T65" s="2"/>
      <c r="U65" s="2"/>
      <c r="V65" s="2"/>
      <c r="W65" s="1"/>
    </row>
    <row r="66" spans="1:23" ht="72.75" customHeight="1" x14ac:dyDescent="0.2">
      <c r="A66" s="10"/>
      <c r="B66" s="227" t="s">
        <v>1277</v>
      </c>
      <c r="C66" s="227" t="s">
        <v>1137</v>
      </c>
      <c r="D66" s="227" t="s">
        <v>1138</v>
      </c>
      <c r="E66" s="227" t="s">
        <v>1139</v>
      </c>
      <c r="F66" s="227" t="s">
        <v>1140</v>
      </c>
      <c r="G66" s="227" t="s">
        <v>1141</v>
      </c>
      <c r="H66" s="227" t="s">
        <v>1142</v>
      </c>
      <c r="I66" s="227" t="s">
        <v>1143</v>
      </c>
      <c r="J66" s="227" t="s">
        <v>1144</v>
      </c>
      <c r="K66" s="227" t="s">
        <v>1145</v>
      </c>
      <c r="O66" s="2"/>
      <c r="P66" s="2"/>
      <c r="Q66" s="2"/>
      <c r="R66" s="2"/>
      <c r="S66" s="2"/>
      <c r="T66" s="2"/>
      <c r="U66" s="2"/>
      <c r="V66" s="2"/>
      <c r="W66" s="1"/>
    </row>
    <row r="67" spans="1:23" ht="16" x14ac:dyDescent="0.2">
      <c r="A67" s="10"/>
      <c r="B67" s="162" t="s">
        <v>1223</v>
      </c>
      <c r="C67" s="169">
        <f>SUMIF('capacity data'!E:E,"PO",'capacity data'!I:I)</f>
        <v>0</v>
      </c>
      <c r="D67" s="169">
        <f>SUMIF('capacity data'!E:E,"PO",'capacity data'!J:J)</f>
        <v>0</v>
      </c>
      <c r="E67" s="170" t="e">
        <f>D67/C67</f>
        <v>#DIV/0!</v>
      </c>
      <c r="F67" s="169">
        <f>SUMIF('capacity data'!E:E,"PSO",'capacity data'!I:I)</f>
        <v>0</v>
      </c>
      <c r="G67" s="169">
        <f>SUMIF('capacity data'!E:E,"PSO",'capacity data'!J:J)</f>
        <v>0</v>
      </c>
      <c r="H67" s="170" t="e">
        <f>G67/F67</f>
        <v>#DIV/0!</v>
      </c>
      <c r="I67" s="169">
        <f>SUMIF('capacity data'!E:E,"TPO",'capacity data'!I:I)</f>
        <v>0</v>
      </c>
      <c r="J67" s="169">
        <f>SUMIF('capacity data'!E:E,"TPO",'capacity data'!J:J)</f>
        <v>0</v>
      </c>
      <c r="K67" s="170" t="e">
        <f>J67/I67</f>
        <v>#DIV/0!</v>
      </c>
      <c r="O67" s="2"/>
      <c r="P67" s="2"/>
      <c r="Q67" s="2"/>
      <c r="R67" s="2"/>
      <c r="S67" s="2"/>
      <c r="T67" s="2"/>
      <c r="U67" s="2"/>
      <c r="V67" s="2"/>
      <c r="W67" s="1"/>
    </row>
    <row r="68" spans="1:23" ht="16" x14ac:dyDescent="0.2">
      <c r="A68" s="10"/>
      <c r="B68" s="66" t="str">
        <f>HLOOKUP($B$4,Region_Table,2,0)</f>
        <v>Barking and Dagenham and Havering</v>
      </c>
      <c r="C68" s="98">
        <f>SUMIFS('capacity data'!I:I,'capacity data'!E:E,"PO",'capacity data'!B:B,'cluster capacity, unallocateds'!B68)</f>
        <v>0</v>
      </c>
      <c r="D68" s="98">
        <f>SUMIFS('capacity data'!J:J,'capacity data'!E:E,"PO",'capacity data'!B:B,'cluster capacity, unallocateds'!B68)</f>
        <v>0</v>
      </c>
      <c r="E68" s="170" t="str">
        <f>IFERROR(D68/C68,"")</f>
        <v/>
      </c>
      <c r="F68" s="98">
        <f>SUMIFS('capacity data'!I:I,'capacity data'!E:E,"PSO",'capacity data'!B:B,'cluster capacity, unallocateds'!B68)</f>
        <v>0</v>
      </c>
      <c r="G68" s="98">
        <f>SUMIFS('capacity data'!J:J,'capacity data'!E:E,"PSO",'capacity data'!B:B,'cluster capacity, unallocateds'!B68)</f>
        <v>0</v>
      </c>
      <c r="H68" s="170" t="str">
        <f>IFERROR(G68/F68,"")</f>
        <v/>
      </c>
      <c r="I68" s="98">
        <f>SUMIFS('capacity data'!I:I,'capacity data'!E:E,"TPO",'capacity data'!B:B,'cluster capacity, unallocateds'!B68)</f>
        <v>0</v>
      </c>
      <c r="J68" s="98">
        <f>SUMIFS('capacity data'!J:J,'capacity data'!E:E,"TPO",'capacity data'!B:B,'cluster capacity, unallocateds'!B68)</f>
        <v>0</v>
      </c>
      <c r="K68" s="170" t="str">
        <f>IFERROR(J68/I68,"")</f>
        <v/>
      </c>
      <c r="O68" s="2"/>
      <c r="P68" s="2"/>
      <c r="Q68" s="2"/>
      <c r="R68" s="2"/>
      <c r="S68" s="2"/>
      <c r="T68" s="2"/>
      <c r="U68" s="2"/>
      <c r="V68" s="2"/>
      <c r="W68" s="1"/>
    </row>
    <row r="69" spans="1:23" ht="16" x14ac:dyDescent="0.2">
      <c r="A69" s="10"/>
      <c r="B69" s="66" t="str">
        <f>HLOOKUP($B$4,Region_Table,3,0)</f>
        <v>Brent - N07</v>
      </c>
      <c r="C69" s="98">
        <f>SUMIFS('capacity data'!I:I,'capacity data'!E:E,"PO",'capacity data'!B:B,'cluster capacity, unallocateds'!B69)</f>
        <v>0</v>
      </c>
      <c r="D69" s="98">
        <f>SUMIFS('capacity data'!J:J,'capacity data'!E:E,"PO",'capacity data'!B:B,'cluster capacity, unallocateds'!B69)</f>
        <v>0</v>
      </c>
      <c r="E69" s="170" t="str">
        <f t="shared" ref="E69:E83" si="8">IFERROR(D69/C69,"")</f>
        <v/>
      </c>
      <c r="F69" s="98">
        <f>SUMIFS('capacity data'!I:I,'capacity data'!E:E,"PSO",'capacity data'!B:B,'cluster capacity, unallocateds'!B69)</f>
        <v>0</v>
      </c>
      <c r="G69" s="98">
        <f>SUMIFS('capacity data'!J:J,'capacity data'!E:E,"PSO",'capacity data'!B:B,'cluster capacity, unallocateds'!B69)</f>
        <v>0</v>
      </c>
      <c r="H69" s="170" t="str">
        <f t="shared" ref="H69:H83" si="9">IFERROR(G69/F69,"")</f>
        <v/>
      </c>
      <c r="I69" s="98">
        <f>SUMIFS('capacity data'!I:I,'capacity data'!E:E,"TPO",'capacity data'!B:B,'cluster capacity, unallocateds'!B69)</f>
        <v>0</v>
      </c>
      <c r="J69" s="98">
        <f>SUMIFS('capacity data'!J:J,'capacity data'!E:E,"TPO",'capacity data'!B:B,'cluster capacity, unallocateds'!B69)</f>
        <v>0</v>
      </c>
      <c r="K69" s="170" t="str">
        <f t="shared" ref="K69:K83" si="10">IFERROR(J69/I69,"")</f>
        <v/>
      </c>
      <c r="O69" s="2"/>
      <c r="P69" s="2"/>
      <c r="Q69" s="2"/>
      <c r="R69" s="2"/>
      <c r="S69" s="2"/>
      <c r="T69" s="2"/>
      <c r="U69" s="2"/>
      <c r="V69" s="2"/>
      <c r="W69" s="1"/>
    </row>
    <row r="70" spans="1:23" x14ac:dyDescent="0.15">
      <c r="B70" s="66" t="str">
        <f>HLOOKUP($B$4,Region_Table,4,0)</f>
        <v>Camden, Islington</v>
      </c>
      <c r="C70" s="98">
        <f>SUMIFS('capacity data'!I:I,'capacity data'!E:E,"PO",'capacity data'!B:B,'cluster capacity, unallocateds'!B70)</f>
        <v>0</v>
      </c>
      <c r="D70" s="98">
        <f>SUMIFS('capacity data'!J:J,'capacity data'!E:E,"PO",'capacity data'!B:B,'cluster capacity, unallocateds'!B70)</f>
        <v>0</v>
      </c>
      <c r="E70" s="170" t="str">
        <f t="shared" si="8"/>
        <v/>
      </c>
      <c r="F70" s="98">
        <f>SUMIFS('capacity data'!I:I,'capacity data'!E:E,"PSO",'capacity data'!B:B,'cluster capacity, unallocateds'!B70)</f>
        <v>0</v>
      </c>
      <c r="G70" s="98">
        <f>SUMIFS('capacity data'!J:J,'capacity data'!E:E,"PSO",'capacity data'!B:B,'cluster capacity, unallocateds'!B70)</f>
        <v>0</v>
      </c>
      <c r="H70" s="170" t="str">
        <f t="shared" si="9"/>
        <v/>
      </c>
      <c r="I70" s="98">
        <f>SUMIFS('capacity data'!I:I,'capacity data'!E:E,"TPO",'capacity data'!B:B,'cluster capacity, unallocateds'!B70)</f>
        <v>0</v>
      </c>
      <c r="J70" s="98">
        <f>SUMIFS('capacity data'!J:J,'capacity data'!E:E,"TPO",'capacity data'!B:B,'cluster capacity, unallocateds'!B70)</f>
        <v>0</v>
      </c>
      <c r="K70" s="170" t="str">
        <f t="shared" si="10"/>
        <v/>
      </c>
    </row>
    <row r="71" spans="1:23" x14ac:dyDescent="0.15">
      <c r="B71" s="66" t="str">
        <f>HLOOKUP($B$4,Region_Table,5,0)</f>
        <v>Community Integration</v>
      </c>
      <c r="C71" s="98">
        <f>SUMIFS('capacity data'!I:I,'capacity data'!E:E,"PO",'capacity data'!B:B,'cluster capacity, unallocateds'!B71)</f>
        <v>0</v>
      </c>
      <c r="D71" s="98">
        <f>SUMIFS('capacity data'!J:J,'capacity data'!E:E,"PO",'capacity data'!B:B,'cluster capacity, unallocateds'!B71)</f>
        <v>0</v>
      </c>
      <c r="E71" s="170" t="str">
        <f t="shared" si="8"/>
        <v/>
      </c>
      <c r="F71" s="98">
        <f>SUMIFS('capacity data'!I:I,'capacity data'!E:E,"PSO",'capacity data'!B:B,'cluster capacity, unallocateds'!B71)</f>
        <v>0</v>
      </c>
      <c r="G71" s="98">
        <f>SUMIFS('capacity data'!J:J,'capacity data'!E:E,"PSO",'capacity data'!B:B,'cluster capacity, unallocateds'!B71)</f>
        <v>0</v>
      </c>
      <c r="H71" s="170" t="str">
        <f t="shared" si="9"/>
        <v/>
      </c>
      <c r="I71" s="98">
        <f>SUMIFS('capacity data'!I:I,'capacity data'!E:E,"TPO",'capacity data'!B:B,'cluster capacity, unallocateds'!B71)</f>
        <v>0</v>
      </c>
      <c r="J71" s="98">
        <f>SUMIFS('capacity data'!J:J,'capacity data'!E:E,"TPO",'capacity data'!B:B,'cluster capacity, unallocateds'!B71)</f>
        <v>0</v>
      </c>
      <c r="K71" s="170" t="str">
        <f t="shared" si="10"/>
        <v/>
      </c>
    </row>
    <row r="72" spans="1:23" x14ac:dyDescent="0.15">
      <c r="B72" s="66" t="str">
        <f>HLOOKUP($B$4,Region_Table,6,0)</f>
        <v>Corporate Services - N07</v>
      </c>
      <c r="C72" s="98">
        <f>SUMIFS('capacity data'!I:I,'capacity data'!E:E,"PO",'capacity data'!B:B,'cluster capacity, unallocateds'!B72)</f>
        <v>0</v>
      </c>
      <c r="D72" s="98">
        <f>SUMIFS('capacity data'!J:J,'capacity data'!E:E,"PO",'capacity data'!B:B,'cluster capacity, unallocateds'!B72)</f>
        <v>0</v>
      </c>
      <c r="E72" s="170" t="str">
        <f t="shared" si="8"/>
        <v/>
      </c>
      <c r="F72" s="98">
        <f>SUMIFS('capacity data'!I:I,'capacity data'!E:E,"PSO",'capacity data'!B:B,'cluster capacity, unallocateds'!B72)</f>
        <v>0</v>
      </c>
      <c r="G72" s="98">
        <f>SUMIFS('capacity data'!J:J,'capacity data'!E:E,"PSO",'capacity data'!B:B,'cluster capacity, unallocateds'!B72)</f>
        <v>0</v>
      </c>
      <c r="H72" s="170" t="str">
        <f t="shared" si="9"/>
        <v/>
      </c>
      <c r="I72" s="98">
        <f>SUMIFS('capacity data'!I:I,'capacity data'!E:E,"TPO",'capacity data'!B:B,'cluster capacity, unallocateds'!B72)</f>
        <v>0</v>
      </c>
      <c r="J72" s="98">
        <f>SUMIFS('capacity data'!J:J,'capacity data'!E:E,"TPO",'capacity data'!B:B,'cluster capacity, unallocateds'!B72)</f>
        <v>0</v>
      </c>
      <c r="K72" s="170" t="str">
        <f t="shared" si="10"/>
        <v/>
      </c>
    </row>
    <row r="73" spans="1:23" x14ac:dyDescent="0.15">
      <c r="B73" s="66" t="str">
        <f>HLOOKUP($B$4,Region_Table,7,0)</f>
        <v>Croydon - N07</v>
      </c>
      <c r="C73" s="98">
        <f>SUMIFS('capacity data'!I:I,'capacity data'!E:E,"PO",'capacity data'!B:B,'cluster capacity, unallocateds'!B73)</f>
        <v>0</v>
      </c>
      <c r="D73" s="98">
        <f>SUMIFS('capacity data'!J:J,'capacity data'!E:E,"PO",'capacity data'!B:B,'cluster capacity, unallocateds'!B73)</f>
        <v>0</v>
      </c>
      <c r="E73" s="170" t="str">
        <f t="shared" si="8"/>
        <v/>
      </c>
      <c r="F73" s="98">
        <f>SUMIFS('capacity data'!I:I,'capacity data'!E:E,"PSO",'capacity data'!B:B,'cluster capacity, unallocateds'!B73)</f>
        <v>0</v>
      </c>
      <c r="G73" s="98">
        <f>SUMIFS('capacity data'!J:J,'capacity data'!E:E,"PSO",'capacity data'!B:B,'cluster capacity, unallocateds'!B73)</f>
        <v>0</v>
      </c>
      <c r="H73" s="170" t="str">
        <f t="shared" si="9"/>
        <v/>
      </c>
      <c r="I73" s="98">
        <f>SUMIFS('capacity data'!I:I,'capacity data'!E:E,"TPO",'capacity data'!B:B,'cluster capacity, unallocateds'!B73)</f>
        <v>0</v>
      </c>
      <c r="J73" s="98">
        <f>SUMIFS('capacity data'!J:J,'capacity data'!E:E,"TPO",'capacity data'!B:B,'cluster capacity, unallocateds'!B73)</f>
        <v>0</v>
      </c>
      <c r="K73" s="170" t="str">
        <f t="shared" si="10"/>
        <v/>
      </c>
    </row>
    <row r="74" spans="1:23" x14ac:dyDescent="0.15">
      <c r="B74" s="66" t="str">
        <f>HLOOKUP($B$4,Region_Table,8,0)</f>
        <v>Ealing and Hillingdon</v>
      </c>
      <c r="C74" s="98">
        <f>SUMIFS('capacity data'!I:I,'capacity data'!E:E,"PO",'capacity data'!B:B,'cluster capacity, unallocateds'!B74)</f>
        <v>0</v>
      </c>
      <c r="D74" s="98">
        <f>SUMIFS('capacity data'!J:J,'capacity data'!E:E,"PO",'capacity data'!B:B,'cluster capacity, unallocateds'!B74)</f>
        <v>0</v>
      </c>
      <c r="E74" s="170" t="str">
        <f t="shared" si="8"/>
        <v/>
      </c>
      <c r="F74" s="98">
        <f>SUMIFS('capacity data'!I:I,'capacity data'!E:E,"PSO",'capacity data'!B:B,'cluster capacity, unallocateds'!B74)</f>
        <v>0</v>
      </c>
      <c r="G74" s="98">
        <f>SUMIFS('capacity data'!J:J,'capacity data'!E:E,"PSO",'capacity data'!B:B,'cluster capacity, unallocateds'!B74)</f>
        <v>0</v>
      </c>
      <c r="H74" s="170" t="str">
        <f t="shared" si="9"/>
        <v/>
      </c>
      <c r="I74" s="98">
        <f>SUMIFS('capacity data'!I:I,'capacity data'!E:E,"TPO",'capacity data'!B:B,'cluster capacity, unallocateds'!B74)</f>
        <v>0</v>
      </c>
      <c r="J74" s="98">
        <f>SUMIFS('capacity data'!J:J,'capacity data'!E:E,"TPO",'capacity data'!B:B,'cluster capacity, unallocateds'!B74)</f>
        <v>0</v>
      </c>
      <c r="K74" s="170" t="str">
        <f t="shared" si="10"/>
        <v/>
      </c>
    </row>
    <row r="75" spans="1:23" x14ac:dyDescent="0.15">
      <c r="B75" s="66" t="str">
        <f>HLOOKUP($B$4,Region_Table,9,0)</f>
        <v>Enfield and Haringey</v>
      </c>
      <c r="C75" s="98">
        <f>SUMIFS('capacity data'!I:I,'capacity data'!E:E,"PO",'capacity data'!B:B,'cluster capacity, unallocateds'!B75)</f>
        <v>0</v>
      </c>
      <c r="D75" s="98">
        <f>SUMIFS('capacity data'!J:J,'capacity data'!E:E,"PO",'capacity data'!B:B,'cluster capacity, unallocateds'!B75)</f>
        <v>0</v>
      </c>
      <c r="E75" s="170" t="str">
        <f t="shared" si="8"/>
        <v/>
      </c>
      <c r="F75" s="98">
        <f>SUMIFS('capacity data'!I:I,'capacity data'!E:E,"PSO",'capacity data'!B:B,'cluster capacity, unallocateds'!B75)</f>
        <v>0</v>
      </c>
      <c r="G75" s="98">
        <f>SUMIFS('capacity data'!J:J,'capacity data'!E:E,"PSO",'capacity data'!B:B,'cluster capacity, unallocateds'!B75)</f>
        <v>0</v>
      </c>
      <c r="H75" s="170" t="str">
        <f t="shared" si="9"/>
        <v/>
      </c>
      <c r="I75" s="98">
        <f>SUMIFS('capacity data'!I:I,'capacity data'!E:E,"TPO",'capacity data'!B:B,'cluster capacity, unallocateds'!B75)</f>
        <v>0</v>
      </c>
      <c r="J75" s="98">
        <f>SUMIFS('capacity data'!J:J,'capacity data'!E:E,"TPO",'capacity data'!B:B,'cluster capacity, unallocateds'!B75)</f>
        <v>0</v>
      </c>
      <c r="K75" s="170" t="str">
        <f t="shared" si="10"/>
        <v/>
      </c>
    </row>
    <row r="76" spans="1:23" x14ac:dyDescent="0.15">
      <c r="B76" s="66" t="str">
        <f>HLOOKUP($B$4,Region_Table,10,0)</f>
        <v>Greenwich and Bexley</v>
      </c>
      <c r="C76" s="98">
        <f>SUMIFS('capacity data'!I:I,'capacity data'!E:E,"PO",'capacity data'!B:B,'cluster capacity, unallocateds'!B76)</f>
        <v>0</v>
      </c>
      <c r="D76" s="98">
        <f>SUMIFS('capacity data'!J:J,'capacity data'!E:E,"PO",'capacity data'!B:B,'cluster capacity, unallocateds'!B76)</f>
        <v>0</v>
      </c>
      <c r="E76" s="170" t="str">
        <f t="shared" si="8"/>
        <v/>
      </c>
      <c r="F76" s="98">
        <f>SUMIFS('capacity data'!I:I,'capacity data'!E:E,"PSO",'capacity data'!B:B,'cluster capacity, unallocateds'!B76)</f>
        <v>0</v>
      </c>
      <c r="G76" s="98">
        <f>SUMIFS('capacity data'!J:J,'capacity data'!E:E,"PSO",'capacity data'!B:B,'cluster capacity, unallocateds'!B76)</f>
        <v>0</v>
      </c>
      <c r="H76" s="170" t="str">
        <f t="shared" si="9"/>
        <v/>
      </c>
      <c r="I76" s="98">
        <f>SUMIFS('capacity data'!I:I,'capacity data'!E:E,"TPO",'capacity data'!B:B,'cluster capacity, unallocateds'!B76)</f>
        <v>0</v>
      </c>
      <c r="J76" s="98">
        <f>SUMIFS('capacity data'!J:J,'capacity data'!E:E,"TPO",'capacity data'!B:B,'cluster capacity, unallocateds'!B76)</f>
        <v>0</v>
      </c>
      <c r="K76" s="170" t="str">
        <f t="shared" si="10"/>
        <v/>
      </c>
    </row>
    <row r="77" spans="1:23" x14ac:dyDescent="0.15">
      <c r="B77" s="66" t="str">
        <f>HLOOKUP($B$4,Region_Table,11,0)</f>
        <v>Hackney and City</v>
      </c>
      <c r="C77" s="98">
        <f>SUMIFS('capacity data'!I:I,'capacity data'!E:E,"PO",'capacity data'!B:B,'cluster capacity, unallocateds'!B77)</f>
        <v>0</v>
      </c>
      <c r="D77" s="98">
        <f>SUMIFS('capacity data'!J:J,'capacity data'!E:E,"PO",'capacity data'!B:B,'cluster capacity, unallocateds'!B77)</f>
        <v>0</v>
      </c>
      <c r="E77" s="170" t="str">
        <f t="shared" si="8"/>
        <v/>
      </c>
      <c r="F77" s="98">
        <f>SUMIFS('capacity data'!I:I,'capacity data'!E:E,"PSO",'capacity data'!B:B,'cluster capacity, unallocateds'!B77)</f>
        <v>0</v>
      </c>
      <c r="G77" s="98">
        <f>SUMIFS('capacity data'!J:J,'capacity data'!E:E,"PSO",'capacity data'!B:B,'cluster capacity, unallocateds'!B77)</f>
        <v>0</v>
      </c>
      <c r="H77" s="170" t="str">
        <f t="shared" si="9"/>
        <v/>
      </c>
      <c r="I77" s="98">
        <f>SUMIFS('capacity data'!I:I,'capacity data'!E:E,"TPO",'capacity data'!B:B,'cluster capacity, unallocateds'!B77)</f>
        <v>0</v>
      </c>
      <c r="J77" s="98">
        <f>SUMIFS('capacity data'!J:J,'capacity data'!E:E,"TPO",'capacity data'!B:B,'cluster capacity, unallocateds'!B77)</f>
        <v>0</v>
      </c>
      <c r="K77" s="170" t="str">
        <f t="shared" si="10"/>
        <v/>
      </c>
    </row>
    <row r="78" spans="1:23" x14ac:dyDescent="0.15">
      <c r="B78" s="66" t="str">
        <f>HLOOKUP($B$4,Region_Table,12,0)</f>
        <v>Hammersmith, Fulham, Kensington, Chelsea and Westminster</v>
      </c>
      <c r="C78" s="98">
        <f>SUMIFS('capacity data'!I:I,'capacity data'!E:E,"PO",'capacity data'!B:B,'cluster capacity, unallocateds'!B78)</f>
        <v>0</v>
      </c>
      <c r="D78" s="98">
        <f>SUMIFS('capacity data'!J:J,'capacity data'!E:E,"PO",'capacity data'!B:B,'cluster capacity, unallocateds'!B78)</f>
        <v>0</v>
      </c>
      <c r="E78" s="170" t="str">
        <f t="shared" si="8"/>
        <v/>
      </c>
      <c r="F78" s="98">
        <f>SUMIFS('capacity data'!I:I,'capacity data'!E:E,"PSO",'capacity data'!B:B,'cluster capacity, unallocateds'!B78)</f>
        <v>0</v>
      </c>
      <c r="G78" s="98">
        <f>SUMIFS('capacity data'!J:J,'capacity data'!E:E,"PSO",'capacity data'!B:B,'cluster capacity, unallocateds'!B78)</f>
        <v>0</v>
      </c>
      <c r="H78" s="170" t="str">
        <f t="shared" si="9"/>
        <v/>
      </c>
      <c r="I78" s="98">
        <f>SUMIFS('capacity data'!I:I,'capacity data'!E:E,"TPO",'capacity data'!B:B,'cluster capacity, unallocateds'!B78)</f>
        <v>0</v>
      </c>
      <c r="J78" s="98">
        <f>SUMIFS('capacity data'!J:J,'capacity data'!E:E,"TPO",'capacity data'!B:B,'cluster capacity, unallocateds'!B78)</f>
        <v>0</v>
      </c>
      <c r="K78" s="170" t="str">
        <f t="shared" si="10"/>
        <v/>
      </c>
    </row>
    <row r="79" spans="1:23" x14ac:dyDescent="0.15">
      <c r="B79" s="66" t="str">
        <f>HLOOKUP($B$4,Region_Table,13,0)</f>
        <v>Harrow and Barnet</v>
      </c>
      <c r="C79" s="98">
        <f>SUMIFS('capacity data'!I:I,'capacity data'!E:E,"PO",'capacity data'!B:B,'cluster capacity, unallocateds'!B79)</f>
        <v>0</v>
      </c>
      <c r="D79" s="98">
        <f>SUMIFS('capacity data'!J:J,'capacity data'!E:E,"PO",'capacity data'!B:B,'cluster capacity, unallocateds'!B79)</f>
        <v>0</v>
      </c>
      <c r="E79" s="170" t="str">
        <f t="shared" si="8"/>
        <v/>
      </c>
      <c r="F79" s="98">
        <f>SUMIFS('capacity data'!I:I,'capacity data'!E:E,"PSO",'capacity data'!B:B,'cluster capacity, unallocateds'!B79)</f>
        <v>0</v>
      </c>
      <c r="G79" s="98">
        <f>SUMIFS('capacity data'!J:J,'capacity data'!E:E,"PSO",'capacity data'!B:B,'cluster capacity, unallocateds'!B79)</f>
        <v>0</v>
      </c>
      <c r="H79" s="170" t="str">
        <f t="shared" si="9"/>
        <v/>
      </c>
      <c r="I79" s="98">
        <f>SUMIFS('capacity data'!I:I,'capacity data'!E:E,"TPO",'capacity data'!B:B,'cluster capacity, unallocateds'!B79)</f>
        <v>0</v>
      </c>
      <c r="J79" s="98">
        <f>SUMIFS('capacity data'!J:J,'capacity data'!E:E,"TPO",'capacity data'!B:B,'cluster capacity, unallocateds'!B79)</f>
        <v>0</v>
      </c>
      <c r="K79" s="170" t="str">
        <f t="shared" si="10"/>
        <v/>
      </c>
    </row>
    <row r="80" spans="1:23" x14ac:dyDescent="0.15">
      <c r="B80" s="66" t="str">
        <f>HLOOKUP($B$4,Region_Table,14,0)</f>
        <v>Inactive Level 2(N07)</v>
      </c>
      <c r="C80" s="98">
        <f>SUMIFS('capacity data'!I:I,'capacity data'!E:E,"PO",'capacity data'!B:B,'cluster capacity, unallocateds'!B80)</f>
        <v>0</v>
      </c>
      <c r="D80" s="98">
        <f>SUMIFS('capacity data'!J:J,'capacity data'!E:E,"PO",'capacity data'!B:B,'cluster capacity, unallocateds'!B80)</f>
        <v>0</v>
      </c>
      <c r="E80" s="170" t="str">
        <f t="shared" si="8"/>
        <v/>
      </c>
      <c r="F80" s="98">
        <f>SUMIFS('capacity data'!I:I,'capacity data'!E:E,"PSO",'capacity data'!B:B,'cluster capacity, unallocateds'!B80)</f>
        <v>0</v>
      </c>
      <c r="G80" s="98">
        <f>SUMIFS('capacity data'!J:J,'capacity data'!E:E,"PSO",'capacity data'!B:B,'cluster capacity, unallocateds'!B80)</f>
        <v>0</v>
      </c>
      <c r="H80" s="170" t="str">
        <f t="shared" si="9"/>
        <v/>
      </c>
      <c r="I80" s="98">
        <f>SUMIFS('capacity data'!I:I,'capacity data'!E:E,"TPO",'capacity data'!B:B,'cluster capacity, unallocateds'!B80)</f>
        <v>0</v>
      </c>
      <c r="J80" s="98">
        <f>SUMIFS('capacity data'!J:J,'capacity data'!E:E,"TPO",'capacity data'!B:B,'cluster capacity, unallocateds'!B80)</f>
        <v>0</v>
      </c>
      <c r="K80" s="170" t="str">
        <f t="shared" si="10"/>
        <v/>
      </c>
    </row>
    <row r="81" spans="2:11" x14ac:dyDescent="0.15">
      <c r="B81" s="66" t="str">
        <f>HLOOKUP($B$4,Region_Table,15,0)</f>
        <v>Kingston, Richmond and Hounslow</v>
      </c>
      <c r="C81" s="98">
        <f>SUMIFS('capacity data'!I:I,'capacity data'!E:E,"PO",'capacity data'!B:B,'cluster capacity, unallocateds'!B81)</f>
        <v>0</v>
      </c>
      <c r="D81" s="98">
        <f>SUMIFS('capacity data'!J:J,'capacity data'!E:E,"PO",'capacity data'!B:B,'cluster capacity, unallocateds'!B81)</f>
        <v>0</v>
      </c>
      <c r="E81" s="170" t="str">
        <f t="shared" si="8"/>
        <v/>
      </c>
      <c r="F81" s="98">
        <f>SUMIFS('capacity data'!I:I,'capacity data'!E:E,"PSO",'capacity data'!B:B,'cluster capacity, unallocateds'!B81)</f>
        <v>0</v>
      </c>
      <c r="G81" s="98">
        <f>SUMIFS('capacity data'!J:J,'capacity data'!E:E,"PSO",'capacity data'!B:B,'cluster capacity, unallocateds'!B81)</f>
        <v>0</v>
      </c>
      <c r="H81" s="170" t="str">
        <f t="shared" si="9"/>
        <v/>
      </c>
      <c r="I81" s="98">
        <f>SUMIFS('capacity data'!I:I,'capacity data'!E:E,"TPO",'capacity data'!B:B,'cluster capacity, unallocateds'!B81)</f>
        <v>0</v>
      </c>
      <c r="J81" s="98">
        <f>SUMIFS('capacity data'!J:J,'capacity data'!E:E,"TPO",'capacity data'!B:B,'cluster capacity, unallocateds'!B81)</f>
        <v>0</v>
      </c>
      <c r="K81" s="170" t="str">
        <f t="shared" si="10"/>
        <v/>
      </c>
    </row>
    <row r="82" spans="2:11" x14ac:dyDescent="0.15">
      <c r="B82" s="66" t="str">
        <f>HLOOKUP($B$4,Region_Table,16,0)</f>
        <v>Lambeth - N07</v>
      </c>
      <c r="C82" s="98">
        <f>SUMIFS('capacity data'!I:I,'capacity data'!E:E,"PO",'capacity data'!B:B,'cluster capacity, unallocateds'!B82)</f>
        <v>0</v>
      </c>
      <c r="D82" s="98">
        <f>SUMIFS('capacity data'!J:J,'capacity data'!E:E,"PO",'capacity data'!B:B,'cluster capacity, unallocateds'!B82)</f>
        <v>0</v>
      </c>
      <c r="E82" s="170" t="str">
        <f t="shared" si="8"/>
        <v/>
      </c>
      <c r="F82" s="98">
        <f>SUMIFS('capacity data'!I:I,'capacity data'!E:E,"PSO",'capacity data'!B:B,'cluster capacity, unallocateds'!B82)</f>
        <v>0</v>
      </c>
      <c r="G82" s="98">
        <f>SUMIFS('capacity data'!J:J,'capacity data'!E:E,"PSO",'capacity data'!B:B,'cluster capacity, unallocateds'!B82)</f>
        <v>0</v>
      </c>
      <c r="H82" s="170" t="str">
        <f t="shared" si="9"/>
        <v/>
      </c>
      <c r="I82" s="98">
        <f>SUMIFS('capacity data'!I:I,'capacity data'!E:E,"TPO",'capacity data'!B:B,'cluster capacity, unallocateds'!B82)</f>
        <v>0</v>
      </c>
      <c r="J82" s="98">
        <f>SUMIFS('capacity data'!J:J,'capacity data'!E:E,"TPO",'capacity data'!B:B,'cluster capacity, unallocateds'!B82)</f>
        <v>0</v>
      </c>
      <c r="K82" s="170" t="str">
        <f t="shared" si="10"/>
        <v/>
      </c>
    </row>
    <row r="83" spans="2:11" x14ac:dyDescent="0.15">
      <c r="B83" s="66" t="str">
        <f>HLOOKUP($B$4,Region_Table,17,0)</f>
        <v>Lewisham and Bromley</v>
      </c>
      <c r="C83" s="98">
        <f>SUMIFS('capacity data'!I:I,'capacity data'!E:E,"PO",'capacity data'!B:B,'cluster capacity, unallocateds'!B83)</f>
        <v>0</v>
      </c>
      <c r="D83" s="98">
        <f>SUMIFS('capacity data'!J:J,'capacity data'!E:E,"PO",'capacity data'!B:B,'cluster capacity, unallocateds'!B83)</f>
        <v>0</v>
      </c>
      <c r="E83" s="170" t="str">
        <f t="shared" si="8"/>
        <v/>
      </c>
      <c r="F83" s="98">
        <f>SUMIFS('capacity data'!I:I,'capacity data'!E:E,"PSO",'capacity data'!B:B,'cluster capacity, unallocateds'!B83)</f>
        <v>0</v>
      </c>
      <c r="G83" s="98">
        <f>SUMIFS('capacity data'!J:J,'capacity data'!E:E,"PSO",'capacity data'!B:B,'cluster capacity, unallocateds'!B83)</f>
        <v>0</v>
      </c>
      <c r="H83" s="170" t="str">
        <f t="shared" si="9"/>
        <v/>
      </c>
      <c r="I83" s="98">
        <f>SUMIFS('capacity data'!I:I,'capacity data'!E:E,"TPO",'capacity data'!B:B,'cluster capacity, unallocateds'!B83)</f>
        <v>0</v>
      </c>
      <c r="J83" s="98">
        <f>SUMIFS('capacity data'!J:J,'capacity data'!E:E,"TPO",'capacity data'!B:B,'cluster capacity, unallocateds'!B83)</f>
        <v>0</v>
      </c>
      <c r="K83" s="170" t="str">
        <f t="shared" si="10"/>
        <v/>
      </c>
    </row>
    <row r="84" spans="2:11" x14ac:dyDescent="0.15">
      <c r="B84" s="66" t="str">
        <f>HLOOKUP($B$4,Region_Table,18,0)</f>
        <v>Newham - N07</v>
      </c>
      <c r="C84" s="98">
        <f>SUMIFS('capacity data'!I:I,'capacity data'!E:E,"PO",'capacity data'!B:B,'cluster capacity, unallocateds'!B84)</f>
        <v>0</v>
      </c>
      <c r="D84" s="98">
        <f>SUMIFS('capacity data'!J:J,'capacity data'!E:E,"PO",'capacity data'!B:B,'cluster capacity, unallocateds'!B84)</f>
        <v>0</v>
      </c>
      <c r="E84" s="170" t="str">
        <f t="shared" ref="E84:E86" si="11">IFERROR(D84/C84,"")</f>
        <v/>
      </c>
      <c r="F84" s="98">
        <f>SUMIFS('capacity data'!I:I,'capacity data'!E:E,"PSO",'capacity data'!B:B,'cluster capacity, unallocateds'!B84)</f>
        <v>0</v>
      </c>
      <c r="G84" s="98">
        <f>SUMIFS('capacity data'!J:J,'capacity data'!E:E,"PSO",'capacity data'!B:B,'cluster capacity, unallocateds'!B84)</f>
        <v>0</v>
      </c>
      <c r="H84" s="170" t="str">
        <f t="shared" ref="H84:H86" si="12">IFERROR(G84/F84,"")</f>
        <v/>
      </c>
      <c r="I84" s="98">
        <f>SUMIFS('capacity data'!I:I,'capacity data'!E:E,"TPO",'capacity data'!B:B,'cluster capacity, unallocateds'!B84)</f>
        <v>0</v>
      </c>
      <c r="J84" s="98">
        <f>SUMIFS('capacity data'!J:J,'capacity data'!E:E,"TPO",'capacity data'!B:B,'cluster capacity, unallocateds'!B84)</f>
        <v>0</v>
      </c>
      <c r="K84" s="170" t="str">
        <f t="shared" ref="K84:K86" si="13">IFERROR(J84/I84,"")</f>
        <v/>
      </c>
    </row>
    <row r="85" spans="2:11" x14ac:dyDescent="0.15">
      <c r="B85" s="66" t="str">
        <f>HLOOKUP($B$4,Region_Table,19,0)</f>
        <v>Public Protection London</v>
      </c>
      <c r="C85" s="98">
        <f>SUMIFS('capacity data'!I:I,'capacity data'!E:E,"PO",'capacity data'!B:B,'cluster capacity, unallocateds'!B85)</f>
        <v>0</v>
      </c>
      <c r="D85" s="98">
        <f>SUMIFS('capacity data'!J:J,'capacity data'!E:E,"PO",'capacity data'!B:B,'cluster capacity, unallocateds'!B85)</f>
        <v>0</v>
      </c>
      <c r="E85" s="170" t="str">
        <f t="shared" si="11"/>
        <v/>
      </c>
      <c r="F85" s="98">
        <f>SUMIFS('capacity data'!I:I,'capacity data'!E:E,"PSO",'capacity data'!B:B,'cluster capacity, unallocateds'!B85)</f>
        <v>0</v>
      </c>
      <c r="G85" s="98">
        <f>SUMIFS('capacity data'!J:J,'capacity data'!E:E,"PSO",'capacity data'!B:B,'cluster capacity, unallocateds'!B85)</f>
        <v>0</v>
      </c>
      <c r="H85" s="170" t="str">
        <f t="shared" si="12"/>
        <v/>
      </c>
      <c r="I85" s="98">
        <f>SUMIFS('capacity data'!I:I,'capacity data'!E:E,"TPO",'capacity data'!B:B,'cluster capacity, unallocateds'!B85)</f>
        <v>0</v>
      </c>
      <c r="J85" s="98">
        <f>SUMIFS('capacity data'!J:J,'capacity data'!E:E,"TPO",'capacity data'!B:B,'cluster capacity, unallocateds'!B85)</f>
        <v>0</v>
      </c>
      <c r="K85" s="170" t="str">
        <f t="shared" si="13"/>
        <v/>
      </c>
    </row>
    <row r="86" spans="2:11" ht="15" customHeight="1" x14ac:dyDescent="0.15">
      <c r="B86" s="66" t="str">
        <f>HLOOKUP($B$4,Region_Table,20,0)</f>
        <v>Redbridge and Waltham Forest</v>
      </c>
      <c r="C86" s="98">
        <f>SUMIFS('capacity data'!I:I,'capacity data'!E:E,"PO",'capacity data'!B:B,'cluster capacity, unallocateds'!B86)</f>
        <v>0</v>
      </c>
      <c r="D86" s="98">
        <f>SUMIFS('capacity data'!J:J,'capacity data'!E:E,"PO",'capacity data'!B:B,'cluster capacity, unallocateds'!B86)</f>
        <v>0</v>
      </c>
      <c r="E86" s="170" t="str">
        <f t="shared" si="11"/>
        <v/>
      </c>
      <c r="F86" s="98">
        <f>SUMIFS('capacity data'!I:I,'capacity data'!E:E,"PSO",'capacity data'!B:B,'cluster capacity, unallocateds'!B86)</f>
        <v>0</v>
      </c>
      <c r="G86" s="98">
        <f>SUMIFS('capacity data'!J:J,'capacity data'!E:E,"PSO",'capacity data'!B:B,'cluster capacity, unallocateds'!B86)</f>
        <v>0</v>
      </c>
      <c r="H86" s="170" t="str">
        <f t="shared" si="12"/>
        <v/>
      </c>
      <c r="I86" s="98">
        <f>SUMIFS('capacity data'!I:I,'capacity data'!E:E,"TPO",'capacity data'!B:B,'cluster capacity, unallocateds'!B86)</f>
        <v>0</v>
      </c>
      <c r="J86" s="98">
        <f>SUMIFS('capacity data'!J:J,'capacity data'!E:E,"TPO",'capacity data'!B:B,'cluster capacity, unallocateds'!B86)</f>
        <v>0</v>
      </c>
      <c r="K86" s="170" t="str">
        <f t="shared" si="13"/>
        <v/>
      </c>
    </row>
    <row r="87" spans="2:11" ht="15" customHeight="1" x14ac:dyDescent="0.15">
      <c r="B87" s="66" t="str">
        <f>HLOOKUP($B$4,Region_Table,21,0)</f>
        <v>Southwark - N07</v>
      </c>
      <c r="C87" s="98">
        <f>SUMIFS('capacity data'!I:I,'capacity data'!E:E,"PO",'capacity data'!B:B,'cluster capacity, unallocateds'!B87)</f>
        <v>0</v>
      </c>
      <c r="D87" s="98">
        <f>SUMIFS('capacity data'!J:J,'capacity data'!E:E,"PO",'capacity data'!B:B,'cluster capacity, unallocateds'!B87)</f>
        <v>0</v>
      </c>
      <c r="E87" s="170" t="str">
        <f t="shared" ref="E87:E94" si="14">IFERROR(D87/C87,"")</f>
        <v/>
      </c>
      <c r="F87" s="98">
        <f>SUMIFS('capacity data'!I:I,'capacity data'!E:E,"PSO",'capacity data'!B:B,'cluster capacity, unallocateds'!B87)</f>
        <v>0</v>
      </c>
      <c r="G87" s="98">
        <f>SUMIFS('capacity data'!J:J,'capacity data'!E:E,"PSO",'capacity data'!B:B,'cluster capacity, unallocateds'!B87)</f>
        <v>0</v>
      </c>
      <c r="H87" s="170" t="str">
        <f t="shared" ref="H87:H94" si="15">IFERROR(G87/F87,"")</f>
        <v/>
      </c>
      <c r="I87" s="98">
        <f>SUMIFS('capacity data'!I:I,'capacity data'!E:E,"TPO",'capacity data'!B:B,'cluster capacity, unallocateds'!B87)</f>
        <v>0</v>
      </c>
      <c r="J87" s="98">
        <f>SUMIFS('capacity data'!J:J,'capacity data'!E:E,"TPO",'capacity data'!B:B,'cluster capacity, unallocateds'!B87)</f>
        <v>0</v>
      </c>
      <c r="K87" s="170" t="str">
        <f t="shared" ref="K87:K94" si="16">IFERROR(J87/I87,"")</f>
        <v/>
      </c>
    </row>
    <row r="88" spans="2:11" ht="15" customHeight="1" x14ac:dyDescent="0.15">
      <c r="B88" s="66" t="str">
        <f>HLOOKUP($B$4,Region_Table,22,0)</f>
        <v>Tower Hamlets</v>
      </c>
      <c r="C88" s="98">
        <f>SUMIFS('capacity data'!I:I,'capacity data'!E:E,"PO",'capacity data'!B:B,'cluster capacity, unallocateds'!B88)</f>
        <v>0</v>
      </c>
      <c r="D88" s="98">
        <f>SUMIFS('capacity data'!J:J,'capacity data'!E:E,"PO",'capacity data'!B:B,'cluster capacity, unallocateds'!B88)</f>
        <v>0</v>
      </c>
      <c r="E88" s="170" t="str">
        <f t="shared" si="14"/>
        <v/>
      </c>
      <c r="F88" s="98">
        <f>SUMIFS('capacity data'!I:I,'capacity data'!E:E,"PSO",'capacity data'!B:B,'cluster capacity, unallocateds'!B88)</f>
        <v>0</v>
      </c>
      <c r="G88" s="98">
        <f>SUMIFS('capacity data'!J:J,'capacity data'!E:E,"PSO",'capacity data'!B:B,'cluster capacity, unallocateds'!B88)</f>
        <v>0</v>
      </c>
      <c r="H88" s="170" t="str">
        <f t="shared" si="15"/>
        <v/>
      </c>
      <c r="I88" s="98">
        <f>SUMIFS('capacity data'!I:I,'capacity data'!E:E,"TPO",'capacity data'!B:B,'cluster capacity, unallocateds'!B88)</f>
        <v>0</v>
      </c>
      <c r="J88" s="98">
        <f>SUMIFS('capacity data'!J:J,'capacity data'!E:E,"TPO",'capacity data'!B:B,'cluster capacity, unallocateds'!B88)</f>
        <v>0</v>
      </c>
      <c r="K88" s="170" t="str">
        <f t="shared" si="16"/>
        <v/>
      </c>
    </row>
    <row r="89" spans="2:11" ht="15" customHeight="1" x14ac:dyDescent="0.15">
      <c r="B89" s="66" t="str">
        <f>HLOOKUP($B$4,Region_Table,23,0)</f>
        <v>Unallocated Level 2(N07)</v>
      </c>
      <c r="C89" s="98">
        <f>SUMIFS('capacity data'!I:I,'capacity data'!E:E,"PO",'capacity data'!B:B,'cluster capacity, unallocateds'!B89)</f>
        <v>0</v>
      </c>
      <c r="D89" s="98">
        <f>SUMIFS('capacity data'!J:J,'capacity data'!E:E,"PO",'capacity data'!B:B,'cluster capacity, unallocateds'!B89)</f>
        <v>0</v>
      </c>
      <c r="E89" s="170" t="str">
        <f t="shared" si="14"/>
        <v/>
      </c>
      <c r="F89" s="98">
        <f>SUMIFS('capacity data'!I:I,'capacity data'!E:E,"PSO",'capacity data'!B:B,'cluster capacity, unallocateds'!B89)</f>
        <v>0</v>
      </c>
      <c r="G89" s="98">
        <f>SUMIFS('capacity data'!J:J,'capacity data'!E:E,"PSO",'capacity data'!B:B,'cluster capacity, unallocateds'!B89)</f>
        <v>0</v>
      </c>
      <c r="H89" s="170" t="str">
        <f t="shared" si="15"/>
        <v/>
      </c>
      <c r="I89" s="98">
        <f>SUMIFS('capacity data'!I:I,'capacity data'!E:E,"TPO",'capacity data'!B:B,'cluster capacity, unallocateds'!B89)</f>
        <v>0</v>
      </c>
      <c r="J89" s="98">
        <f>SUMIFS('capacity data'!J:J,'capacity data'!E:E,"TPO",'capacity data'!B:B,'cluster capacity, unallocateds'!B89)</f>
        <v>0</v>
      </c>
      <c r="K89" s="170" t="str">
        <f t="shared" si="16"/>
        <v/>
      </c>
    </row>
    <row r="90" spans="2:11" ht="15" customHeight="1" x14ac:dyDescent="0.15">
      <c r="B90" s="66" t="str">
        <f>HLOOKUP($B$4,Region_Table,24,0)</f>
        <v>Unpaid Work and Attendance Centres - N07</v>
      </c>
      <c r="C90" s="98">
        <f>SUMIFS('capacity data'!I:I,'capacity data'!E:E,"PO",'capacity data'!B:B,'cluster capacity, unallocateds'!B90)</f>
        <v>0</v>
      </c>
      <c r="D90" s="98">
        <f>SUMIFS('capacity data'!J:J,'capacity data'!E:E,"PO",'capacity data'!B:B,'cluster capacity, unallocateds'!B90)</f>
        <v>0</v>
      </c>
      <c r="E90" s="170" t="str">
        <f t="shared" si="14"/>
        <v/>
      </c>
      <c r="F90" s="98">
        <f>SUMIFS('capacity data'!I:I,'capacity data'!E:E,"PSO",'capacity data'!B:B,'cluster capacity, unallocateds'!B90)</f>
        <v>0</v>
      </c>
      <c r="G90" s="98">
        <f>SUMIFS('capacity data'!J:J,'capacity data'!E:E,"PSO",'capacity data'!B:B,'cluster capacity, unallocateds'!B90)</f>
        <v>0</v>
      </c>
      <c r="H90" s="170" t="str">
        <f t="shared" si="15"/>
        <v/>
      </c>
      <c r="I90" s="98">
        <f>SUMIFS('capacity data'!I:I,'capacity data'!E:E,"TPO",'capacity data'!B:B,'cluster capacity, unallocateds'!B90)</f>
        <v>0</v>
      </c>
      <c r="J90" s="98">
        <f>SUMIFS('capacity data'!J:J,'capacity data'!E:E,"TPO",'capacity data'!B:B,'cluster capacity, unallocateds'!B90)</f>
        <v>0</v>
      </c>
      <c r="K90" s="170" t="str">
        <f t="shared" si="16"/>
        <v/>
      </c>
    </row>
    <row r="91" spans="2:11" ht="15" customHeight="1" x14ac:dyDescent="0.15">
      <c r="B91" s="66" t="str">
        <f>HLOOKUP($B$4,Region_Table,25,0)</f>
        <v>Wandsworth, Merton and Sutton</v>
      </c>
      <c r="C91" s="98">
        <f>SUMIFS('capacity data'!I:I,'capacity data'!E:E,"PO",'capacity data'!B:B,'cluster capacity, unallocateds'!B91)</f>
        <v>0</v>
      </c>
      <c r="D91" s="98">
        <f>SUMIFS('capacity data'!J:J,'capacity data'!E:E,"PO",'capacity data'!B:B,'cluster capacity, unallocateds'!B91)</f>
        <v>0</v>
      </c>
      <c r="E91" s="170" t="str">
        <f t="shared" si="14"/>
        <v/>
      </c>
      <c r="F91" s="98">
        <f>SUMIFS('capacity data'!I:I,'capacity data'!E:E,"PSO",'capacity data'!B:B,'cluster capacity, unallocateds'!B91)</f>
        <v>0</v>
      </c>
      <c r="G91" s="98">
        <f>SUMIFS('capacity data'!J:J,'capacity data'!E:E,"PSO",'capacity data'!B:B,'cluster capacity, unallocateds'!B91)</f>
        <v>0</v>
      </c>
      <c r="H91" s="170" t="str">
        <f t="shared" si="15"/>
        <v/>
      </c>
      <c r="I91" s="98">
        <f>SUMIFS('capacity data'!I:I,'capacity data'!E:E,"TPO",'capacity data'!B:B,'cluster capacity, unallocateds'!B91)</f>
        <v>0</v>
      </c>
      <c r="J91" s="98">
        <f>SUMIFS('capacity data'!J:J,'capacity data'!E:E,"TPO",'capacity data'!B:B,'cluster capacity, unallocateds'!B91)</f>
        <v>0</v>
      </c>
      <c r="K91" s="170" t="str">
        <f t="shared" si="16"/>
        <v/>
      </c>
    </row>
    <row r="92" spans="2:11" ht="15" customHeight="1" x14ac:dyDescent="0.15">
      <c r="B92" s="66">
        <f>HLOOKUP($B$4,Region_Table,26,0)</f>
        <v>0</v>
      </c>
      <c r="C92" s="98">
        <f>SUMIFS('capacity data'!I:I,'capacity data'!E:E,"PO",'capacity data'!B:B,'cluster capacity, unallocateds'!B92)</f>
        <v>0</v>
      </c>
      <c r="D92" s="98">
        <f>SUMIFS('capacity data'!J:J,'capacity data'!E:E,"PO",'capacity data'!B:B,'cluster capacity, unallocateds'!B92)</f>
        <v>0</v>
      </c>
      <c r="E92" s="170" t="str">
        <f t="shared" si="14"/>
        <v/>
      </c>
      <c r="F92" s="98">
        <f>SUMIFS('capacity data'!I:I,'capacity data'!E:E,"PSO",'capacity data'!B:B,'cluster capacity, unallocateds'!B92)</f>
        <v>0</v>
      </c>
      <c r="G92" s="98">
        <f>SUMIFS('capacity data'!J:J,'capacity data'!E:E,"PSO",'capacity data'!B:B,'cluster capacity, unallocateds'!B92)</f>
        <v>0</v>
      </c>
      <c r="H92" s="170" t="str">
        <f t="shared" si="15"/>
        <v/>
      </c>
      <c r="I92" s="98">
        <f>SUMIFS('capacity data'!I:I,'capacity data'!E:E,"TPO",'capacity data'!B:B,'cluster capacity, unallocateds'!B92)</f>
        <v>0</v>
      </c>
      <c r="J92" s="98">
        <f>SUMIFS('capacity data'!J:J,'capacity data'!E:E,"TPO",'capacity data'!B:B,'cluster capacity, unallocateds'!B92)</f>
        <v>0</v>
      </c>
      <c r="K92" s="170" t="str">
        <f t="shared" si="16"/>
        <v/>
      </c>
    </row>
    <row r="93" spans="2:11" ht="15" customHeight="1" x14ac:dyDescent="0.15">
      <c r="B93" s="66">
        <f>HLOOKUP($B$4,Region_Table,27,0)</f>
        <v>0</v>
      </c>
      <c r="C93" s="98">
        <f>SUMIFS('capacity data'!I:I,'capacity data'!E:E,"PO",'capacity data'!B:B,'cluster capacity, unallocateds'!B93)</f>
        <v>0</v>
      </c>
      <c r="D93" s="98">
        <f>SUMIFS('capacity data'!J:J,'capacity data'!E:E,"PO",'capacity data'!B:B,'cluster capacity, unallocateds'!B93)</f>
        <v>0</v>
      </c>
      <c r="E93" s="170" t="str">
        <f t="shared" si="14"/>
        <v/>
      </c>
      <c r="F93" s="98">
        <f>SUMIFS('capacity data'!I:I,'capacity data'!E:E,"PSO",'capacity data'!B:B,'cluster capacity, unallocateds'!B93)</f>
        <v>0</v>
      </c>
      <c r="G93" s="98">
        <f>SUMIFS('capacity data'!J:J,'capacity data'!E:E,"PSO",'capacity data'!B:B,'cluster capacity, unallocateds'!B93)</f>
        <v>0</v>
      </c>
      <c r="H93" s="170" t="str">
        <f t="shared" si="15"/>
        <v/>
      </c>
      <c r="I93" s="98">
        <f>SUMIFS('capacity data'!I:I,'capacity data'!E:E,"TPO",'capacity data'!B:B,'cluster capacity, unallocateds'!B93)</f>
        <v>0</v>
      </c>
      <c r="J93" s="98">
        <f>SUMIFS('capacity data'!J:J,'capacity data'!E:E,"TPO",'capacity data'!B:B,'cluster capacity, unallocateds'!B93)</f>
        <v>0</v>
      </c>
      <c r="K93" s="170" t="str">
        <f t="shared" si="16"/>
        <v/>
      </c>
    </row>
    <row r="94" spans="2:11" ht="15" customHeight="1" x14ac:dyDescent="0.15">
      <c r="B94" s="66">
        <f>HLOOKUP($B$4,Region_Table,28,0)</f>
        <v>0</v>
      </c>
      <c r="C94" s="98">
        <f>SUMIFS('capacity data'!I:I,'capacity data'!E:E,"PO",'capacity data'!B:B,'cluster capacity, unallocateds'!B94)</f>
        <v>0</v>
      </c>
      <c r="D94" s="98">
        <f>SUMIFS('capacity data'!J:J,'capacity data'!E:E,"PO",'capacity data'!B:B,'cluster capacity, unallocateds'!B94)</f>
        <v>0</v>
      </c>
      <c r="E94" s="170" t="str">
        <f t="shared" si="14"/>
        <v/>
      </c>
      <c r="F94" s="98">
        <f>SUMIFS('capacity data'!I:I,'capacity data'!E:E,"PSO",'capacity data'!B:B,'cluster capacity, unallocateds'!B94)</f>
        <v>0</v>
      </c>
      <c r="G94" s="98">
        <f>SUMIFS('capacity data'!J:J,'capacity data'!E:E,"PSO",'capacity data'!B:B,'cluster capacity, unallocateds'!B94)</f>
        <v>0</v>
      </c>
      <c r="H94" s="170" t="str">
        <f t="shared" si="15"/>
        <v/>
      </c>
      <c r="I94" s="98">
        <f>SUMIFS('capacity data'!I:I,'capacity data'!E:E,"TPO",'capacity data'!B:B,'cluster capacity, unallocateds'!B94)</f>
        <v>0</v>
      </c>
      <c r="J94" s="98">
        <f>SUMIFS('capacity data'!J:J,'capacity data'!E:E,"TPO",'capacity data'!B:B,'cluster capacity, unallocateds'!B94)</f>
        <v>0</v>
      </c>
      <c r="K94" s="170" t="str">
        <f t="shared" si="16"/>
        <v/>
      </c>
    </row>
    <row r="95" spans="2:11" ht="35.25" customHeight="1" x14ac:dyDescent="0.15"/>
    <row r="96" spans="2:11" ht="56" x14ac:dyDescent="0.15">
      <c r="B96" s="227" t="s">
        <v>1277</v>
      </c>
      <c r="C96" s="227" t="s">
        <v>1297</v>
      </c>
      <c r="D96" s="227" t="s">
        <v>1298</v>
      </c>
      <c r="E96" s="227" t="s">
        <v>1299</v>
      </c>
      <c r="F96" s="227" t="s">
        <v>1300</v>
      </c>
      <c r="G96" s="227" t="s">
        <v>1301</v>
      </c>
      <c r="H96" s="227" t="s">
        <v>1302</v>
      </c>
      <c r="I96" s="227" t="s">
        <v>1303</v>
      </c>
    </row>
    <row r="97" spans="2:9" x14ac:dyDescent="0.15">
      <c r="B97" s="162" t="s">
        <v>1223</v>
      </c>
      <c r="C97" s="169">
        <f>SUM('capacity data'!K:K)</f>
        <v>0</v>
      </c>
      <c r="D97" s="169">
        <f>COUNTIF('capacity data'!E:E,"DMY")</f>
        <v>0</v>
      </c>
      <c r="E97" s="169">
        <f>SUMIF('capacity data'!E:E,"DMY",'capacity data'!K:K)</f>
        <v>0</v>
      </c>
      <c r="F97" s="170" t="e">
        <f>E97/C97</f>
        <v>#DIV/0!</v>
      </c>
      <c r="G97" s="171">
        <f>SUMIF('capacity data'!E:E,"SPO",'capacity data'!K:K)</f>
        <v>0</v>
      </c>
      <c r="H97" s="169">
        <f>E97+G97</f>
        <v>0</v>
      </c>
      <c r="I97" s="172" t="e">
        <f>H97/C97</f>
        <v>#DIV/0!</v>
      </c>
    </row>
    <row r="98" spans="2:9" x14ac:dyDescent="0.15">
      <c r="B98" s="66" t="str">
        <f>HLOOKUP($B$4,Region_Table,2,0)</f>
        <v>Barking and Dagenham and Havering</v>
      </c>
      <c r="C98" s="98">
        <f>SUMIF('capacity data'!B:B,'cluster capacity, unallocateds'!B98,'capacity data'!K:K)</f>
        <v>0</v>
      </c>
      <c r="D98" s="98">
        <f>COUNTIFS('capacity data'!B:B,'cluster capacity, unallocateds'!B98,'capacity data'!E:E,"DMY")</f>
        <v>0</v>
      </c>
      <c r="E98" s="98">
        <f>SUMIFS('capacity data'!K:K,'capacity data'!E:E,"DMY",'capacity data'!B:B,'cluster capacity, unallocateds'!B98)</f>
        <v>0</v>
      </c>
      <c r="F98" s="70" t="str">
        <f>IFERROR(E98/C98,"")</f>
        <v/>
      </c>
      <c r="G98" s="79">
        <f>SUMIFS('capacity data'!K:K,'capacity data'!E:E,"SPO",'capacity data'!B:B,'cluster capacity, unallocateds'!B98)</f>
        <v>0</v>
      </c>
      <c r="H98" s="169">
        <f t="shared" ref="H98:H113" si="17">E98+G98</f>
        <v>0</v>
      </c>
      <c r="I98" s="172" t="str">
        <f>IFERROR(H98/C98,"")</f>
        <v/>
      </c>
    </row>
    <row r="99" spans="2:9" x14ac:dyDescent="0.15">
      <c r="B99" s="66" t="str">
        <f>HLOOKUP($B$4,Region_Table,3,0)</f>
        <v>Brent - N07</v>
      </c>
      <c r="C99" s="98">
        <f>SUMIF('capacity data'!B:B,'cluster capacity, unallocateds'!B99,'capacity data'!K:K)</f>
        <v>0</v>
      </c>
      <c r="D99" s="98">
        <f>COUNTIFS('capacity data'!B:B,'cluster capacity, unallocateds'!B99,'capacity data'!E:E,"DMY")</f>
        <v>0</v>
      </c>
      <c r="E99" s="98">
        <f>SUMIFS('capacity data'!K:K,'capacity data'!E:E,"DMY",'capacity data'!B:B,'cluster capacity, unallocateds'!B99)</f>
        <v>0</v>
      </c>
      <c r="F99" s="70" t="str">
        <f t="shared" ref="F99:F113" si="18">IFERROR(E99/C99,"")</f>
        <v/>
      </c>
      <c r="G99" s="79">
        <f>SUMIFS('capacity data'!K:K,'capacity data'!E:E,"SPO",'capacity data'!B:B,'cluster capacity, unallocateds'!B99)</f>
        <v>0</v>
      </c>
      <c r="H99" s="169">
        <f t="shared" si="17"/>
        <v>0</v>
      </c>
      <c r="I99" s="172" t="str">
        <f t="shared" ref="I99:I113" si="19">IFERROR(H99/C99,"")</f>
        <v/>
      </c>
    </row>
    <row r="100" spans="2:9" x14ac:dyDescent="0.15">
      <c r="B100" s="66" t="str">
        <f>HLOOKUP($B$4,Region_Table,4,0)</f>
        <v>Camden, Islington</v>
      </c>
      <c r="C100" s="98">
        <f>SUMIF('capacity data'!B:B,'cluster capacity, unallocateds'!B100,'capacity data'!K:K)</f>
        <v>0</v>
      </c>
      <c r="D100" s="98">
        <f>COUNTIFS('capacity data'!B:B,'cluster capacity, unallocateds'!B100,'capacity data'!E:E,"DMY")</f>
        <v>0</v>
      </c>
      <c r="E100" s="98">
        <f>SUMIFS('capacity data'!K:K,'capacity data'!E:E,"DMY",'capacity data'!B:B,'cluster capacity, unallocateds'!B100)</f>
        <v>0</v>
      </c>
      <c r="F100" s="70" t="str">
        <f t="shared" si="18"/>
        <v/>
      </c>
      <c r="G100" s="79">
        <f>SUMIFS('capacity data'!K:K,'capacity data'!E:E,"SPO",'capacity data'!B:B,'cluster capacity, unallocateds'!B100)</f>
        <v>0</v>
      </c>
      <c r="H100" s="169">
        <f t="shared" si="17"/>
        <v>0</v>
      </c>
      <c r="I100" s="172" t="str">
        <f t="shared" si="19"/>
        <v/>
      </c>
    </row>
    <row r="101" spans="2:9" x14ac:dyDescent="0.15">
      <c r="B101" s="66" t="str">
        <f>HLOOKUP($B$4,Region_Table,5,0)</f>
        <v>Community Integration</v>
      </c>
      <c r="C101" s="98">
        <f>SUMIF('capacity data'!B:B,'cluster capacity, unallocateds'!B101,'capacity data'!K:K)</f>
        <v>0</v>
      </c>
      <c r="D101" s="98">
        <f>COUNTIFS('capacity data'!B:B,'cluster capacity, unallocateds'!B101,'capacity data'!E:E,"DMY")</f>
        <v>0</v>
      </c>
      <c r="E101" s="98">
        <f>SUMIFS('capacity data'!K:K,'capacity data'!E:E,"DMY",'capacity data'!B:B,'cluster capacity, unallocateds'!B101)</f>
        <v>0</v>
      </c>
      <c r="F101" s="70" t="str">
        <f t="shared" si="18"/>
        <v/>
      </c>
      <c r="G101" s="79">
        <f>SUMIFS('capacity data'!K:K,'capacity data'!E:E,"SPO",'capacity data'!B:B,'cluster capacity, unallocateds'!B101)</f>
        <v>0</v>
      </c>
      <c r="H101" s="169">
        <f t="shared" si="17"/>
        <v>0</v>
      </c>
      <c r="I101" s="172" t="str">
        <f t="shared" si="19"/>
        <v/>
      </c>
    </row>
    <row r="102" spans="2:9" x14ac:dyDescent="0.15">
      <c r="B102" s="66" t="str">
        <f>HLOOKUP($B$4,Region_Table,6,0)</f>
        <v>Corporate Services - N07</v>
      </c>
      <c r="C102" s="98">
        <f>SUMIF('capacity data'!B:B,'cluster capacity, unallocateds'!B102,'capacity data'!K:K)</f>
        <v>0</v>
      </c>
      <c r="D102" s="98">
        <f>COUNTIFS('capacity data'!B:B,'cluster capacity, unallocateds'!B102,'capacity data'!E:E,"DMY")</f>
        <v>0</v>
      </c>
      <c r="E102" s="98">
        <f>SUMIFS('capacity data'!K:K,'capacity data'!E:E,"DMY",'capacity data'!B:B,'cluster capacity, unallocateds'!B102)</f>
        <v>0</v>
      </c>
      <c r="F102" s="70" t="str">
        <f t="shared" si="18"/>
        <v/>
      </c>
      <c r="G102" s="79">
        <f>SUMIFS('capacity data'!K:K,'capacity data'!E:E,"SPO",'capacity data'!B:B,'cluster capacity, unallocateds'!B102)</f>
        <v>0</v>
      </c>
      <c r="H102" s="169">
        <f t="shared" si="17"/>
        <v>0</v>
      </c>
      <c r="I102" s="172" t="str">
        <f t="shared" si="19"/>
        <v/>
      </c>
    </row>
    <row r="103" spans="2:9" x14ac:dyDescent="0.15">
      <c r="B103" s="66" t="str">
        <f>HLOOKUP($B$4,Region_Table,7,0)</f>
        <v>Croydon - N07</v>
      </c>
      <c r="C103" s="98">
        <f>SUMIF('capacity data'!B:B,'cluster capacity, unallocateds'!B103,'capacity data'!K:K)</f>
        <v>0</v>
      </c>
      <c r="D103" s="98">
        <f>COUNTIFS('capacity data'!B:B,'cluster capacity, unallocateds'!B103,'capacity data'!E:E,"DMY")</f>
        <v>0</v>
      </c>
      <c r="E103" s="98">
        <f>SUMIFS('capacity data'!K:K,'capacity data'!E:E,"DMY",'capacity data'!B:B,'cluster capacity, unallocateds'!B103)</f>
        <v>0</v>
      </c>
      <c r="F103" s="70" t="str">
        <f t="shared" si="18"/>
        <v/>
      </c>
      <c r="G103" s="79">
        <f>SUMIFS('capacity data'!K:K,'capacity data'!E:E,"SPO",'capacity data'!B:B,'cluster capacity, unallocateds'!B103)</f>
        <v>0</v>
      </c>
      <c r="H103" s="169">
        <f t="shared" si="17"/>
        <v>0</v>
      </c>
      <c r="I103" s="172" t="str">
        <f t="shared" si="19"/>
        <v/>
      </c>
    </row>
    <row r="104" spans="2:9" x14ac:dyDescent="0.15">
      <c r="B104" s="66" t="str">
        <f>HLOOKUP($B$4,Region_Table,8,0)</f>
        <v>Ealing and Hillingdon</v>
      </c>
      <c r="C104" s="98">
        <f>SUMIF('capacity data'!B:B,'cluster capacity, unallocateds'!B104,'capacity data'!K:K)</f>
        <v>0</v>
      </c>
      <c r="D104" s="98">
        <f>COUNTIFS('capacity data'!B:B,'cluster capacity, unallocateds'!B104,'capacity data'!E:E,"DMY")</f>
        <v>0</v>
      </c>
      <c r="E104" s="98">
        <f>SUMIFS('capacity data'!K:K,'capacity data'!E:E,"DMY",'capacity data'!B:B,'cluster capacity, unallocateds'!B104)</f>
        <v>0</v>
      </c>
      <c r="F104" s="70" t="str">
        <f t="shared" si="18"/>
        <v/>
      </c>
      <c r="G104" s="79">
        <f>SUMIFS('capacity data'!K:K,'capacity data'!E:E,"SPO",'capacity data'!B:B,'cluster capacity, unallocateds'!B104)</f>
        <v>0</v>
      </c>
      <c r="H104" s="169">
        <f t="shared" si="17"/>
        <v>0</v>
      </c>
      <c r="I104" s="172" t="str">
        <f t="shared" si="19"/>
        <v/>
      </c>
    </row>
    <row r="105" spans="2:9" x14ac:dyDescent="0.15">
      <c r="B105" s="66" t="str">
        <f>HLOOKUP($B$4,Region_Table,9,0)</f>
        <v>Enfield and Haringey</v>
      </c>
      <c r="C105" s="98">
        <f>SUMIF('capacity data'!B:B,'cluster capacity, unallocateds'!B105,'capacity data'!K:K)</f>
        <v>0</v>
      </c>
      <c r="D105" s="98">
        <f>COUNTIFS('capacity data'!B:B,'cluster capacity, unallocateds'!B105,'capacity data'!E:E,"DMY")</f>
        <v>0</v>
      </c>
      <c r="E105" s="98">
        <f>SUMIFS('capacity data'!K:K,'capacity data'!E:E,"DMY",'capacity data'!B:B,'cluster capacity, unallocateds'!B105)</f>
        <v>0</v>
      </c>
      <c r="F105" s="70" t="str">
        <f t="shared" si="18"/>
        <v/>
      </c>
      <c r="G105" s="79">
        <f>SUMIFS('capacity data'!K:K,'capacity data'!E:E,"SPO",'capacity data'!B:B,'cluster capacity, unallocateds'!B105)</f>
        <v>0</v>
      </c>
      <c r="H105" s="169">
        <f t="shared" si="17"/>
        <v>0</v>
      </c>
      <c r="I105" s="172" t="str">
        <f t="shared" si="19"/>
        <v/>
      </c>
    </row>
    <row r="106" spans="2:9" x14ac:dyDescent="0.15">
      <c r="B106" s="66" t="str">
        <f>HLOOKUP($B$4,Region_Table,10,0)</f>
        <v>Greenwich and Bexley</v>
      </c>
      <c r="C106" s="98">
        <f>SUMIF('capacity data'!B:B,'cluster capacity, unallocateds'!B106,'capacity data'!K:K)</f>
        <v>0</v>
      </c>
      <c r="D106" s="98">
        <f>COUNTIFS('capacity data'!B:B,'cluster capacity, unallocateds'!B106,'capacity data'!E:E,"DMY")</f>
        <v>0</v>
      </c>
      <c r="E106" s="98">
        <f>SUMIFS('capacity data'!K:K,'capacity data'!E:E,"DMY",'capacity data'!B:B,'cluster capacity, unallocateds'!B106)</f>
        <v>0</v>
      </c>
      <c r="F106" s="70" t="str">
        <f t="shared" si="18"/>
        <v/>
      </c>
      <c r="G106" s="79">
        <f>SUMIFS('capacity data'!K:K,'capacity data'!E:E,"SPO",'capacity data'!B:B,'cluster capacity, unallocateds'!B106)</f>
        <v>0</v>
      </c>
      <c r="H106" s="169">
        <f t="shared" si="17"/>
        <v>0</v>
      </c>
      <c r="I106" s="172" t="str">
        <f t="shared" si="19"/>
        <v/>
      </c>
    </row>
    <row r="107" spans="2:9" x14ac:dyDescent="0.15">
      <c r="B107" s="66" t="str">
        <f>HLOOKUP($B$4,Region_Table,11,0)</f>
        <v>Hackney and City</v>
      </c>
      <c r="C107" s="98">
        <f>SUMIF('capacity data'!B:B,'cluster capacity, unallocateds'!B107,'capacity data'!K:K)</f>
        <v>0</v>
      </c>
      <c r="D107" s="98">
        <f>COUNTIFS('capacity data'!B:B,'cluster capacity, unallocateds'!B107,'capacity data'!E:E,"DMY")</f>
        <v>0</v>
      </c>
      <c r="E107" s="98">
        <f>SUMIFS('capacity data'!K:K,'capacity data'!E:E,"DMY",'capacity data'!B:B,'cluster capacity, unallocateds'!B107)</f>
        <v>0</v>
      </c>
      <c r="F107" s="70" t="str">
        <f t="shared" si="18"/>
        <v/>
      </c>
      <c r="G107" s="79">
        <f>SUMIFS('capacity data'!K:K,'capacity data'!E:E,"SPO",'capacity data'!B:B,'cluster capacity, unallocateds'!B107)</f>
        <v>0</v>
      </c>
      <c r="H107" s="169">
        <f t="shared" si="17"/>
        <v>0</v>
      </c>
      <c r="I107" s="172" t="str">
        <f t="shared" si="19"/>
        <v/>
      </c>
    </row>
    <row r="108" spans="2:9" x14ac:dyDescent="0.15">
      <c r="B108" s="66" t="str">
        <f>HLOOKUP($B$4,Region_Table,12,0)</f>
        <v>Hammersmith, Fulham, Kensington, Chelsea and Westminster</v>
      </c>
      <c r="C108" s="98">
        <f>SUMIF('capacity data'!B:B,'cluster capacity, unallocateds'!B108,'capacity data'!K:K)</f>
        <v>0</v>
      </c>
      <c r="D108" s="98">
        <f>COUNTIFS('capacity data'!B:B,'cluster capacity, unallocateds'!B108,'capacity data'!E:E,"DMY")</f>
        <v>0</v>
      </c>
      <c r="E108" s="98">
        <f>SUMIFS('capacity data'!K:K,'capacity data'!E:E,"DMY",'capacity data'!B:B,'cluster capacity, unallocateds'!B108)</f>
        <v>0</v>
      </c>
      <c r="F108" s="70" t="str">
        <f t="shared" si="18"/>
        <v/>
      </c>
      <c r="G108" s="79">
        <f>SUMIFS('capacity data'!K:K,'capacity data'!E:E,"SPO",'capacity data'!B:B,'cluster capacity, unallocateds'!B108)</f>
        <v>0</v>
      </c>
      <c r="H108" s="169">
        <f t="shared" si="17"/>
        <v>0</v>
      </c>
      <c r="I108" s="172" t="str">
        <f t="shared" si="19"/>
        <v/>
      </c>
    </row>
    <row r="109" spans="2:9" x14ac:dyDescent="0.15">
      <c r="B109" s="66" t="str">
        <f>HLOOKUP($B$4,Region_Table,13,0)</f>
        <v>Harrow and Barnet</v>
      </c>
      <c r="C109" s="98">
        <f>SUMIF('capacity data'!B:B,'cluster capacity, unallocateds'!B109,'capacity data'!K:K)</f>
        <v>0</v>
      </c>
      <c r="D109" s="98">
        <f>COUNTIFS('capacity data'!B:B,'cluster capacity, unallocateds'!B109,'capacity data'!E:E,"DMY")</f>
        <v>0</v>
      </c>
      <c r="E109" s="98">
        <f>SUMIFS('capacity data'!K:K,'capacity data'!E:E,"DMY",'capacity data'!B:B,'cluster capacity, unallocateds'!B109)</f>
        <v>0</v>
      </c>
      <c r="F109" s="70" t="str">
        <f t="shared" si="18"/>
        <v/>
      </c>
      <c r="G109" s="79">
        <f>SUMIFS('capacity data'!K:K,'capacity data'!E:E,"SPO",'capacity data'!B:B,'cluster capacity, unallocateds'!B109)</f>
        <v>0</v>
      </c>
      <c r="H109" s="169">
        <f t="shared" si="17"/>
        <v>0</v>
      </c>
      <c r="I109" s="172" t="str">
        <f t="shared" si="19"/>
        <v/>
      </c>
    </row>
    <row r="110" spans="2:9" x14ac:dyDescent="0.15">
      <c r="B110" s="66" t="str">
        <f>HLOOKUP($B$4,Region_Table,14,0)</f>
        <v>Inactive Level 2(N07)</v>
      </c>
      <c r="C110" s="98">
        <f>SUMIF('capacity data'!B:B,'cluster capacity, unallocateds'!B110,'capacity data'!K:K)</f>
        <v>0</v>
      </c>
      <c r="D110" s="98">
        <f>COUNTIFS('capacity data'!B:B,'cluster capacity, unallocateds'!B110,'capacity data'!E:E,"DMY")</f>
        <v>0</v>
      </c>
      <c r="E110" s="98">
        <f>SUMIFS('capacity data'!K:K,'capacity data'!E:E,"DMY",'capacity data'!B:B,'cluster capacity, unallocateds'!B110)</f>
        <v>0</v>
      </c>
      <c r="F110" s="70" t="str">
        <f t="shared" si="18"/>
        <v/>
      </c>
      <c r="G110" s="79">
        <f>SUMIFS('capacity data'!K:K,'capacity data'!E:E,"SPO",'capacity data'!B:B,'cluster capacity, unallocateds'!B110)</f>
        <v>0</v>
      </c>
      <c r="H110" s="169">
        <f t="shared" si="17"/>
        <v>0</v>
      </c>
      <c r="I110" s="172" t="str">
        <f t="shared" si="19"/>
        <v/>
      </c>
    </row>
    <row r="111" spans="2:9" x14ac:dyDescent="0.15">
      <c r="B111" s="66" t="str">
        <f>HLOOKUP($B$4,Region_Table,15,0)</f>
        <v>Kingston, Richmond and Hounslow</v>
      </c>
      <c r="C111" s="98">
        <f>SUMIF('capacity data'!B:B,'cluster capacity, unallocateds'!B111,'capacity data'!K:K)</f>
        <v>0</v>
      </c>
      <c r="D111" s="98">
        <f>COUNTIFS('capacity data'!B:B,'cluster capacity, unallocateds'!B111,'capacity data'!E:E,"DMY")</f>
        <v>0</v>
      </c>
      <c r="E111" s="98">
        <f>SUMIFS('capacity data'!K:K,'capacity data'!E:E,"DMY",'capacity data'!B:B,'cluster capacity, unallocateds'!B111)</f>
        <v>0</v>
      </c>
      <c r="F111" s="70" t="str">
        <f t="shared" si="18"/>
        <v/>
      </c>
      <c r="G111" s="79">
        <f>SUMIFS('capacity data'!K:K,'capacity data'!E:E,"SPO",'capacity data'!B:B,'cluster capacity, unallocateds'!B111)</f>
        <v>0</v>
      </c>
      <c r="H111" s="169">
        <f t="shared" si="17"/>
        <v>0</v>
      </c>
      <c r="I111" s="172" t="str">
        <f t="shared" si="19"/>
        <v/>
      </c>
    </row>
    <row r="112" spans="2:9" x14ac:dyDescent="0.15">
      <c r="B112" s="66" t="str">
        <f>HLOOKUP($B$4,Region_Table,16,0)</f>
        <v>Lambeth - N07</v>
      </c>
      <c r="C112" s="98">
        <f>SUMIF('capacity data'!B:B,'cluster capacity, unallocateds'!B112,'capacity data'!K:K)</f>
        <v>0</v>
      </c>
      <c r="D112" s="98">
        <f>COUNTIFS('capacity data'!B:B,'cluster capacity, unallocateds'!B112,'capacity data'!E:E,"DMY")</f>
        <v>0</v>
      </c>
      <c r="E112" s="98">
        <f>SUMIFS('capacity data'!K:K,'capacity data'!E:E,"DMY",'capacity data'!B:B,'cluster capacity, unallocateds'!B112)</f>
        <v>0</v>
      </c>
      <c r="F112" s="70" t="str">
        <f t="shared" si="18"/>
        <v/>
      </c>
      <c r="G112" s="79">
        <f>SUMIFS('capacity data'!K:K,'capacity data'!E:E,"SPO",'capacity data'!B:B,'cluster capacity, unallocateds'!B112)</f>
        <v>0</v>
      </c>
      <c r="H112" s="169">
        <f t="shared" si="17"/>
        <v>0</v>
      </c>
      <c r="I112" s="172" t="str">
        <f t="shared" si="19"/>
        <v/>
      </c>
    </row>
    <row r="113" spans="2:9" x14ac:dyDescent="0.15">
      <c r="B113" s="66" t="str">
        <f>HLOOKUP($B$4,Region_Table,17,0)</f>
        <v>Lewisham and Bromley</v>
      </c>
      <c r="C113" s="98">
        <f>SUMIF('capacity data'!B:B,'cluster capacity, unallocateds'!B113,'capacity data'!K:K)</f>
        <v>0</v>
      </c>
      <c r="D113" s="98">
        <f>COUNTIFS('capacity data'!B:B,'cluster capacity, unallocateds'!B113,'capacity data'!E:E,"DMY")</f>
        <v>0</v>
      </c>
      <c r="E113" s="98">
        <f>SUMIFS('capacity data'!K:K,'capacity data'!E:E,"DMY",'capacity data'!B:B,'cluster capacity, unallocateds'!B113)</f>
        <v>0</v>
      </c>
      <c r="F113" s="70" t="str">
        <f t="shared" si="18"/>
        <v/>
      </c>
      <c r="G113" s="79">
        <f>SUMIFS('capacity data'!K:K,'capacity data'!E:E,"SPO",'capacity data'!B:B,'cluster capacity, unallocateds'!B113)</f>
        <v>0</v>
      </c>
      <c r="H113" s="169">
        <f t="shared" si="17"/>
        <v>0</v>
      </c>
      <c r="I113" s="172" t="str">
        <f t="shared" si="19"/>
        <v/>
      </c>
    </row>
    <row r="114" spans="2:9" x14ac:dyDescent="0.15">
      <c r="B114" s="66" t="str">
        <f>HLOOKUP($B$4,Region_Table,18,0)</f>
        <v>Newham - N07</v>
      </c>
      <c r="C114" s="98">
        <f>SUMIF('capacity data'!B:B,'cluster capacity, unallocateds'!B114,'capacity data'!K:K)</f>
        <v>0</v>
      </c>
      <c r="D114" s="98">
        <f>COUNTIFS('capacity data'!B:B,'cluster capacity, unallocateds'!B114,'capacity data'!E:E,"DMY")</f>
        <v>0</v>
      </c>
      <c r="E114" s="98">
        <f>SUMIFS('capacity data'!K:K,'capacity data'!E:E,"DMY",'capacity data'!B:B,'cluster capacity, unallocateds'!B114)</f>
        <v>0</v>
      </c>
      <c r="F114" s="70" t="str">
        <f t="shared" ref="F114:F116" si="20">IFERROR(E114/C114,"")</f>
        <v/>
      </c>
      <c r="G114" s="79">
        <f>SUMIFS('capacity data'!K:K,'capacity data'!E:E,"SPO",'capacity data'!B:B,'cluster capacity, unallocateds'!B114)</f>
        <v>0</v>
      </c>
      <c r="H114" s="169">
        <f t="shared" ref="H114:H116" si="21">E114+G114</f>
        <v>0</v>
      </c>
      <c r="I114" s="172" t="str">
        <f t="shared" ref="I114:I116" si="22">IFERROR(H114/C114,"")</f>
        <v/>
      </c>
    </row>
    <row r="115" spans="2:9" x14ac:dyDescent="0.15">
      <c r="B115" s="66" t="str">
        <f>HLOOKUP($B$4,Region_Table,19,0)</f>
        <v>Public Protection London</v>
      </c>
      <c r="C115" s="98">
        <f>SUMIF('capacity data'!B:B,'cluster capacity, unallocateds'!B115,'capacity data'!K:K)</f>
        <v>0</v>
      </c>
      <c r="D115" s="98">
        <f>COUNTIFS('capacity data'!B:B,'cluster capacity, unallocateds'!B115,'capacity data'!E:E,"DMY")</f>
        <v>0</v>
      </c>
      <c r="E115" s="98">
        <f>SUMIFS('capacity data'!K:K,'capacity data'!E:E,"DMY",'capacity data'!B:B,'cluster capacity, unallocateds'!B115)</f>
        <v>0</v>
      </c>
      <c r="F115" s="70" t="str">
        <f t="shared" si="20"/>
        <v/>
      </c>
      <c r="G115" s="79">
        <f>SUMIFS('capacity data'!K:K,'capacity data'!E:E,"SPO",'capacity data'!B:B,'cluster capacity, unallocateds'!B115)</f>
        <v>0</v>
      </c>
      <c r="H115" s="169">
        <f t="shared" si="21"/>
        <v>0</v>
      </c>
      <c r="I115" s="172" t="str">
        <f t="shared" si="22"/>
        <v/>
      </c>
    </row>
    <row r="116" spans="2:9" x14ac:dyDescent="0.15">
      <c r="B116" s="66" t="str">
        <f>HLOOKUP($B$4,Region_Table,20,0)</f>
        <v>Redbridge and Waltham Forest</v>
      </c>
      <c r="C116" s="98">
        <f>SUMIF('capacity data'!B:B,'cluster capacity, unallocateds'!B116,'capacity data'!K:K)</f>
        <v>0</v>
      </c>
      <c r="D116" s="98">
        <f>COUNTIFS('capacity data'!B:B,'cluster capacity, unallocateds'!B116,'capacity data'!E:E,"DMY")</f>
        <v>0</v>
      </c>
      <c r="E116" s="98">
        <f>SUMIFS('capacity data'!K:K,'capacity data'!E:E,"DMY",'capacity data'!B:B,'cluster capacity, unallocateds'!B116)</f>
        <v>0</v>
      </c>
      <c r="F116" s="70" t="str">
        <f t="shared" si="20"/>
        <v/>
      </c>
      <c r="G116" s="79">
        <f>SUMIFS('capacity data'!K:K,'capacity data'!E:E,"SPO",'capacity data'!B:B,'cluster capacity, unallocateds'!B116)</f>
        <v>0</v>
      </c>
      <c r="H116" s="169">
        <f t="shared" si="21"/>
        <v>0</v>
      </c>
      <c r="I116" s="172" t="str">
        <f t="shared" si="22"/>
        <v/>
      </c>
    </row>
    <row r="117" spans="2:9" ht="15.75" customHeight="1" x14ac:dyDescent="0.15">
      <c r="B117" s="66" t="str">
        <f>HLOOKUP($B$4,Region_Table,21,0)</f>
        <v>Southwark - N07</v>
      </c>
      <c r="C117" s="98">
        <f>SUMIF('capacity data'!B:B,'cluster capacity, unallocateds'!B117,'capacity data'!K:K)</f>
        <v>0</v>
      </c>
      <c r="D117" s="98">
        <f>COUNTIFS('capacity data'!B:B,'cluster capacity, unallocateds'!B117,'capacity data'!E:E,"DMY")</f>
        <v>0</v>
      </c>
      <c r="E117" s="98">
        <f>SUMIFS('capacity data'!K:K,'capacity data'!E:E,"DMY",'capacity data'!B:B,'cluster capacity, unallocateds'!B117)</f>
        <v>0</v>
      </c>
      <c r="F117" s="70" t="str">
        <f t="shared" ref="F117:F124" si="23">IFERROR(E117/C117,"")</f>
        <v/>
      </c>
      <c r="G117" s="79">
        <f>SUMIFS('capacity data'!K:K,'capacity data'!E:E,"SPO",'capacity data'!B:B,'cluster capacity, unallocateds'!B117)</f>
        <v>0</v>
      </c>
      <c r="H117" s="169">
        <f t="shared" ref="H117:H124" si="24">E117+G117</f>
        <v>0</v>
      </c>
      <c r="I117" s="172" t="str">
        <f t="shared" ref="I117:I124" si="25">IFERROR(H117/C117,"")</f>
        <v/>
      </c>
    </row>
    <row r="118" spans="2:9" x14ac:dyDescent="0.15">
      <c r="B118" s="66" t="str">
        <f>HLOOKUP($B$4,Region_Table,22,0)</f>
        <v>Tower Hamlets</v>
      </c>
      <c r="C118" s="98">
        <f>SUMIF('capacity data'!B:B,'cluster capacity, unallocateds'!B118,'capacity data'!K:K)</f>
        <v>0</v>
      </c>
      <c r="D118" s="98">
        <f>COUNTIFS('capacity data'!B:B,'cluster capacity, unallocateds'!B118,'capacity data'!E:E,"DMY")</f>
        <v>0</v>
      </c>
      <c r="E118" s="98">
        <f>SUMIFS('capacity data'!K:K,'capacity data'!E:E,"DMY",'capacity data'!B:B,'cluster capacity, unallocateds'!B118)</f>
        <v>0</v>
      </c>
      <c r="F118" s="70" t="str">
        <f t="shared" si="23"/>
        <v/>
      </c>
      <c r="G118" s="79">
        <f>SUMIFS('capacity data'!K:K,'capacity data'!E:E,"SPO",'capacity data'!B:B,'cluster capacity, unallocateds'!B118)</f>
        <v>0</v>
      </c>
      <c r="H118" s="169">
        <f t="shared" si="24"/>
        <v>0</v>
      </c>
      <c r="I118" s="172" t="str">
        <f t="shared" si="25"/>
        <v/>
      </c>
    </row>
    <row r="119" spans="2:9" x14ac:dyDescent="0.15">
      <c r="B119" s="66" t="str">
        <f>HLOOKUP($B$4,Region_Table,23,0)</f>
        <v>Unallocated Level 2(N07)</v>
      </c>
      <c r="C119" s="98">
        <f>SUMIF('capacity data'!B:B,'cluster capacity, unallocateds'!B119,'capacity data'!K:K)</f>
        <v>0</v>
      </c>
      <c r="D119" s="98">
        <f>COUNTIFS('capacity data'!B:B,'cluster capacity, unallocateds'!B119,'capacity data'!E:E,"DMY")</f>
        <v>0</v>
      </c>
      <c r="E119" s="98">
        <f>SUMIFS('capacity data'!K:K,'capacity data'!E:E,"DMY",'capacity data'!B:B,'cluster capacity, unallocateds'!B119)</f>
        <v>0</v>
      </c>
      <c r="F119" s="70" t="str">
        <f t="shared" si="23"/>
        <v/>
      </c>
      <c r="G119" s="79">
        <f>SUMIFS('capacity data'!K:K,'capacity data'!E:E,"SPO",'capacity data'!B:B,'cluster capacity, unallocateds'!B119)</f>
        <v>0</v>
      </c>
      <c r="H119" s="169">
        <f t="shared" si="24"/>
        <v>0</v>
      </c>
      <c r="I119" s="172" t="str">
        <f t="shared" si="25"/>
        <v/>
      </c>
    </row>
    <row r="120" spans="2:9" x14ac:dyDescent="0.15">
      <c r="B120" s="66" t="str">
        <f>HLOOKUP($B$4,Region_Table,24,0)</f>
        <v>Unpaid Work and Attendance Centres - N07</v>
      </c>
      <c r="C120" s="98">
        <f>SUMIF('capacity data'!B:B,'cluster capacity, unallocateds'!B120,'capacity data'!K:K)</f>
        <v>0</v>
      </c>
      <c r="D120" s="98">
        <f>COUNTIFS('capacity data'!B:B,'cluster capacity, unallocateds'!B120,'capacity data'!E:E,"DMY")</f>
        <v>0</v>
      </c>
      <c r="E120" s="98">
        <f>SUMIFS('capacity data'!K:K,'capacity data'!E:E,"DMY",'capacity data'!B:B,'cluster capacity, unallocateds'!B120)</f>
        <v>0</v>
      </c>
      <c r="F120" s="70" t="str">
        <f t="shared" si="23"/>
        <v/>
      </c>
      <c r="G120" s="79">
        <f>SUMIFS('capacity data'!K:K,'capacity data'!E:E,"SPO",'capacity data'!B:B,'cluster capacity, unallocateds'!B120)</f>
        <v>0</v>
      </c>
      <c r="H120" s="169">
        <f t="shared" si="24"/>
        <v>0</v>
      </c>
      <c r="I120" s="172" t="str">
        <f t="shared" si="25"/>
        <v/>
      </c>
    </row>
    <row r="121" spans="2:9" x14ac:dyDescent="0.15">
      <c r="B121" s="66" t="str">
        <f>HLOOKUP($B$4,Region_Table,25,0)</f>
        <v>Wandsworth, Merton and Sutton</v>
      </c>
      <c r="C121" s="98">
        <f>SUMIF('capacity data'!B:B,'cluster capacity, unallocateds'!B121,'capacity data'!K:K)</f>
        <v>0</v>
      </c>
      <c r="D121" s="98">
        <f>COUNTIFS('capacity data'!B:B,'cluster capacity, unallocateds'!B121,'capacity data'!E:E,"DMY")</f>
        <v>0</v>
      </c>
      <c r="E121" s="98">
        <f>SUMIFS('capacity data'!K:K,'capacity data'!E:E,"DMY",'capacity data'!B:B,'cluster capacity, unallocateds'!B121)</f>
        <v>0</v>
      </c>
      <c r="F121" s="70" t="str">
        <f t="shared" si="23"/>
        <v/>
      </c>
      <c r="G121" s="79">
        <f>SUMIFS('capacity data'!K:K,'capacity data'!E:E,"SPO",'capacity data'!B:B,'cluster capacity, unallocateds'!B121)</f>
        <v>0</v>
      </c>
      <c r="H121" s="169">
        <f t="shared" si="24"/>
        <v>0</v>
      </c>
      <c r="I121" s="172" t="str">
        <f t="shared" si="25"/>
        <v/>
      </c>
    </row>
    <row r="122" spans="2:9" x14ac:dyDescent="0.15">
      <c r="B122" s="66">
        <f>HLOOKUP($B$4,Region_Table,26,0)</f>
        <v>0</v>
      </c>
      <c r="C122" s="98">
        <f>SUMIF('capacity data'!B:B,'cluster capacity, unallocateds'!B122,'capacity data'!K:K)</f>
        <v>0</v>
      </c>
      <c r="D122" s="98">
        <f>COUNTIFS('capacity data'!B:B,'cluster capacity, unallocateds'!B122,'capacity data'!E:E,"DMY")</f>
        <v>0</v>
      </c>
      <c r="E122" s="98">
        <f>SUMIFS('capacity data'!K:K,'capacity data'!E:E,"DMY",'capacity data'!B:B,'cluster capacity, unallocateds'!B122)</f>
        <v>0</v>
      </c>
      <c r="F122" s="70" t="str">
        <f t="shared" si="23"/>
        <v/>
      </c>
      <c r="G122" s="79">
        <f>SUMIFS('capacity data'!K:K,'capacity data'!E:E,"SPO",'capacity data'!B:B,'cluster capacity, unallocateds'!B122)</f>
        <v>0</v>
      </c>
      <c r="H122" s="169">
        <f t="shared" si="24"/>
        <v>0</v>
      </c>
      <c r="I122" s="172" t="str">
        <f t="shared" si="25"/>
        <v/>
      </c>
    </row>
    <row r="123" spans="2:9" x14ac:dyDescent="0.15">
      <c r="B123" s="66">
        <f>HLOOKUP($B$4,Region_Table,27,0)</f>
        <v>0</v>
      </c>
      <c r="C123" s="98">
        <f>SUMIF('capacity data'!B:B,'cluster capacity, unallocateds'!B123,'capacity data'!K:K)</f>
        <v>0</v>
      </c>
      <c r="D123" s="98">
        <f>COUNTIFS('capacity data'!B:B,'cluster capacity, unallocateds'!B123,'capacity data'!E:E,"DMY")</f>
        <v>0</v>
      </c>
      <c r="E123" s="98">
        <f>SUMIFS('capacity data'!K:K,'capacity data'!E:E,"DMY",'capacity data'!B:B,'cluster capacity, unallocateds'!B123)</f>
        <v>0</v>
      </c>
      <c r="F123" s="70" t="str">
        <f t="shared" si="23"/>
        <v/>
      </c>
      <c r="G123" s="79">
        <f>SUMIFS('capacity data'!K:K,'capacity data'!E:E,"SPO",'capacity data'!B:B,'cluster capacity, unallocateds'!B123)</f>
        <v>0</v>
      </c>
      <c r="H123" s="169">
        <f t="shared" si="24"/>
        <v>0</v>
      </c>
      <c r="I123" s="172" t="str">
        <f t="shared" si="25"/>
        <v/>
      </c>
    </row>
    <row r="124" spans="2:9" x14ac:dyDescent="0.15">
      <c r="B124" s="66">
        <f>HLOOKUP($B$4,Region_Table,28,0)</f>
        <v>0</v>
      </c>
      <c r="C124" s="98">
        <f>SUMIF('capacity data'!B:B,'cluster capacity, unallocateds'!B124,'capacity data'!K:K)</f>
        <v>0</v>
      </c>
      <c r="D124" s="98">
        <f>COUNTIFS('capacity data'!B:B,'cluster capacity, unallocateds'!B124,'capacity data'!E:E,"DMY")</f>
        <v>0</v>
      </c>
      <c r="E124" s="98">
        <f>SUMIFS('capacity data'!K:K,'capacity data'!E:E,"DMY",'capacity data'!B:B,'cluster capacity, unallocateds'!B124)</f>
        <v>0</v>
      </c>
      <c r="F124" s="70" t="str">
        <f t="shared" si="23"/>
        <v/>
      </c>
      <c r="G124" s="79">
        <f>SUMIFS('capacity data'!K:K,'capacity data'!E:E,"SPO",'capacity data'!B:B,'cluster capacity, unallocateds'!B124)</f>
        <v>0</v>
      </c>
      <c r="H124" s="169">
        <f t="shared" si="24"/>
        <v>0</v>
      </c>
      <c r="I124" s="172" t="str">
        <f t="shared" si="25"/>
        <v/>
      </c>
    </row>
  </sheetData>
  <mergeCells count="3">
    <mergeCell ref="C65:K65"/>
    <mergeCell ref="B1:K1"/>
    <mergeCell ref="B2:K2"/>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topLeftCell="A52" zoomScale="85" zoomScaleNormal="85" workbookViewId="0">
      <selection activeCell="B5" sqref="B5"/>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15">
      <c r="A1" s="483" t="s">
        <v>1304</v>
      </c>
      <c r="B1" s="483"/>
      <c r="C1" s="483"/>
      <c r="D1" s="483"/>
      <c r="E1" s="483"/>
      <c r="F1" s="483"/>
      <c r="G1" s="483"/>
      <c r="H1" s="483"/>
      <c r="I1" s="483"/>
      <c r="J1" s="483"/>
      <c r="K1" s="483"/>
      <c r="L1" s="483"/>
      <c r="M1" s="483"/>
      <c r="N1" s="483"/>
      <c r="O1" s="483"/>
      <c r="P1" s="483"/>
      <c r="Q1" s="483"/>
      <c r="R1" s="483"/>
      <c r="S1" s="483"/>
      <c r="T1" s="483"/>
      <c r="U1" s="483"/>
      <c r="V1" s="483"/>
      <c r="W1" s="483"/>
      <c r="X1" s="483"/>
      <c r="Y1" s="483"/>
      <c r="Z1" s="483"/>
      <c r="AA1" s="483"/>
      <c r="AB1" s="483"/>
      <c r="AC1" s="483"/>
      <c r="AD1" s="483"/>
      <c r="AE1" s="483"/>
      <c r="AF1" s="483"/>
      <c r="AG1" s="483"/>
      <c r="AH1" s="483"/>
      <c r="AI1" s="483"/>
      <c r="AJ1" s="483"/>
      <c r="AK1" s="269"/>
      <c r="AL1" s="269"/>
      <c r="AM1" s="269"/>
      <c r="AN1" s="269"/>
      <c r="AO1" s="273"/>
      <c r="AP1" s="269"/>
      <c r="AQ1" s="269"/>
      <c r="AR1" s="269"/>
      <c r="AS1" s="269"/>
      <c r="AT1" s="269"/>
      <c r="AU1" s="269"/>
      <c r="AV1" s="269"/>
      <c r="AW1" s="269"/>
      <c r="AX1" s="269"/>
    </row>
    <row r="2" spans="1:50" ht="53.25" customHeight="1" x14ac:dyDescent="0.15">
      <c r="A2" s="265"/>
      <c r="B2" s="374"/>
      <c r="C2" s="374"/>
      <c r="D2" s="374"/>
      <c r="E2" s="374"/>
      <c r="F2" s="374"/>
      <c r="G2" s="374"/>
      <c r="H2" s="374"/>
      <c r="I2" s="374"/>
      <c r="J2" s="374"/>
      <c r="K2" s="374"/>
      <c r="L2" s="374"/>
      <c r="M2" s="374"/>
      <c r="N2" s="374"/>
      <c r="O2" s="374"/>
      <c r="P2" s="374"/>
      <c r="Q2" s="374"/>
      <c r="R2" s="374"/>
      <c r="S2" s="374"/>
      <c r="T2" s="374"/>
      <c r="U2" s="374"/>
      <c r="V2" s="374"/>
      <c r="W2" s="374"/>
      <c r="X2" s="374"/>
      <c r="Y2" s="374"/>
      <c r="Z2" s="374"/>
      <c r="AA2" s="374"/>
      <c r="AB2" s="374"/>
      <c r="AC2" s="374"/>
      <c r="AD2" s="374"/>
      <c r="AE2" s="374"/>
      <c r="AF2" s="374"/>
      <c r="AG2" s="374"/>
      <c r="AH2" s="374"/>
      <c r="AI2" s="374"/>
      <c r="AJ2" s="374"/>
      <c r="AK2" s="274"/>
      <c r="AL2" s="274"/>
      <c r="AM2" s="274"/>
      <c r="AN2" s="274"/>
      <c r="AO2" s="274"/>
      <c r="AP2" s="274"/>
      <c r="AQ2" s="274"/>
      <c r="AR2" s="274"/>
      <c r="AS2" s="274"/>
      <c r="AT2" s="274"/>
      <c r="AU2" s="274"/>
      <c r="AV2" s="274"/>
      <c r="AW2" s="274"/>
      <c r="AX2" s="274"/>
    </row>
    <row r="3" spans="1:50" s="51" customFormat="1" ht="16" x14ac:dyDescent="0.15">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row>
    <row r="4" spans="1:50" ht="30" x14ac:dyDescent="0.15">
      <c r="B4" s="38" t="s">
        <v>1103</v>
      </c>
    </row>
    <row r="5" spans="1:50" ht="24" customHeight="1" x14ac:dyDescent="0.15">
      <c r="B5" s="251" t="s">
        <v>27</v>
      </c>
      <c r="P5" s="42"/>
      <c r="Q5" s="42"/>
    </row>
    <row r="6" spans="1:50" x14ac:dyDescent="0.15">
      <c r="B6" s="49"/>
    </row>
    <row r="8" spans="1:50" ht="28.5" customHeight="1" x14ac:dyDescent="0.15">
      <c r="B8" s="150" t="str">
        <f>HLOOKUP($B$5,Region_Table,2,0)</f>
        <v>Barking and Dagenham and Havering</v>
      </c>
      <c r="C8" s="475" t="s">
        <v>1305</v>
      </c>
      <c r="D8" s="476"/>
      <c r="E8" s="476"/>
      <c r="F8" s="476"/>
      <c r="G8" s="476"/>
      <c r="H8" s="476"/>
      <c r="I8" s="476"/>
      <c r="J8" s="476"/>
      <c r="K8" s="476"/>
      <c r="L8" s="476"/>
      <c r="M8" s="485"/>
      <c r="N8" s="485"/>
      <c r="O8" s="486"/>
      <c r="P8" s="462">
        <f>SUMIFS('caseload data'!V:V,'caseload data'!B:B,"custody",'caseload data'!C:C,'custody caseload'!B8)</f>
        <v>0</v>
      </c>
      <c r="Q8" s="479"/>
      <c r="R8" s="480"/>
      <c r="S8" s="68"/>
      <c r="T8" s="150" t="str">
        <f>HLOOKUP($B$5,Region_Table,3,0)</f>
        <v>Brent - N07</v>
      </c>
      <c r="U8" s="475" t="s">
        <v>1305</v>
      </c>
      <c r="V8" s="476"/>
      <c r="W8" s="476"/>
      <c r="X8" s="476"/>
      <c r="Y8" s="476"/>
      <c r="Z8" s="476"/>
      <c r="AA8" s="476"/>
      <c r="AB8" s="476"/>
      <c r="AC8" s="476"/>
      <c r="AD8" s="476"/>
      <c r="AE8" s="485"/>
      <c r="AF8" s="485"/>
      <c r="AG8" s="486"/>
      <c r="AH8" s="462">
        <f>SUMIFS('caseload data'!V:V,'caseload data'!B:B,"custody",'caseload data'!C:C,'custody caseload'!T8)</f>
        <v>0</v>
      </c>
      <c r="AI8" s="479"/>
      <c r="AJ8" s="480"/>
    </row>
    <row r="9" spans="1:50" x14ac:dyDescent="0.15">
      <c r="B9" s="99" t="s">
        <v>1171</v>
      </c>
      <c r="C9" s="40" t="s">
        <v>1022</v>
      </c>
      <c r="D9" s="40" t="s">
        <v>1023</v>
      </c>
      <c r="E9" s="40" t="s">
        <v>1024</v>
      </c>
      <c r="F9" s="40" t="s">
        <v>1025</v>
      </c>
      <c r="G9" s="40" t="s">
        <v>1026</v>
      </c>
      <c r="H9" s="40" t="s">
        <v>1027</v>
      </c>
      <c r="I9" s="40" t="s">
        <v>1028</v>
      </c>
      <c r="J9" s="40" t="s">
        <v>1029</v>
      </c>
      <c r="K9" s="40" t="s">
        <v>1030</v>
      </c>
      <c r="L9" s="40" t="s">
        <v>1031</v>
      </c>
      <c r="M9" s="40" t="s">
        <v>1032</v>
      </c>
      <c r="N9" s="40" t="s">
        <v>1033</v>
      </c>
      <c r="O9" s="40" t="s">
        <v>1034</v>
      </c>
      <c r="P9" s="40" t="s">
        <v>1035</v>
      </c>
      <c r="Q9" s="40" t="s">
        <v>1036</v>
      </c>
      <c r="R9" s="40" t="s">
        <v>1037</v>
      </c>
      <c r="S9" s="68"/>
      <c r="T9" s="99" t="s">
        <v>1171</v>
      </c>
      <c r="U9" s="40" t="s">
        <v>1022</v>
      </c>
      <c r="V9" s="40" t="s">
        <v>1023</v>
      </c>
      <c r="W9" s="40" t="s">
        <v>1024</v>
      </c>
      <c r="X9" s="40" t="s">
        <v>1025</v>
      </c>
      <c r="Y9" s="40" t="s">
        <v>1026</v>
      </c>
      <c r="Z9" s="40" t="s">
        <v>1027</v>
      </c>
      <c r="AA9" s="40" t="s">
        <v>1028</v>
      </c>
      <c r="AB9" s="40" t="s">
        <v>1029</v>
      </c>
      <c r="AC9" s="40" t="s">
        <v>1030</v>
      </c>
      <c r="AD9" s="40" t="s">
        <v>1031</v>
      </c>
      <c r="AE9" s="40" t="s">
        <v>1032</v>
      </c>
      <c r="AF9" s="40" t="s">
        <v>1033</v>
      </c>
      <c r="AG9" s="40" t="s">
        <v>1034</v>
      </c>
      <c r="AH9" s="40" t="s">
        <v>1035</v>
      </c>
      <c r="AI9" s="40" t="s">
        <v>1036</v>
      </c>
      <c r="AJ9" s="40" t="s">
        <v>1037</v>
      </c>
    </row>
    <row r="10" spans="1:50" x14ac:dyDescent="0.15">
      <c r="B10" s="100" t="s">
        <v>1166</v>
      </c>
      <c r="C10" s="98">
        <f>SUMIFS('caseload data'!E:E,'caseload data'!$D:$D,"PO",'caseload data'!$C:$C,'custody caseload'!$B$8,'caseload data'!$B:$B,"custody")</f>
        <v>0</v>
      </c>
      <c r="D10" s="98">
        <f>SUMIFS('caseload data'!F:F,'caseload data'!$D:$D,"PO",'caseload data'!$C:$C,'custody caseload'!$B$8,'caseload data'!$B:$B,"custody")</f>
        <v>0</v>
      </c>
      <c r="E10" s="98">
        <f>SUMIFS('caseload data'!G:G,'caseload data'!$D:$D,"PO",'caseload data'!$C:$C,'custody caseload'!$B$8,'caseload data'!$B:$B,"custody")</f>
        <v>0</v>
      </c>
      <c r="F10" s="98">
        <f>SUMIFS('caseload data'!H:H,'caseload data'!$D:$D,"PO",'caseload data'!$C:$C,'custody caseload'!$B$8,'caseload data'!$B:$B,"custody")</f>
        <v>0</v>
      </c>
      <c r="G10" s="98">
        <f>SUMIFS('caseload data'!I:I,'caseload data'!$D:$D,"PO",'caseload data'!$C:$C,'custody caseload'!$B$8,'caseload data'!$B:$B,"custody")</f>
        <v>0</v>
      </c>
      <c r="H10" s="98">
        <f>SUMIFS('caseload data'!J:J,'caseload data'!$D:$D,"PO",'caseload data'!$C:$C,'custody caseload'!$B$8,'caseload data'!$B:$B,"custody")</f>
        <v>0</v>
      </c>
      <c r="I10" s="98">
        <f>SUMIFS('caseload data'!K:K,'caseload data'!$D:$D,"PO",'caseload data'!$C:$C,'custody caseload'!$B$8,'caseload data'!$B:$B,"custody")</f>
        <v>0</v>
      </c>
      <c r="J10" s="98">
        <f>SUMIFS('caseload data'!L:L,'caseload data'!$D:$D,"PO",'caseload data'!$C:$C,'custody caseload'!$B$8,'caseload data'!$B:$B,"custody")</f>
        <v>0</v>
      </c>
      <c r="K10" s="98">
        <f>SUMIFS('caseload data'!M:M,'caseload data'!$D:$D,"PO",'caseload data'!$C:$C,'custody caseload'!$B$8,'caseload data'!$B:$B,"custody")</f>
        <v>0</v>
      </c>
      <c r="L10" s="98">
        <f>SUMIFS('caseload data'!N:N,'caseload data'!$D:$D,"PO",'caseload data'!$C:$C,'custody caseload'!$B$8,'caseload data'!$B:$B,"custody")</f>
        <v>0</v>
      </c>
      <c r="M10" s="98">
        <f>SUMIFS('caseload data'!O:O,'caseload data'!$D:$D,"PO",'caseload data'!$C:$C,'custody caseload'!$B$8,'caseload data'!$B:$B,"custody")</f>
        <v>0</v>
      </c>
      <c r="N10" s="98">
        <f>SUMIFS('caseload data'!P:P,'caseload data'!$D:$D,"PO",'caseload data'!$C:$C,'custody caseload'!$B$8,'caseload data'!$B:$B,"custody")</f>
        <v>0</v>
      </c>
      <c r="O10" s="98">
        <f>SUMIFS('caseload data'!Q:Q,'caseload data'!$D:$D,"PO",'caseload data'!$C:$C,'custody caseload'!$B$8,'caseload data'!$B:$B,"custody")</f>
        <v>0</v>
      </c>
      <c r="P10" s="98">
        <f>SUMIFS('caseload data'!R:R,'caseload data'!$D:$D,"PO",'caseload data'!$C:$C,'custody caseload'!$B$8,'caseload data'!$B:$B,"custody")</f>
        <v>0</v>
      </c>
      <c r="Q10" s="98">
        <f>SUMIFS('caseload data'!S:S,'caseload data'!$D:$D,"PO",'caseload data'!$C:$C,'custody caseload'!$B$8,'caseload data'!$B:$B,"custody")</f>
        <v>0</v>
      </c>
      <c r="R10" s="98">
        <f>SUMIFS('caseload data'!T:T,'caseload data'!$D:$D,"PO",'caseload data'!$C:$C,'custody caseload'!$B$8,'caseload data'!$B:$B,"custody")</f>
        <v>0</v>
      </c>
      <c r="S10" s="68"/>
      <c r="T10" s="100" t="s">
        <v>1166</v>
      </c>
      <c r="U10" s="98">
        <f>SUMIFS('caseload data'!E:E,'caseload data'!$D:$D,"PO",'caseload data'!$C:$C,'custody caseload'!$T$8,'caseload data'!$B:$B,"custody")</f>
        <v>0</v>
      </c>
      <c r="V10" s="98">
        <f>SUMIFS('caseload data'!F:F,'caseload data'!$D:$D,"PO",'caseload data'!$C:$C,'custody caseload'!$T$8,'caseload data'!$B:$B,"custody")</f>
        <v>0</v>
      </c>
      <c r="W10" s="98">
        <f>SUMIFS('caseload data'!G:G,'caseload data'!$D:$D,"PO",'caseload data'!$C:$C,'custody caseload'!$T$8,'caseload data'!$B:$B,"custody")</f>
        <v>0</v>
      </c>
      <c r="X10" s="98">
        <f>SUMIFS('caseload data'!H:H,'caseload data'!$D:$D,"PO",'caseload data'!$C:$C,'custody caseload'!$T$8,'caseload data'!$B:$B,"custody")</f>
        <v>0</v>
      </c>
      <c r="Y10" s="98">
        <f>SUMIFS('caseload data'!I:I,'caseload data'!$D:$D,"PO",'caseload data'!$C:$C,'custody caseload'!$T$8,'caseload data'!$B:$B,"custody")</f>
        <v>0</v>
      </c>
      <c r="Z10" s="98">
        <f>SUMIFS('caseload data'!J:J,'caseload data'!$D:$D,"PO",'caseload data'!$C:$C,'custody caseload'!$T$8,'caseload data'!$B:$B,"custody")</f>
        <v>0</v>
      </c>
      <c r="AA10" s="98">
        <f>SUMIFS('caseload data'!K:K,'caseload data'!$D:$D,"PO",'caseload data'!$C:$C,'custody caseload'!$T$8,'caseload data'!$B:$B,"custody")</f>
        <v>0</v>
      </c>
      <c r="AB10" s="98">
        <f>SUMIFS('caseload data'!L:L,'caseload data'!$D:$D,"PO",'caseload data'!$C:$C,'custody caseload'!$T$8,'caseload data'!$B:$B,"custody")</f>
        <v>0</v>
      </c>
      <c r="AC10" s="98">
        <f>SUMIFS('caseload data'!M:M,'caseload data'!$D:$D,"PO",'caseload data'!$C:$C,'custody caseload'!$T$8,'caseload data'!$B:$B,"custody")</f>
        <v>0</v>
      </c>
      <c r="AD10" s="98">
        <f>SUMIFS('caseload data'!N:N,'caseload data'!$D:$D,"PO",'caseload data'!$C:$C,'custody caseload'!$T$8,'caseload data'!$B:$B,"custody")</f>
        <v>0</v>
      </c>
      <c r="AE10" s="98">
        <f>SUMIFS('caseload data'!O:O,'caseload data'!$D:$D,"PO",'caseload data'!$C:$C,'custody caseload'!$T$8,'caseload data'!$B:$B,"custody")</f>
        <v>0</v>
      </c>
      <c r="AF10" s="98">
        <f>SUMIFS('caseload data'!P:P,'caseload data'!$D:$D,"PO",'caseload data'!$C:$C,'custody caseload'!$T$8,'caseload data'!$B:$B,"custody")</f>
        <v>0</v>
      </c>
      <c r="AG10" s="98">
        <f>SUMIFS('caseload data'!Q:Q,'caseload data'!$D:$D,"PO",'caseload data'!$C:$C,'custody caseload'!$T$8,'caseload data'!$B:$B,"custody")</f>
        <v>0</v>
      </c>
      <c r="AH10" s="98">
        <f>SUMIFS('caseload data'!R:R,'caseload data'!$D:$D,"PO",'caseload data'!$C:$C,'custody caseload'!$T$8,'caseload data'!$B:$B,"custody")</f>
        <v>0</v>
      </c>
      <c r="AI10" s="98">
        <f>SUMIFS('caseload data'!S:S,'caseload data'!$D:$D,"PO",'caseload data'!$C:$C,'custody caseload'!$T$8,'caseload data'!$B:$B,"custody")</f>
        <v>0</v>
      </c>
      <c r="AJ10" s="98">
        <f>SUMIFS('caseload data'!T:T,'caseload data'!$D:$D,"PO",'caseload data'!$C:$C,'custody caseload'!$T$8,'caseload data'!$B:$B,"custody")</f>
        <v>0</v>
      </c>
    </row>
    <row r="11" spans="1:50" ht="15" x14ac:dyDescent="0.2">
      <c r="B11" s="101" t="s">
        <v>1172</v>
      </c>
      <c r="C11" s="153">
        <f>SUMIFS('caseload data'!E:E,'caseload data'!$D:$D,"PSO",'caseload data'!$C:$C,'custody caseload'!$B$8,'caseload data'!$B:$B,"custody")</f>
        <v>0</v>
      </c>
      <c r="D11" s="153">
        <f>SUMIFS('caseload data'!F:F,'caseload data'!$D:$D,"PSO",'caseload data'!$C:$C,'custody caseload'!$B$8,'caseload data'!$B:$B,"custody")</f>
        <v>0</v>
      </c>
      <c r="E11" s="153">
        <f>SUMIFS('caseload data'!G:G,'caseload data'!$D:$D,"PSO",'caseload data'!$C:$C,'custody caseload'!$B$8,'caseload data'!$B:$B,"custody")</f>
        <v>0</v>
      </c>
      <c r="F11" s="153">
        <f>SUMIFS('caseload data'!H:H,'caseload data'!$D:$D,"PSO",'caseload data'!$C:$C,'custody caseload'!$B$8,'caseload data'!$B:$B,"custody")</f>
        <v>0</v>
      </c>
      <c r="G11" s="153">
        <f>SUMIFS('caseload data'!I:I,'caseload data'!$D:$D,"PSO",'caseload data'!$C:$C,'custody caseload'!$B$8,'caseload data'!$B:$B,"custody")</f>
        <v>0</v>
      </c>
      <c r="H11" s="153">
        <f>SUMIFS('caseload data'!J:J,'caseload data'!$D:$D,"PSO",'caseload data'!$C:$C,'custody caseload'!$B$8,'caseload data'!$B:$B,"custody")</f>
        <v>0</v>
      </c>
      <c r="I11" s="153">
        <f>SUMIFS('caseload data'!K:K,'caseload data'!$D:$D,"PSO",'caseload data'!$C:$C,'custody caseload'!$B$8,'caseload data'!$B:$B,"custody")</f>
        <v>0</v>
      </c>
      <c r="J11" s="153">
        <f>SUMIFS('caseload data'!L:L,'caseload data'!$D:$D,"PSO",'caseload data'!$C:$C,'custody caseload'!$B$8,'caseload data'!$B:$B,"custody")</f>
        <v>0</v>
      </c>
      <c r="K11" s="98">
        <f>SUMIFS('caseload data'!M:M,'caseload data'!$D:$D,"PSO",'caseload data'!$C:$C,'custody caseload'!$B$8,'caseload data'!$B:$B,"custody")</f>
        <v>0</v>
      </c>
      <c r="L11" s="98">
        <f>SUMIFS('caseload data'!N:N,'caseload data'!$D:$D,"PSO",'caseload data'!$C:$C,'custody caseload'!$B$8,'caseload data'!$B:$B,"custody")</f>
        <v>0</v>
      </c>
      <c r="M11" s="98">
        <f>SUMIFS('caseload data'!O:O,'caseload data'!$D:$D,"PSO",'caseload data'!$C:$C,'custody caseload'!$B$8,'caseload data'!$B:$B,"custody")</f>
        <v>0</v>
      </c>
      <c r="N11" s="98">
        <f>SUMIFS('caseload data'!P:P,'caseload data'!$D:$D,"PSO",'caseload data'!$C:$C,'custody caseload'!$B$8,'caseload data'!$B:$B,"custody")</f>
        <v>0</v>
      </c>
      <c r="O11" s="98">
        <f>SUMIFS('caseload data'!Q:Q,'caseload data'!$D:$D,"PSO",'caseload data'!$C:$C,'custody caseload'!$B$8,'caseload data'!$B:$B,"custody")</f>
        <v>0</v>
      </c>
      <c r="P11" s="98">
        <f>SUMIFS('caseload data'!R:R,'caseload data'!$D:$D,"PSO",'caseload data'!$C:$C,'custody caseload'!$B$8,'caseload data'!$B:$B,"custody")</f>
        <v>0</v>
      </c>
      <c r="Q11" s="98">
        <f>SUMIFS('caseload data'!S:S,'caseload data'!$D:$D,"PSO",'caseload data'!$C:$C,'custody caseload'!$B$8,'caseload data'!$B:$B,"custody")</f>
        <v>0</v>
      </c>
      <c r="R11" s="98">
        <f>SUMIFS('caseload data'!T:T,'caseload data'!$D:$D,"PSO",'caseload data'!$C:$C,'custody caseload'!$B$8,'caseload data'!$B:$B,"custody")</f>
        <v>0</v>
      </c>
      <c r="S11" s="68"/>
      <c r="T11" s="101" t="s">
        <v>1172</v>
      </c>
      <c r="U11" s="153">
        <f>SUMIFS('caseload data'!E:E,'caseload data'!$D:$D,"PSO",'caseload data'!$C:$C,'custody caseload'!$T$8,'caseload data'!$B:$B,"custody")</f>
        <v>0</v>
      </c>
      <c r="V11" s="153">
        <f>SUMIFS('caseload data'!F:F,'caseload data'!$D:$D,"PSO",'caseload data'!$C:$C,'custody caseload'!$T$8,'caseload data'!$B:$B,"custody")</f>
        <v>0</v>
      </c>
      <c r="W11" s="153">
        <f>SUMIFS('caseload data'!G:G,'caseload data'!$D:$D,"PSO",'caseload data'!$C:$C,'custody caseload'!$T$8,'caseload data'!$B:$B,"custody")</f>
        <v>0</v>
      </c>
      <c r="X11" s="153">
        <f>SUMIFS('caseload data'!H:H,'caseload data'!$D:$D,"PSO",'caseload data'!$C:$C,'custody caseload'!$T$8,'caseload data'!$B:$B,"custody")</f>
        <v>0</v>
      </c>
      <c r="Y11" s="153">
        <f>SUMIFS('caseload data'!I:I,'caseload data'!$D:$D,"PSO",'caseload data'!$C:$C,'custody caseload'!$T$8,'caseload data'!$B:$B,"custody")</f>
        <v>0</v>
      </c>
      <c r="Z11" s="153">
        <f>SUMIFS('caseload data'!J:J,'caseload data'!$D:$D,"PSO",'caseload data'!$C:$C,'custody caseload'!$T$8,'caseload data'!$B:$B,"custody")</f>
        <v>0</v>
      </c>
      <c r="AA11" s="153">
        <f>SUMIFS('caseload data'!K:K,'caseload data'!$D:$D,"PSO",'caseload data'!$C:$C,'custody caseload'!$T$8,'caseload data'!$B:$B,"custody")</f>
        <v>0</v>
      </c>
      <c r="AB11" s="153">
        <f>SUMIFS('caseload data'!L:L,'caseload data'!$D:$D,"PSO",'caseload data'!$C:$C,'custody caseload'!$T$8,'caseload data'!$B:$B,"custody")</f>
        <v>0</v>
      </c>
      <c r="AC11" s="98">
        <f>SUMIFS('caseload data'!M:M,'caseload data'!$D:$D,"PSO",'caseload data'!$C:$C,'custody caseload'!$T$8,'caseload data'!$B:$B,"custody")</f>
        <v>0</v>
      </c>
      <c r="AD11" s="98">
        <f>SUMIFS('caseload data'!N:N,'caseload data'!$D:$D,"PSO",'caseload data'!$C:$C,'custody caseload'!$T$8,'caseload data'!$B:$B,"custody")</f>
        <v>0</v>
      </c>
      <c r="AE11" s="98">
        <f>SUMIFS('caseload data'!O:O,'caseload data'!$D:$D,"PSO",'caseload data'!$C:$C,'custody caseload'!$T$8,'caseload data'!$B:$B,"custody")</f>
        <v>0</v>
      </c>
      <c r="AF11" s="98">
        <f>SUMIFS('caseload data'!P:P,'caseload data'!$D:$D,"PSO",'caseload data'!$C:$C,'custody caseload'!$T$8,'caseload data'!$B:$B,"custody")</f>
        <v>0</v>
      </c>
      <c r="AG11" s="98">
        <f>SUMIFS('caseload data'!Q:Q,'caseload data'!$D:$D,"PSO",'caseload data'!$C:$C,'custody caseload'!$T$8,'caseload data'!$B:$B,"custody")</f>
        <v>0</v>
      </c>
      <c r="AH11" s="98">
        <f>SUMIFS('caseload data'!R:R,'caseload data'!$D:$D,"PSO",'caseload data'!$C:$C,'custody caseload'!$T$8,'caseload data'!$B:$B,"custody")</f>
        <v>0</v>
      </c>
      <c r="AI11" s="98">
        <f>SUMIFS('caseload data'!S:S,'caseload data'!$D:$D,"PSO",'caseload data'!$C:$C,'custody caseload'!$T$8,'caseload data'!$B:$B,"custody")</f>
        <v>0</v>
      </c>
      <c r="AJ11" s="98">
        <f>SUMIFS('caseload data'!T:T,'caseload data'!$D:$D,"PSO",'caseload data'!$C:$C,'custody caseload'!$T$8,'caseload data'!$B:$B,"custody")</f>
        <v>0</v>
      </c>
    </row>
    <row r="12" spans="1:50" ht="15" x14ac:dyDescent="0.2">
      <c r="B12" s="101" t="s">
        <v>1173</v>
      </c>
      <c r="C12" s="153">
        <f>SUMIFS('caseload data'!E:E,'caseload data'!$D:$D,"TPO",'caseload data'!$C:$C,'custody caseload'!$B$8,'caseload data'!$B:$B,"custody")</f>
        <v>0</v>
      </c>
      <c r="D12" s="153">
        <f>SUMIFS('caseload data'!F:F,'caseload data'!$D:$D,"TPO",'caseload data'!$C:$C,'custody caseload'!$B$8,'caseload data'!$B:$B,"custody")</f>
        <v>0</v>
      </c>
      <c r="E12" s="153">
        <f>SUMIFS('caseload data'!G:G,'caseload data'!$D:$D,"TPO",'caseload data'!$C:$C,'custody caseload'!$B$8,'caseload data'!$B:$B,"custody")</f>
        <v>0</v>
      </c>
      <c r="F12" s="153">
        <f>SUMIFS('caseload data'!H:H,'caseload data'!$D:$D,"TPO",'caseload data'!$C:$C,'custody caseload'!$B$8,'caseload data'!$B:$B,"custody")</f>
        <v>0</v>
      </c>
      <c r="G12" s="153">
        <f>SUMIFS('caseload data'!I:I,'caseload data'!$D:$D,"TPO",'caseload data'!$C:$C,'custody caseload'!$B$8,'caseload data'!$B:$B,"custody")</f>
        <v>0</v>
      </c>
      <c r="H12" s="153">
        <f>SUMIFS('caseload data'!J:J,'caseload data'!$D:$D,"TPO",'caseload data'!$C:$C,'custody caseload'!$B$8,'caseload data'!$B:$B,"custody")</f>
        <v>0</v>
      </c>
      <c r="I12" s="153">
        <f>SUMIFS('caseload data'!K:K,'caseload data'!$D:$D,"TPO",'caseload data'!$C:$C,'custody caseload'!$B$8,'caseload data'!$B:$B,"custody")</f>
        <v>0</v>
      </c>
      <c r="J12" s="153">
        <f>SUMIFS('caseload data'!L:L,'caseload data'!$D:$D,"TPO",'caseload data'!$C:$C,'custody caseload'!$B$8,'caseload data'!$B:$B,"custody")</f>
        <v>0</v>
      </c>
      <c r="K12" s="98">
        <f>SUMIFS('caseload data'!M:M,'caseload data'!$D:$D,"TPO",'caseload data'!$C:$C,'custody caseload'!$B$8,'caseload data'!$B:$B,"custody")</f>
        <v>0</v>
      </c>
      <c r="L12" s="98">
        <f>SUMIFS('caseload data'!N:N,'caseload data'!$D:$D,"TPO",'caseload data'!$C:$C,'custody caseload'!$B$8,'caseload data'!$B:$B,"custody")</f>
        <v>0</v>
      </c>
      <c r="M12" s="98">
        <f>SUMIFS('caseload data'!O:O,'caseload data'!$D:$D,"TPO",'caseload data'!$C:$C,'custody caseload'!$B$8,'caseload data'!$B:$B,"custody")</f>
        <v>0</v>
      </c>
      <c r="N12" s="98">
        <f>SUMIFS('caseload data'!P:P,'caseload data'!$D:$D,"TPO",'caseload data'!$C:$C,'custody caseload'!$B$8,'caseload data'!$B:$B,"custody")</f>
        <v>0</v>
      </c>
      <c r="O12" s="98">
        <f>SUMIFS('caseload data'!Q:Q,'caseload data'!$D:$D,"TPO",'caseload data'!$C:$C,'custody caseload'!$B$8,'caseload data'!$B:$B,"custody")</f>
        <v>0</v>
      </c>
      <c r="P12" s="98">
        <f>SUMIFS('caseload data'!R:R,'caseload data'!$D:$D,"TPO",'caseload data'!$C:$C,'custody caseload'!$B$8,'caseload data'!$B:$B,"custody")</f>
        <v>0</v>
      </c>
      <c r="Q12" s="98">
        <f>SUMIFS('caseload data'!S:S,'caseload data'!$D:$D,"TPO",'caseload data'!$C:$C,'custody caseload'!$B$8,'caseload data'!$B:$B,"custody")</f>
        <v>0</v>
      </c>
      <c r="R12" s="98">
        <f>SUMIFS('caseload data'!T:T,'caseload data'!$D:$D,"TPO",'caseload data'!$C:$C,'custody caseload'!$B$8,'caseload data'!$B:$B,"custody")</f>
        <v>0</v>
      </c>
      <c r="S12" s="68"/>
      <c r="T12" s="101" t="s">
        <v>1173</v>
      </c>
      <c r="U12" s="153">
        <f>SUMIFS('caseload data'!E:E,'caseload data'!$D:$D,"TPO",'caseload data'!$C:$C,'custody caseload'!$T$8,'caseload data'!$B:$B,"custody")</f>
        <v>0</v>
      </c>
      <c r="V12" s="153">
        <f>SUMIFS('caseload data'!F:F,'caseload data'!$D:$D,"TPO",'caseload data'!$C:$C,'custody caseload'!$T$8,'caseload data'!$B:$B,"custody")</f>
        <v>0</v>
      </c>
      <c r="W12" s="153">
        <f>SUMIFS('caseload data'!G:G,'caseload data'!$D:$D,"TPO",'caseload data'!$C:$C,'custody caseload'!$T$8,'caseload data'!$B:$B,"custody")</f>
        <v>0</v>
      </c>
      <c r="X12" s="153">
        <f>SUMIFS('caseload data'!H:H,'caseload data'!$D:$D,"TPO",'caseload data'!$C:$C,'custody caseload'!$T$8,'caseload data'!$B:$B,"custody")</f>
        <v>0</v>
      </c>
      <c r="Y12" s="153">
        <f>SUMIFS('caseload data'!I:I,'caseload data'!$D:$D,"TPO",'caseload data'!$C:$C,'custody caseload'!$T$8,'caseload data'!$B:$B,"custody")</f>
        <v>0</v>
      </c>
      <c r="Z12" s="153">
        <f>SUMIFS('caseload data'!J:J,'caseload data'!$D:$D,"TPO",'caseload data'!$C:$C,'custody caseload'!$T$8,'caseload data'!$B:$B,"custody")</f>
        <v>0</v>
      </c>
      <c r="AA12" s="153">
        <f>SUMIFS('caseload data'!K:K,'caseload data'!$D:$D,"TPO",'caseload data'!$C:$C,'custody caseload'!$T$8,'caseload data'!$B:$B,"custody")</f>
        <v>0</v>
      </c>
      <c r="AB12" s="153">
        <f>SUMIFS('caseload data'!L:L,'caseload data'!$D:$D,"TPO",'caseload data'!$C:$C,'custody caseload'!$T$8,'caseload data'!$B:$B,"custody")</f>
        <v>0</v>
      </c>
      <c r="AC12" s="98">
        <f>SUMIFS('caseload data'!M:M,'caseload data'!$D:$D,"TPO",'caseload data'!$C:$C,'custody caseload'!$T$8,'caseload data'!$B:$B,"custody")</f>
        <v>0</v>
      </c>
      <c r="AD12" s="98">
        <f>SUMIFS('caseload data'!N:N,'caseload data'!$D:$D,"TPO",'caseload data'!$C:$C,'custody caseload'!$T$8,'caseload data'!$B:$B,"custody")</f>
        <v>0</v>
      </c>
      <c r="AE12" s="98">
        <f>SUMIFS('caseload data'!O:O,'caseload data'!$D:$D,"TPO",'caseload data'!$C:$C,'custody caseload'!$T$8,'caseload data'!$B:$B,"custody")</f>
        <v>0</v>
      </c>
      <c r="AF12" s="98">
        <f>SUMIFS('caseload data'!P:P,'caseload data'!$D:$D,"TPO",'caseload data'!$C:$C,'custody caseload'!$T$8,'caseload data'!$B:$B,"custody")</f>
        <v>0</v>
      </c>
      <c r="AG12" s="98">
        <f>SUMIFS('caseload data'!Q:Q,'caseload data'!$D:$D,"TPO",'caseload data'!$C:$C,'custody caseload'!$T$8,'caseload data'!$B:$B,"custody")</f>
        <v>0</v>
      </c>
      <c r="AH12" s="98">
        <f>SUMIFS('caseload data'!R:R,'caseload data'!$D:$D,"TPO",'caseload data'!$C:$C,'custody caseload'!$T$8,'caseload data'!$B:$B,"custody")</f>
        <v>0</v>
      </c>
      <c r="AI12" s="98">
        <f>SUMIFS('caseload data'!S:S,'caseload data'!$D:$D,"TPO",'caseload data'!$C:$C,'custody caseload'!$T$8,'caseload data'!$B:$B,"custody")</f>
        <v>0</v>
      </c>
      <c r="AJ12" s="98">
        <f>SUMIFS('caseload data'!T:T,'caseload data'!$D:$D,"TPO",'caseload data'!$C:$C,'custody caseload'!$T$8,'caseload data'!$B:$B,"custody")</f>
        <v>0</v>
      </c>
    </row>
    <row r="13" spans="1:50" x14ac:dyDescent="0.15">
      <c r="B13" s="102" t="s">
        <v>1174</v>
      </c>
      <c r="C13" s="98">
        <f>SUMIFS('caseload data'!E:E,'caseload data'!$D:$D,"SPO",'caseload data'!$C:$C,'custody caseload'!$B$8,'caseload data'!$B:$B,"custody")</f>
        <v>0</v>
      </c>
      <c r="D13" s="98">
        <f>SUMIFS('caseload data'!F:F,'caseload data'!$D:$D,"SPO",'caseload data'!$C:$C,'custody caseload'!$B$8,'caseload data'!$B:$B,"custody")</f>
        <v>0</v>
      </c>
      <c r="E13" s="98">
        <f>SUMIFS('caseload data'!G:G,'caseload data'!$D:$D,"SPO",'caseload data'!$C:$C,'custody caseload'!$B$8,'caseload data'!$B:$B,"custody")</f>
        <v>0</v>
      </c>
      <c r="F13" s="98">
        <f>SUMIFS('caseload data'!H:H,'caseload data'!$D:$D,"SPO",'caseload data'!$C:$C,'custody caseload'!$B$8,'caseload data'!$B:$B,"custody")</f>
        <v>0</v>
      </c>
      <c r="G13" s="98">
        <f>SUMIFS('caseload data'!I:I,'caseload data'!$D:$D,"SPO",'caseload data'!$C:$C,'custody caseload'!$B$8,'caseload data'!$B:$B,"custody")</f>
        <v>0</v>
      </c>
      <c r="H13" s="98">
        <f>SUMIFS('caseload data'!J:J,'caseload data'!$D:$D,"SPO",'caseload data'!$C:$C,'custody caseload'!$B$8,'caseload data'!$B:$B,"custody")</f>
        <v>0</v>
      </c>
      <c r="I13" s="98">
        <f>SUMIFS('caseload data'!K:K,'caseload data'!$D:$D,"SPO",'caseload data'!$C:$C,'custody caseload'!$B$8,'caseload data'!$B:$B,"custody")</f>
        <v>0</v>
      </c>
      <c r="J13" s="98">
        <f>SUMIFS('caseload data'!L:L,'caseload data'!$D:$D,"SPO",'caseload data'!$C:$C,'custody caseload'!$B$8,'caseload data'!$B:$B,"custody")</f>
        <v>0</v>
      </c>
      <c r="K13" s="98">
        <f>SUMIFS('caseload data'!M:M,'caseload data'!$D:$D,"SPO",'caseload data'!$C:$C,'custody caseload'!$B$8,'caseload data'!$B:$B,"custody")</f>
        <v>0</v>
      </c>
      <c r="L13" s="98">
        <f>SUMIFS('caseload data'!N:N,'caseload data'!$D:$D,"SPO",'caseload data'!$C:$C,'custody caseload'!$B$8,'caseload data'!$B:$B,"custody")</f>
        <v>0</v>
      </c>
      <c r="M13" s="98">
        <f>SUMIFS('caseload data'!O:O,'caseload data'!$D:$D,"SPO",'caseload data'!$C:$C,'custody caseload'!$B$8,'caseload data'!$B:$B,"custody")</f>
        <v>0</v>
      </c>
      <c r="N13" s="98">
        <f>SUMIFS('caseload data'!P:P,'caseload data'!$D:$D,"SPO",'caseload data'!$C:$C,'custody caseload'!$B$8,'caseload data'!$B:$B,"custody")</f>
        <v>0</v>
      </c>
      <c r="O13" s="98">
        <f>SUMIFS('caseload data'!Q:Q,'caseload data'!$D:$D,"SPO",'caseload data'!$C:$C,'custody caseload'!$B$8,'caseload data'!$B:$B,"custody")</f>
        <v>0</v>
      </c>
      <c r="P13" s="98">
        <f>SUMIFS('caseload data'!R:R,'caseload data'!$D:$D,"SPO",'caseload data'!$C:$C,'custody caseload'!$B$8,'caseload data'!$B:$B,"custody")</f>
        <v>0</v>
      </c>
      <c r="Q13" s="98">
        <f>SUMIFS('caseload data'!S:S,'caseload data'!$D:$D,"SPO",'caseload data'!$C:$C,'custody caseload'!$B$8,'caseload data'!$B:$B,"custody")</f>
        <v>0</v>
      </c>
      <c r="R13" s="98">
        <f>SUMIFS('caseload data'!T:T,'caseload data'!$D:$D,"SPO",'caseload data'!$C:$C,'custody caseload'!$B$8,'caseload data'!$B:$B,"custody")</f>
        <v>0</v>
      </c>
      <c r="S13" s="68"/>
      <c r="T13" s="102" t="s">
        <v>1174</v>
      </c>
      <c r="U13" s="98">
        <f>SUMIFS('caseload data'!E:E,'caseload data'!$D:$D,"SPO",'caseload data'!$C:$C,'custody caseload'!$T$8,'caseload data'!$B:$B,"custody")</f>
        <v>0</v>
      </c>
      <c r="V13" s="98">
        <f>SUMIFS('caseload data'!F:F,'caseload data'!$D:$D,"SPO",'caseload data'!$C:$C,'custody caseload'!$T$8,'caseload data'!$B:$B,"custody")</f>
        <v>0</v>
      </c>
      <c r="W13" s="98">
        <f>SUMIFS('caseload data'!G:G,'caseload data'!$D:$D,"SPO",'caseload data'!$C:$C,'custody caseload'!$T$8,'caseload data'!$B:$B,"custody")</f>
        <v>0</v>
      </c>
      <c r="X13" s="98">
        <f>SUMIFS('caseload data'!H:H,'caseload data'!$D:$D,"SPO",'caseload data'!$C:$C,'custody caseload'!$T$8,'caseload data'!$B:$B,"custody")</f>
        <v>0</v>
      </c>
      <c r="Y13" s="98">
        <f>SUMIFS('caseload data'!I:I,'caseload data'!$D:$D,"SPO",'caseload data'!$C:$C,'custody caseload'!$T$8,'caseload data'!$B:$B,"custody")</f>
        <v>0</v>
      </c>
      <c r="Z13" s="98">
        <f>SUMIFS('caseload data'!J:J,'caseload data'!$D:$D,"SPO",'caseload data'!$C:$C,'custody caseload'!$T$8,'caseload data'!$B:$B,"custody")</f>
        <v>0</v>
      </c>
      <c r="AA13" s="98">
        <f>SUMIFS('caseload data'!K:K,'caseload data'!$D:$D,"SPO",'caseload data'!$C:$C,'custody caseload'!$T$8,'caseload data'!$B:$B,"custody")</f>
        <v>0</v>
      </c>
      <c r="AB13" s="98">
        <f>SUMIFS('caseload data'!L:L,'caseload data'!$D:$D,"SPO",'caseload data'!$C:$C,'custody caseload'!$T$8,'caseload data'!$B:$B,"custody")</f>
        <v>0</v>
      </c>
      <c r="AC13" s="98">
        <f>SUMIFS('caseload data'!M:M,'caseload data'!$D:$D,"SPO",'caseload data'!$C:$C,'custody caseload'!$T$8,'caseload data'!$B:$B,"custody")</f>
        <v>0</v>
      </c>
      <c r="AD13" s="98">
        <f>SUMIFS('caseload data'!N:N,'caseload data'!$D:$D,"SPO",'caseload data'!$C:$C,'custody caseload'!$T$8,'caseload data'!$B:$B,"custody")</f>
        <v>0</v>
      </c>
      <c r="AE13" s="98">
        <f>SUMIFS('caseload data'!O:O,'caseload data'!$D:$D,"SPO",'caseload data'!$C:$C,'custody caseload'!$T$8,'caseload data'!$B:$B,"custody")</f>
        <v>0</v>
      </c>
      <c r="AF13" s="98">
        <f>SUMIFS('caseload data'!P:P,'caseload data'!$D:$D,"SPO",'caseload data'!$C:$C,'custody caseload'!$T$8,'caseload data'!$B:$B,"custody")</f>
        <v>0</v>
      </c>
      <c r="AG13" s="98">
        <f>SUMIFS('caseload data'!Q:Q,'caseload data'!$D:$D,"SPO",'caseload data'!$C:$C,'custody caseload'!$T$8,'caseload data'!$B:$B,"custody")</f>
        <v>0</v>
      </c>
      <c r="AH13" s="98">
        <f>SUMIFS('caseload data'!R:R,'caseload data'!$D:$D,"SPO",'caseload data'!$C:$C,'custody caseload'!$T$8,'caseload data'!$B:$B,"custody")</f>
        <v>0</v>
      </c>
      <c r="AI13" s="98">
        <f>SUMIFS('caseload data'!S:S,'caseload data'!$D:$D,"SPO",'caseload data'!$C:$C,'custody caseload'!$T$8,'caseload data'!$B:$B,"custody")</f>
        <v>0</v>
      </c>
      <c r="AJ13" s="98">
        <f>SUMIFS('caseload data'!T:T,'caseload data'!$D:$D,"SPO",'caseload data'!$C:$C,'custody caseload'!$T$8,'caseload data'!$B:$B,"custody")</f>
        <v>0</v>
      </c>
    </row>
    <row r="14" spans="1:50" x14ac:dyDescent="0.15">
      <c r="B14" s="95"/>
      <c r="C14" s="68"/>
      <c r="D14" s="68"/>
      <c r="E14" s="68"/>
      <c r="F14" s="68"/>
      <c r="G14" s="68"/>
      <c r="H14" s="68"/>
      <c r="I14" s="68"/>
      <c r="J14" s="68"/>
      <c r="K14" s="68"/>
      <c r="L14" s="68"/>
      <c r="M14" s="68"/>
      <c r="N14" s="68"/>
      <c r="O14" s="68"/>
      <c r="P14" s="68"/>
      <c r="Q14" s="68"/>
      <c r="R14" s="68"/>
      <c r="S14" s="68"/>
      <c r="T14" s="95"/>
      <c r="U14" s="68"/>
      <c r="V14" s="68"/>
      <c r="W14" s="68"/>
      <c r="X14" s="68"/>
      <c r="Y14" s="68"/>
      <c r="Z14" s="68"/>
      <c r="AA14" s="68"/>
      <c r="AB14" s="68"/>
      <c r="AC14" s="68"/>
      <c r="AD14" s="68"/>
      <c r="AE14" s="68"/>
      <c r="AF14" s="68"/>
      <c r="AG14" s="68"/>
      <c r="AH14" s="68"/>
      <c r="AI14" s="68"/>
      <c r="AJ14" s="68"/>
    </row>
    <row r="15" spans="1:50" ht="30" customHeight="1" x14ac:dyDescent="0.15">
      <c r="B15" s="150" t="str">
        <f>HLOOKUP($B$5,Region_Table,4,0)</f>
        <v>Camden, Islington</v>
      </c>
      <c r="C15" s="475" t="s">
        <v>1305</v>
      </c>
      <c r="D15" s="476"/>
      <c r="E15" s="476"/>
      <c r="F15" s="476"/>
      <c r="G15" s="476"/>
      <c r="H15" s="476"/>
      <c r="I15" s="476"/>
      <c r="J15" s="476"/>
      <c r="K15" s="476"/>
      <c r="L15" s="476"/>
      <c r="M15" s="485"/>
      <c r="N15" s="485"/>
      <c r="O15" s="486"/>
      <c r="P15" s="462">
        <f>SUMIFS('caseload data'!V:V,'caseload data'!B:B,"custody",'caseload data'!$C:$C,'custody caseload'!B15)</f>
        <v>0</v>
      </c>
      <c r="Q15" s="479"/>
      <c r="R15" s="480"/>
      <c r="S15" s="68"/>
      <c r="T15" s="150" t="str">
        <f>HLOOKUP($B$5,Region_Table,5,0)</f>
        <v>Community Integration</v>
      </c>
      <c r="U15" s="475" t="s">
        <v>1305</v>
      </c>
      <c r="V15" s="476"/>
      <c r="W15" s="476"/>
      <c r="X15" s="476"/>
      <c r="Y15" s="476"/>
      <c r="Z15" s="476"/>
      <c r="AA15" s="476"/>
      <c r="AB15" s="476"/>
      <c r="AC15" s="476"/>
      <c r="AD15" s="476"/>
      <c r="AE15" s="485"/>
      <c r="AF15" s="485"/>
      <c r="AG15" s="486"/>
      <c r="AH15" s="462">
        <f>SUMIFS('caseload data'!V:V,'caseload data'!B:B,"custody",'caseload data'!$C:$C,'custody caseload'!T15)</f>
        <v>0</v>
      </c>
      <c r="AI15" s="479"/>
      <c r="AJ15" s="480"/>
    </row>
    <row r="16" spans="1:50" x14ac:dyDescent="0.15">
      <c r="B16" s="99" t="s">
        <v>1171</v>
      </c>
      <c r="C16" s="40" t="s">
        <v>1022</v>
      </c>
      <c r="D16" s="40" t="s">
        <v>1023</v>
      </c>
      <c r="E16" s="40" t="s">
        <v>1024</v>
      </c>
      <c r="F16" s="40" t="s">
        <v>1025</v>
      </c>
      <c r="G16" s="40" t="s">
        <v>1026</v>
      </c>
      <c r="H16" s="40" t="s">
        <v>1027</v>
      </c>
      <c r="I16" s="40" t="s">
        <v>1028</v>
      </c>
      <c r="J16" s="40" t="s">
        <v>1029</v>
      </c>
      <c r="K16" s="40" t="s">
        <v>1030</v>
      </c>
      <c r="L16" s="40" t="s">
        <v>1031</v>
      </c>
      <c r="M16" s="40" t="s">
        <v>1032</v>
      </c>
      <c r="N16" s="40" t="s">
        <v>1033</v>
      </c>
      <c r="O16" s="40" t="s">
        <v>1034</v>
      </c>
      <c r="P16" s="40" t="s">
        <v>1035</v>
      </c>
      <c r="Q16" s="40" t="s">
        <v>1036</v>
      </c>
      <c r="R16" s="40" t="s">
        <v>1037</v>
      </c>
      <c r="S16" s="68"/>
      <c r="T16" s="99" t="s">
        <v>1171</v>
      </c>
      <c r="U16" s="40" t="s">
        <v>1022</v>
      </c>
      <c r="V16" s="40" t="s">
        <v>1023</v>
      </c>
      <c r="W16" s="40" t="s">
        <v>1024</v>
      </c>
      <c r="X16" s="40" t="s">
        <v>1025</v>
      </c>
      <c r="Y16" s="40" t="s">
        <v>1026</v>
      </c>
      <c r="Z16" s="40" t="s">
        <v>1027</v>
      </c>
      <c r="AA16" s="40" t="s">
        <v>1028</v>
      </c>
      <c r="AB16" s="40" t="s">
        <v>1029</v>
      </c>
      <c r="AC16" s="40" t="s">
        <v>1030</v>
      </c>
      <c r="AD16" s="40" t="s">
        <v>1031</v>
      </c>
      <c r="AE16" s="40" t="s">
        <v>1032</v>
      </c>
      <c r="AF16" s="40" t="s">
        <v>1033</v>
      </c>
      <c r="AG16" s="40" t="s">
        <v>1034</v>
      </c>
      <c r="AH16" s="40" t="s">
        <v>1035</v>
      </c>
      <c r="AI16" s="40" t="s">
        <v>1036</v>
      </c>
      <c r="AJ16" s="40" t="s">
        <v>1037</v>
      </c>
    </row>
    <row r="17" spans="2:36" x14ac:dyDescent="0.15">
      <c r="B17" s="100" t="s">
        <v>1166</v>
      </c>
      <c r="C17" s="98">
        <f>SUMIFS('caseload data'!E:E,'caseload data'!$D:$D,"PO",'caseload data'!$C:$C,'custody caseload'!$B$15,'caseload data'!$B:$B,"custody")</f>
        <v>0</v>
      </c>
      <c r="D17" s="98">
        <f>SUMIFS('caseload data'!F:F,'caseload data'!$D:$D,"PO",'caseload data'!$C:$C,'custody caseload'!$B$15,'caseload data'!$B:$B,"custody")</f>
        <v>0</v>
      </c>
      <c r="E17" s="98">
        <f>SUMIFS('caseload data'!G:G,'caseload data'!$D:$D,"PO",'caseload data'!$C:$C,'custody caseload'!$B$15,'caseload data'!$B:$B,"custody")</f>
        <v>0</v>
      </c>
      <c r="F17" s="98">
        <f>SUMIFS('caseload data'!H:H,'caseload data'!$D:$D,"PO",'caseload data'!$C:$C,'custody caseload'!$B$15,'caseload data'!$B:$B,"custody")</f>
        <v>0</v>
      </c>
      <c r="G17" s="98">
        <f>SUMIFS('caseload data'!I:I,'caseload data'!$D:$D,"PO",'caseload data'!$C:$C,'custody caseload'!$B$15,'caseload data'!$B:$B,"custody")</f>
        <v>0</v>
      </c>
      <c r="H17" s="98">
        <f>SUMIFS('caseload data'!J:J,'caseload data'!$D:$D,"PO",'caseload data'!$C:$C,'custody caseload'!$B$15,'caseload data'!$B:$B,"custody")</f>
        <v>0</v>
      </c>
      <c r="I17" s="98">
        <f>SUMIFS('caseload data'!K:K,'caseload data'!$D:$D,"PO",'caseload data'!$C:$C,'custody caseload'!$B$15,'caseload data'!$B:$B,"custody")</f>
        <v>0</v>
      </c>
      <c r="J17" s="98">
        <f>SUMIFS('caseload data'!L:L,'caseload data'!$D:$D,"PO",'caseload data'!$C:$C,'custody caseload'!$B$15,'caseload data'!$B:$B,"custody")</f>
        <v>0</v>
      </c>
      <c r="K17" s="98">
        <f>SUMIFS('caseload data'!M:M,'caseload data'!$D:$D,"PO",'caseload data'!$C:$C,'custody caseload'!$B$15,'caseload data'!$B:$B,"custody")</f>
        <v>0</v>
      </c>
      <c r="L17" s="98">
        <f>SUMIFS('caseload data'!N:N,'caseload data'!$D:$D,"PO",'caseload data'!$C:$C,'custody caseload'!$B$15,'caseload data'!$B:$B,"custody")</f>
        <v>0</v>
      </c>
      <c r="M17" s="98">
        <f>SUMIFS('caseload data'!O:O,'caseload data'!$D:$D,"PO",'caseload data'!$C:$C,'custody caseload'!$B$15,'caseload data'!$B:$B,"custody")</f>
        <v>0</v>
      </c>
      <c r="N17" s="98">
        <f>SUMIFS('caseload data'!P:P,'caseload data'!$D:$D,"PO",'caseload data'!$C:$C,'custody caseload'!$B$15,'caseload data'!$B:$B,"custody")</f>
        <v>0</v>
      </c>
      <c r="O17" s="98">
        <f>SUMIFS('caseload data'!Q:Q,'caseload data'!$D:$D,"PO",'caseload data'!$C:$C,'custody caseload'!$B$15,'caseload data'!$B:$B,"custody")</f>
        <v>0</v>
      </c>
      <c r="P17" s="98">
        <f>SUMIFS('caseload data'!R:R,'caseload data'!$D:$D,"PO",'caseload data'!$C:$C,'custody caseload'!$B$15,'caseload data'!$B:$B,"custody")</f>
        <v>0</v>
      </c>
      <c r="Q17" s="98">
        <f>SUMIFS('caseload data'!S:S,'caseload data'!$D:$D,"PO",'caseload data'!$C:$C,'custody caseload'!$B$15,'caseload data'!$B:$B,"custody")</f>
        <v>0</v>
      </c>
      <c r="R17" s="98">
        <f>SUMIFS('caseload data'!T:T,'caseload data'!$D:$D,"PO",'caseload data'!$C:$C,'custody caseload'!$B$15,'caseload data'!$B:$B,"custody")</f>
        <v>0</v>
      </c>
      <c r="S17" s="68"/>
      <c r="T17" s="100" t="s">
        <v>1166</v>
      </c>
      <c r="U17" s="98">
        <f>SUMIFS('caseload data'!E:E,'caseload data'!$D:$D,"PO",'caseload data'!$C:$C,'custody caseload'!$T$15,'caseload data'!$B:$B,"custody")</f>
        <v>0</v>
      </c>
      <c r="V17" s="98">
        <f>SUMIFS('caseload data'!F:F,'caseload data'!$D:$D,"PO",'caseload data'!$C:$C,'custody caseload'!$T$15,'caseload data'!$B:$B,"custody")</f>
        <v>0</v>
      </c>
      <c r="W17" s="98">
        <f>SUMIFS('caseload data'!G:G,'caseload data'!$D:$D,"PO",'caseload data'!$C:$C,'custody caseload'!$T$15,'caseload data'!$B:$B,"custody")</f>
        <v>0</v>
      </c>
      <c r="X17" s="98">
        <f>SUMIFS('caseload data'!H:H,'caseload data'!$D:$D,"PO",'caseload data'!$C:$C,'custody caseload'!$T$15,'caseload data'!$B:$B,"custody")</f>
        <v>0</v>
      </c>
      <c r="Y17" s="98">
        <f>SUMIFS('caseload data'!I:I,'caseload data'!$D:$D,"PO",'caseload data'!$C:$C,'custody caseload'!$T$15,'caseload data'!$B:$B,"custody")</f>
        <v>0</v>
      </c>
      <c r="Z17" s="98">
        <f>SUMIFS('caseload data'!J:J,'caseload data'!$D:$D,"PO",'caseload data'!$C:$C,'custody caseload'!$T$15,'caseload data'!$B:$B,"custody")</f>
        <v>0</v>
      </c>
      <c r="AA17" s="98">
        <f>SUMIFS('caseload data'!K:K,'caseload data'!$D:$D,"PO",'caseload data'!$C:$C,'custody caseload'!$T$15,'caseload data'!$B:$B,"custody")</f>
        <v>0</v>
      </c>
      <c r="AB17" s="98">
        <f>SUMIFS('caseload data'!L:L,'caseload data'!$D:$D,"PO",'caseload data'!$C:$C,'custody caseload'!$T$15,'caseload data'!$B:$B,"custody")</f>
        <v>0</v>
      </c>
      <c r="AC17" s="98">
        <f>SUMIFS('caseload data'!M:M,'caseload data'!$D:$D,"PO",'caseload data'!$C:$C,'custody caseload'!$T$15,'caseload data'!$B:$B,"custody")</f>
        <v>0</v>
      </c>
      <c r="AD17" s="98">
        <f>SUMIFS('caseload data'!N:N,'caseload data'!$D:$D,"PO",'caseload data'!$C:$C,'custody caseload'!$T$15,'caseload data'!$B:$B,"custody")</f>
        <v>0</v>
      </c>
      <c r="AE17" s="98">
        <f>SUMIFS('caseload data'!O:O,'caseload data'!$D:$D,"PO",'caseload data'!$C:$C,'custody caseload'!$T$15,'caseload data'!$B:$B,"custody")</f>
        <v>0</v>
      </c>
      <c r="AF17" s="98">
        <f>SUMIFS('caseload data'!P:P,'caseload data'!$D:$D,"PO",'caseload data'!$C:$C,'custody caseload'!$T$15,'caseload data'!$B:$B,"custody")</f>
        <v>0</v>
      </c>
      <c r="AG17" s="98">
        <f>SUMIFS('caseload data'!Q:Q,'caseload data'!$D:$D,"PO",'caseload data'!$C:$C,'custody caseload'!$T$15,'caseload data'!$B:$B,"custody")</f>
        <v>0</v>
      </c>
      <c r="AH17" s="98">
        <f>SUMIFS('caseload data'!R:R,'caseload data'!$D:$D,"PO",'caseload data'!$C:$C,'custody caseload'!$T$15,'caseload data'!$B:$B,"custody")</f>
        <v>0</v>
      </c>
      <c r="AI17" s="98">
        <f>SUMIFS('caseload data'!S:S,'caseload data'!$D:$D,"PO",'caseload data'!$C:$C,'custody caseload'!$T$15,'caseload data'!$B:$B,"custody")</f>
        <v>0</v>
      </c>
      <c r="AJ17" s="98">
        <f>SUMIFS('caseload data'!T:T,'caseload data'!$D:$D,"PO",'caseload data'!$C:$C,'custody caseload'!$T$15,'caseload data'!$B:$B,"custody")</f>
        <v>0</v>
      </c>
    </row>
    <row r="18" spans="2:36" ht="15" x14ac:dyDescent="0.2">
      <c r="B18" s="101" t="s">
        <v>1172</v>
      </c>
      <c r="C18" s="153">
        <f>SUMIFS('caseload data'!E:E,'caseload data'!$D:$D,"PSO",'caseload data'!$C:$C,'custody caseload'!$B$15,'caseload data'!$B:$B,"custody")</f>
        <v>0</v>
      </c>
      <c r="D18" s="153">
        <f>SUMIFS('caseload data'!F:F,'caseload data'!$D:$D,"PSO",'caseload data'!$C:$C,'custody caseload'!$B$15,'caseload data'!$B:$B,"custody")</f>
        <v>0</v>
      </c>
      <c r="E18" s="153">
        <f>SUMIFS('caseload data'!G:G,'caseload data'!$D:$D,"PSO",'caseload data'!$C:$C,'custody caseload'!$B$15,'caseload data'!$B:$B,"custody")</f>
        <v>0</v>
      </c>
      <c r="F18" s="153">
        <f>SUMIFS('caseload data'!H:H,'caseload data'!$D:$D,"PSO",'caseload data'!$C:$C,'custody caseload'!$B$15,'caseload data'!$B:$B,"custody")</f>
        <v>0</v>
      </c>
      <c r="G18" s="153">
        <f>SUMIFS('caseload data'!I:I,'caseload data'!$D:$D,"PSO",'caseload data'!$C:$C,'custody caseload'!$B$15,'caseload data'!$B:$B,"custody")</f>
        <v>0</v>
      </c>
      <c r="H18" s="153">
        <f>SUMIFS('caseload data'!J:J,'caseload data'!$D:$D,"PSO",'caseload data'!$C:$C,'custody caseload'!$B$15,'caseload data'!$B:$B,"custody")</f>
        <v>0</v>
      </c>
      <c r="I18" s="153">
        <f>SUMIFS('caseload data'!K:K,'caseload data'!$D:$D,"PSO",'caseload data'!$C:$C,'custody caseload'!$B$15,'caseload data'!$B:$B,"custody")</f>
        <v>0</v>
      </c>
      <c r="J18" s="153">
        <f>SUMIFS('caseload data'!L:L,'caseload data'!$D:$D,"PSO",'caseload data'!$C:$C,'custody caseload'!$B$15,'caseload data'!$B:$B,"custody")</f>
        <v>0</v>
      </c>
      <c r="K18" s="98">
        <f>SUMIFS('caseload data'!M:M,'caseload data'!$D:$D,"PSO",'caseload data'!$C:$C,'custody caseload'!$B$15,'caseload data'!$B:$B,"custody")</f>
        <v>0</v>
      </c>
      <c r="L18" s="98">
        <f>SUMIFS('caseload data'!N:N,'caseload data'!$D:$D,"PSO",'caseload data'!$C:$C,'custody caseload'!$B$15,'caseload data'!$B:$B,"custody")</f>
        <v>0</v>
      </c>
      <c r="M18" s="98">
        <f>SUMIFS('caseload data'!O:O,'caseload data'!$D:$D,"PSO",'caseload data'!$C:$C,'custody caseload'!$B$15,'caseload data'!$B:$B,"custody")</f>
        <v>0</v>
      </c>
      <c r="N18" s="98">
        <f>SUMIFS('caseload data'!P:P,'caseload data'!$D:$D,"PSO",'caseload data'!$C:$C,'custody caseload'!$B$15,'caseload data'!$B:$B,"custody")</f>
        <v>0</v>
      </c>
      <c r="O18" s="98">
        <f>SUMIFS('caseload data'!Q:Q,'caseload data'!$D:$D,"PSO",'caseload data'!$C:$C,'custody caseload'!$B$15,'caseload data'!$B:$B,"custody")</f>
        <v>0</v>
      </c>
      <c r="P18" s="98">
        <f>SUMIFS('caseload data'!R:R,'caseload data'!$D:$D,"PSO",'caseload data'!$C:$C,'custody caseload'!$B$15,'caseload data'!$B:$B,"custody")</f>
        <v>0</v>
      </c>
      <c r="Q18" s="98">
        <f>SUMIFS('caseload data'!S:S,'caseload data'!$D:$D,"PSO",'caseload data'!$C:$C,'custody caseload'!$B$15,'caseload data'!$B:$B,"custody")</f>
        <v>0</v>
      </c>
      <c r="R18" s="98">
        <f>SUMIFS('caseload data'!T:T,'caseload data'!$D:$D,"PSO",'caseload data'!$C:$C,'custody caseload'!$B$15,'caseload data'!$B:$B,"custody")</f>
        <v>0</v>
      </c>
      <c r="S18" s="68"/>
      <c r="T18" s="101" t="s">
        <v>1172</v>
      </c>
      <c r="U18" s="153">
        <f>SUMIFS('caseload data'!E:E,'caseload data'!$D:$D,"PSO",'caseload data'!$C:$C,'custody caseload'!$T$15,'caseload data'!$B:$B,"custody")</f>
        <v>0</v>
      </c>
      <c r="V18" s="153">
        <f>SUMIFS('caseload data'!F:F,'caseload data'!$D:$D,"PSO",'caseload data'!$C:$C,'custody caseload'!$T$15,'caseload data'!$B:$B,"custody")</f>
        <v>0</v>
      </c>
      <c r="W18" s="153">
        <f>SUMIFS('caseload data'!G:G,'caseload data'!$D:$D,"PSO",'caseload data'!$C:$C,'custody caseload'!$T$15,'caseload data'!$B:$B,"custody")</f>
        <v>0</v>
      </c>
      <c r="X18" s="153">
        <f>SUMIFS('caseload data'!H:H,'caseload data'!$D:$D,"PSO",'caseload data'!$C:$C,'custody caseload'!$T$15,'caseload data'!$B:$B,"custody")</f>
        <v>0</v>
      </c>
      <c r="Y18" s="153">
        <f>SUMIFS('caseload data'!I:I,'caseload data'!$D:$D,"PSO",'caseload data'!$C:$C,'custody caseload'!$T$15,'caseload data'!$B:$B,"custody")</f>
        <v>0</v>
      </c>
      <c r="Z18" s="153">
        <f>SUMIFS('caseload data'!J:J,'caseload data'!$D:$D,"PSO",'caseload data'!$C:$C,'custody caseload'!$T$15,'caseload data'!$B:$B,"custody")</f>
        <v>0</v>
      </c>
      <c r="AA18" s="153">
        <f>SUMIFS('caseload data'!K:K,'caseload data'!$D:$D,"PSO",'caseload data'!$C:$C,'custody caseload'!$T$15,'caseload data'!$B:$B,"custody")</f>
        <v>0</v>
      </c>
      <c r="AB18" s="153">
        <f>SUMIFS('caseload data'!L:L,'caseload data'!$D:$D,"PSO",'caseload data'!$C:$C,'custody caseload'!$T$15,'caseload data'!$B:$B,"custody")</f>
        <v>0</v>
      </c>
      <c r="AC18" s="98">
        <f>SUMIFS('caseload data'!M:M,'caseload data'!$D:$D,"PSO",'caseload data'!$C:$C,'custody caseload'!$T$15,'caseload data'!$B:$B,"custody")</f>
        <v>0</v>
      </c>
      <c r="AD18" s="98">
        <f>SUMIFS('caseload data'!N:N,'caseload data'!$D:$D,"PSO",'caseload data'!$C:$C,'custody caseload'!$T$15,'caseload data'!$B:$B,"custody")</f>
        <v>0</v>
      </c>
      <c r="AE18" s="98">
        <f>SUMIFS('caseload data'!O:O,'caseload data'!$D:$D,"PSO",'caseload data'!$C:$C,'custody caseload'!$T$15,'caseload data'!$B:$B,"custody")</f>
        <v>0</v>
      </c>
      <c r="AF18" s="98">
        <f>SUMIFS('caseload data'!P:P,'caseload data'!$D:$D,"PSO",'caseload data'!$C:$C,'custody caseload'!$T$15,'caseload data'!$B:$B,"custody")</f>
        <v>0</v>
      </c>
      <c r="AG18" s="98">
        <f>SUMIFS('caseload data'!Q:Q,'caseload data'!$D:$D,"PSO",'caseload data'!$C:$C,'custody caseload'!$T$15,'caseload data'!$B:$B,"custody")</f>
        <v>0</v>
      </c>
      <c r="AH18" s="98">
        <f>SUMIFS('caseload data'!R:R,'caseload data'!$D:$D,"PSO",'caseload data'!$C:$C,'custody caseload'!$T$15,'caseload data'!$B:$B,"custody")</f>
        <v>0</v>
      </c>
      <c r="AI18" s="98">
        <f>SUMIFS('caseload data'!S:S,'caseload data'!$D:$D,"PSO",'caseload data'!$C:$C,'custody caseload'!$T$15,'caseload data'!$B:$B,"custody")</f>
        <v>0</v>
      </c>
      <c r="AJ18" s="98">
        <f>SUMIFS('caseload data'!T:T,'caseload data'!$D:$D,"PSO",'caseload data'!$C:$C,'custody caseload'!$T$15,'caseload data'!$B:$B,"custody")</f>
        <v>0</v>
      </c>
    </row>
    <row r="19" spans="2:36" ht="15" x14ac:dyDescent="0.2">
      <c r="B19" s="101" t="s">
        <v>1173</v>
      </c>
      <c r="C19" s="153">
        <f>SUMIFS('caseload data'!E:E,'caseload data'!$D:$D,"TPO",'caseload data'!$C:$C,'custody caseload'!$B$15,'caseload data'!$B:$B,"custody")</f>
        <v>0</v>
      </c>
      <c r="D19" s="153">
        <f>SUMIFS('caseload data'!F:F,'caseload data'!$D:$D,"TPO",'caseload data'!$C:$C,'custody caseload'!$B$15,'caseload data'!$B:$B,"custody")</f>
        <v>0</v>
      </c>
      <c r="E19" s="153">
        <f>SUMIFS('caseload data'!G:G,'caseload data'!$D:$D,"TPO",'caseload data'!$C:$C,'custody caseload'!$B$15,'caseload data'!$B:$B,"custody")</f>
        <v>0</v>
      </c>
      <c r="F19" s="153">
        <f>SUMIFS('caseload data'!H:H,'caseload data'!$D:$D,"TPO",'caseload data'!$C:$C,'custody caseload'!$B$15,'caseload data'!$B:$B,"custody")</f>
        <v>0</v>
      </c>
      <c r="G19" s="153">
        <f>SUMIFS('caseload data'!I:I,'caseload data'!$D:$D,"TPO",'caseload data'!$C:$C,'custody caseload'!$B$15,'caseload data'!$B:$B,"custody")</f>
        <v>0</v>
      </c>
      <c r="H19" s="153">
        <f>SUMIFS('caseload data'!J:J,'caseload data'!$D:$D,"TPO",'caseload data'!$C:$C,'custody caseload'!$B$15,'caseload data'!$B:$B,"custody")</f>
        <v>0</v>
      </c>
      <c r="I19" s="153">
        <f>SUMIFS('caseload data'!K:K,'caseload data'!$D:$D,"TPO",'caseload data'!$C:$C,'custody caseload'!$B$15,'caseload data'!$B:$B,"custody")</f>
        <v>0</v>
      </c>
      <c r="J19" s="153">
        <f>SUMIFS('caseload data'!L:L,'caseload data'!$D:$D,"TPO",'caseload data'!$C:$C,'custody caseload'!$B$15,'caseload data'!$B:$B,"custody")</f>
        <v>0</v>
      </c>
      <c r="K19" s="98">
        <f>SUMIFS('caseload data'!M:M,'caseload data'!$D:$D,"TPO",'caseload data'!$C:$C,'custody caseload'!$B$15,'caseload data'!$B:$B,"custody")</f>
        <v>0</v>
      </c>
      <c r="L19" s="98">
        <f>SUMIFS('caseload data'!N:N,'caseload data'!$D:$D,"TPO",'caseload data'!$C:$C,'custody caseload'!$B$15,'caseload data'!$B:$B,"custody")</f>
        <v>0</v>
      </c>
      <c r="M19" s="98">
        <f>SUMIFS('caseload data'!O:O,'caseload data'!$D:$D,"TPO",'caseload data'!$C:$C,'custody caseload'!$B$15,'caseload data'!$B:$B,"custody")</f>
        <v>0</v>
      </c>
      <c r="N19" s="98">
        <f>SUMIFS('caseload data'!P:P,'caseload data'!$D:$D,"TPO",'caseload data'!$C:$C,'custody caseload'!$B$15,'caseload data'!$B:$B,"custody")</f>
        <v>0</v>
      </c>
      <c r="O19" s="98">
        <f>SUMIFS('caseload data'!Q:Q,'caseload data'!$D:$D,"TPO",'caseload data'!$C:$C,'custody caseload'!$B$15,'caseload data'!$B:$B,"custody")</f>
        <v>0</v>
      </c>
      <c r="P19" s="98">
        <f>SUMIFS('caseload data'!R:R,'caseload data'!$D:$D,"TPO",'caseload data'!$C:$C,'custody caseload'!$B$15,'caseload data'!$B:$B,"custody")</f>
        <v>0</v>
      </c>
      <c r="Q19" s="98">
        <f>SUMIFS('caseload data'!S:S,'caseload data'!$D:$D,"TPO",'caseload data'!$C:$C,'custody caseload'!$B$15,'caseload data'!$B:$B,"custody")</f>
        <v>0</v>
      </c>
      <c r="R19" s="98">
        <f>SUMIFS('caseload data'!T:T,'caseload data'!$D:$D,"TPO",'caseload data'!$C:$C,'custody caseload'!$B$15,'caseload data'!$B:$B,"custody")</f>
        <v>0</v>
      </c>
      <c r="S19" s="68"/>
      <c r="T19" s="101" t="s">
        <v>1173</v>
      </c>
      <c r="U19" s="153">
        <f>SUMIFS('caseload data'!E:E,'caseload data'!$D:$D,"TPO",'caseload data'!$C:$C,'custody caseload'!$T$15,'caseload data'!$B:$B,"custody")</f>
        <v>0</v>
      </c>
      <c r="V19" s="153">
        <f>SUMIFS('caseload data'!F:F,'caseload data'!$D:$D,"TPO",'caseload data'!$C:$C,'custody caseload'!$T$15,'caseload data'!$B:$B,"custody")</f>
        <v>0</v>
      </c>
      <c r="W19" s="153">
        <f>SUMIFS('caseload data'!G:G,'caseload data'!$D:$D,"TPO",'caseload data'!$C:$C,'custody caseload'!$T$15,'caseload data'!$B:$B,"custody")</f>
        <v>0</v>
      </c>
      <c r="X19" s="153">
        <f>SUMIFS('caseload data'!H:H,'caseload data'!$D:$D,"TPO",'caseload data'!$C:$C,'custody caseload'!$T$15,'caseload data'!$B:$B,"custody")</f>
        <v>0</v>
      </c>
      <c r="Y19" s="153">
        <f>SUMIFS('caseload data'!I:I,'caseload data'!$D:$D,"TPO",'caseload data'!$C:$C,'custody caseload'!$T$15,'caseload data'!$B:$B,"custody")</f>
        <v>0</v>
      </c>
      <c r="Z19" s="153">
        <f>SUMIFS('caseload data'!J:J,'caseload data'!$D:$D,"TPO",'caseload data'!$C:$C,'custody caseload'!$T$15,'caseload data'!$B:$B,"custody")</f>
        <v>0</v>
      </c>
      <c r="AA19" s="153">
        <f>SUMIFS('caseload data'!K:K,'caseload data'!$D:$D,"TPO",'caseload data'!$C:$C,'custody caseload'!$T$15,'caseload data'!$B:$B,"custody")</f>
        <v>0</v>
      </c>
      <c r="AB19" s="153">
        <f>SUMIFS('caseload data'!L:L,'caseload data'!$D:$D,"TPO",'caseload data'!$C:$C,'custody caseload'!$T$15,'caseload data'!$B:$B,"custody")</f>
        <v>0</v>
      </c>
      <c r="AC19" s="98">
        <f>SUMIFS('caseload data'!M:M,'caseload data'!$D:$D,"TPO",'caseload data'!$C:$C,'custody caseload'!$T$15,'caseload data'!$B:$B,"custody")</f>
        <v>0</v>
      </c>
      <c r="AD19" s="98">
        <f>SUMIFS('caseload data'!N:N,'caseload data'!$D:$D,"TPO",'caseload data'!$C:$C,'custody caseload'!$T$15,'caseload data'!$B:$B,"custody")</f>
        <v>0</v>
      </c>
      <c r="AE19" s="98">
        <f>SUMIFS('caseload data'!O:O,'caseload data'!$D:$D,"TPO",'caseload data'!$C:$C,'custody caseload'!$T$15,'caseload data'!$B:$B,"custody")</f>
        <v>0</v>
      </c>
      <c r="AF19" s="98">
        <f>SUMIFS('caseload data'!P:P,'caseload data'!$D:$D,"TPO",'caseload data'!$C:$C,'custody caseload'!$T$15,'caseload data'!$B:$B,"custody")</f>
        <v>0</v>
      </c>
      <c r="AG19" s="98">
        <f>SUMIFS('caseload data'!Q:Q,'caseload data'!$D:$D,"TPO",'caseload data'!$C:$C,'custody caseload'!$T$15,'caseload data'!$B:$B,"custody")</f>
        <v>0</v>
      </c>
      <c r="AH19" s="98">
        <f>SUMIFS('caseload data'!R:R,'caseload data'!$D:$D,"TPO",'caseload data'!$C:$C,'custody caseload'!$T$15,'caseload data'!$B:$B,"custody")</f>
        <v>0</v>
      </c>
      <c r="AI19" s="98">
        <f>SUMIFS('caseload data'!S:S,'caseload data'!$D:$D,"TPO",'caseload data'!$C:$C,'custody caseload'!$T$15,'caseload data'!$B:$B,"custody")</f>
        <v>0</v>
      </c>
      <c r="AJ19" s="98">
        <f>SUMIFS('caseload data'!T:T,'caseload data'!$D:$D,"TPO",'caseload data'!$C:$C,'custody caseload'!$T$15,'caseload data'!$B:$B,"custody")</f>
        <v>0</v>
      </c>
    </row>
    <row r="20" spans="2:36" x14ac:dyDescent="0.15">
      <c r="B20" s="102" t="s">
        <v>1174</v>
      </c>
      <c r="C20" s="98">
        <f>SUMIFS('caseload data'!E:E,'caseload data'!$D:$D,"SPO",'caseload data'!$C:$C,'custody caseload'!$B$15,'caseload data'!$B:$B,"custody")</f>
        <v>0</v>
      </c>
      <c r="D20" s="98">
        <f>SUMIFS('caseload data'!F:F,'caseload data'!$D:$D,"SPO",'caseload data'!$C:$C,'custody caseload'!$B$15,'caseload data'!$B:$B,"custody")</f>
        <v>0</v>
      </c>
      <c r="E20" s="98">
        <f>SUMIFS('caseload data'!G:G,'caseload data'!$D:$D,"SPO",'caseload data'!$C:$C,'custody caseload'!$B$15,'caseload data'!$B:$B,"custody")</f>
        <v>0</v>
      </c>
      <c r="F20" s="98">
        <f>SUMIFS('caseload data'!H:H,'caseload data'!$D:$D,"SPO",'caseload data'!$C:$C,'custody caseload'!$B$15,'caseload data'!$B:$B,"custody")</f>
        <v>0</v>
      </c>
      <c r="G20" s="98">
        <f>SUMIFS('caseload data'!I:I,'caseload data'!$D:$D,"SPO",'caseload data'!$C:$C,'custody caseload'!$B$15,'caseload data'!$B:$B,"custody")</f>
        <v>0</v>
      </c>
      <c r="H20" s="98">
        <f>SUMIFS('caseload data'!J:J,'caseload data'!$D:$D,"SPO",'caseload data'!$C:$C,'custody caseload'!$B$15,'caseload data'!$B:$B,"custody")</f>
        <v>0</v>
      </c>
      <c r="I20" s="98">
        <f>SUMIFS('caseload data'!K:K,'caseload data'!$D:$D,"SPO",'caseload data'!$C:$C,'custody caseload'!$B$15,'caseload data'!$B:$B,"custody")</f>
        <v>0</v>
      </c>
      <c r="J20" s="98">
        <f>SUMIFS('caseload data'!L:L,'caseload data'!$D:$D,"SPO",'caseload data'!$C:$C,'custody caseload'!$B$15,'caseload data'!$B:$B,"custody")</f>
        <v>0</v>
      </c>
      <c r="K20" s="98">
        <f>SUMIFS('caseload data'!M:M,'caseload data'!$D:$D,"SPO",'caseload data'!$C:$C,'custody caseload'!$B$15,'caseload data'!$B:$B,"custody")</f>
        <v>0</v>
      </c>
      <c r="L20" s="98">
        <f>SUMIFS('caseload data'!N:N,'caseload data'!$D:$D,"SPO",'caseload data'!$C:$C,'custody caseload'!$B$15,'caseload data'!$B:$B,"custody")</f>
        <v>0</v>
      </c>
      <c r="M20" s="98">
        <f>SUMIFS('caseload data'!O:O,'caseload data'!$D:$D,"SPO",'caseload data'!$C:$C,'custody caseload'!$B$15,'caseload data'!$B:$B,"custody")</f>
        <v>0</v>
      </c>
      <c r="N20" s="98">
        <f>SUMIFS('caseload data'!P:P,'caseload data'!$D:$D,"SPO",'caseload data'!$C:$C,'custody caseload'!$B$15,'caseload data'!$B:$B,"custody")</f>
        <v>0</v>
      </c>
      <c r="O20" s="98">
        <f>SUMIFS('caseload data'!Q:Q,'caseload data'!$D:$D,"SPO",'caseload data'!$C:$C,'custody caseload'!$B$15,'caseload data'!$B:$B,"custody")</f>
        <v>0</v>
      </c>
      <c r="P20" s="98">
        <f>SUMIFS('caseload data'!R:R,'caseload data'!$D:$D,"SPO",'caseload data'!$C:$C,'custody caseload'!$B$15,'caseload data'!$B:$B,"custody")</f>
        <v>0</v>
      </c>
      <c r="Q20" s="98">
        <f>SUMIFS('caseload data'!S:S,'caseload data'!$D:$D,"SPO",'caseload data'!$C:$C,'custody caseload'!$B$15,'caseload data'!$B:$B,"custody")</f>
        <v>0</v>
      </c>
      <c r="R20" s="98">
        <f>SUMIFS('caseload data'!T:T,'caseload data'!$D:$D,"SPO",'caseload data'!$C:$C,'custody caseload'!$B$15,'caseload data'!$B:$B,"custody")</f>
        <v>0</v>
      </c>
      <c r="S20" s="68"/>
      <c r="T20" s="102" t="s">
        <v>1174</v>
      </c>
      <c r="U20" s="98">
        <f>SUMIFS('caseload data'!E:E,'caseload data'!$D:$D,"SPO",'caseload data'!$C:$C,'custody caseload'!$T$15,'caseload data'!$B:$B,"custody")</f>
        <v>0</v>
      </c>
      <c r="V20" s="98">
        <f>SUMIFS('caseload data'!F:F,'caseload data'!$D:$D,"SPO",'caseload data'!$C:$C,'custody caseload'!$T$15,'caseload data'!$B:$B,"custody")</f>
        <v>0</v>
      </c>
      <c r="W20" s="98">
        <f>SUMIFS('caseload data'!G:G,'caseload data'!$D:$D,"SPO",'caseload data'!$C:$C,'custody caseload'!$T$15,'caseload data'!$B:$B,"custody")</f>
        <v>0</v>
      </c>
      <c r="X20" s="98">
        <f>SUMIFS('caseload data'!H:H,'caseload data'!$D:$D,"SPO",'caseload data'!$C:$C,'custody caseload'!$T$15,'caseload data'!$B:$B,"custody")</f>
        <v>0</v>
      </c>
      <c r="Y20" s="98">
        <f>SUMIFS('caseload data'!I:I,'caseload data'!$D:$D,"SPO",'caseload data'!$C:$C,'custody caseload'!$T$15,'caseload data'!$B:$B,"custody")</f>
        <v>0</v>
      </c>
      <c r="Z20" s="98">
        <f>SUMIFS('caseload data'!J:J,'caseload data'!$D:$D,"SPO",'caseload data'!$C:$C,'custody caseload'!$T$15,'caseload data'!$B:$B,"custody")</f>
        <v>0</v>
      </c>
      <c r="AA20" s="98">
        <f>SUMIFS('caseload data'!K:K,'caseload data'!$D:$D,"SPO",'caseload data'!$C:$C,'custody caseload'!$T$15,'caseload data'!$B:$B,"custody")</f>
        <v>0</v>
      </c>
      <c r="AB20" s="98">
        <f>SUMIFS('caseload data'!L:L,'caseload data'!$D:$D,"SPO",'caseload data'!$C:$C,'custody caseload'!$T$15,'caseload data'!$B:$B,"custody")</f>
        <v>0</v>
      </c>
      <c r="AC20" s="98">
        <f>SUMIFS('caseload data'!M:M,'caseload data'!$D:$D,"SPO",'caseload data'!$C:$C,'custody caseload'!$T$15,'caseload data'!$B:$B,"custody")</f>
        <v>0</v>
      </c>
      <c r="AD20" s="98">
        <f>SUMIFS('caseload data'!N:N,'caseload data'!$D:$D,"SPO",'caseload data'!$C:$C,'custody caseload'!$T$15,'caseload data'!$B:$B,"custody")</f>
        <v>0</v>
      </c>
      <c r="AE20" s="98">
        <f>SUMIFS('caseload data'!O:O,'caseload data'!$D:$D,"SPO",'caseload data'!$C:$C,'custody caseload'!$T$15,'caseload data'!$B:$B,"custody")</f>
        <v>0</v>
      </c>
      <c r="AF20" s="98">
        <f>SUMIFS('caseload data'!P:P,'caseload data'!$D:$D,"SPO",'caseload data'!$C:$C,'custody caseload'!$T$15,'caseload data'!$B:$B,"custody")</f>
        <v>0</v>
      </c>
      <c r="AG20" s="98">
        <f>SUMIFS('caseload data'!Q:Q,'caseload data'!$D:$D,"SPO",'caseload data'!$C:$C,'custody caseload'!$T$15,'caseload data'!$B:$B,"custody")</f>
        <v>0</v>
      </c>
      <c r="AH20" s="98">
        <f>SUMIFS('caseload data'!R:R,'caseload data'!$D:$D,"SPO",'caseload data'!$C:$C,'custody caseload'!$T$15,'caseload data'!$B:$B,"custody")</f>
        <v>0</v>
      </c>
      <c r="AI20" s="98">
        <f>SUMIFS('caseload data'!S:S,'caseload data'!$D:$D,"SPO",'caseload data'!$C:$C,'custody caseload'!$T$15,'caseload data'!$B:$B,"custody")</f>
        <v>0</v>
      </c>
      <c r="AJ20" s="98">
        <f>SUMIFS('caseload data'!T:T,'caseload data'!$D:$D,"SPO",'caseload data'!$C:$C,'custody caseload'!$T$15,'caseload data'!$B:$B,"custody")</f>
        <v>0</v>
      </c>
    </row>
    <row r="21" spans="2:36" x14ac:dyDescent="0.15">
      <c r="B21" s="95"/>
      <c r="C21" s="68"/>
      <c r="D21" s="68"/>
      <c r="E21" s="68"/>
      <c r="F21" s="68"/>
      <c r="G21" s="68"/>
      <c r="H21" s="68"/>
      <c r="I21" s="68"/>
      <c r="J21" s="68"/>
      <c r="K21" s="68"/>
      <c r="L21" s="68"/>
      <c r="M21" s="68"/>
      <c r="N21" s="68"/>
      <c r="O21" s="68"/>
      <c r="P21" s="68"/>
      <c r="Q21" s="68"/>
      <c r="R21" s="68"/>
      <c r="S21" s="68"/>
      <c r="T21" s="95"/>
      <c r="U21" s="68"/>
      <c r="V21" s="68"/>
      <c r="W21" s="68"/>
      <c r="X21" s="68"/>
      <c r="Y21" s="68"/>
      <c r="Z21" s="68"/>
      <c r="AA21" s="68"/>
      <c r="AB21" s="68"/>
      <c r="AC21" s="68"/>
      <c r="AD21" s="68"/>
      <c r="AE21" s="68"/>
      <c r="AF21" s="68"/>
      <c r="AG21" s="68"/>
      <c r="AH21" s="68"/>
      <c r="AI21" s="68"/>
      <c r="AJ21" s="68"/>
    </row>
    <row r="22" spans="2:36" ht="30.75" customHeight="1" x14ac:dyDescent="0.15">
      <c r="B22" s="150" t="str">
        <f>HLOOKUP($B$5,Region_Table,6,0)</f>
        <v>Corporate Services - N07</v>
      </c>
      <c r="C22" s="475" t="s">
        <v>1305</v>
      </c>
      <c r="D22" s="476"/>
      <c r="E22" s="476"/>
      <c r="F22" s="476"/>
      <c r="G22" s="476"/>
      <c r="H22" s="476"/>
      <c r="I22" s="476"/>
      <c r="J22" s="476"/>
      <c r="K22" s="476"/>
      <c r="L22" s="476"/>
      <c r="M22" s="485"/>
      <c r="N22" s="485"/>
      <c r="O22" s="486"/>
      <c r="P22" s="462">
        <f>SUMIFS('caseload data'!V:V,'caseload data'!B:B,"custody",'caseload data'!$C:$C,'custody caseload'!B22)</f>
        <v>0</v>
      </c>
      <c r="Q22" s="479"/>
      <c r="R22" s="480"/>
      <c r="S22" s="68"/>
      <c r="T22" s="150" t="str">
        <f>HLOOKUP($B$5,Region_Table,7,0)</f>
        <v>Croydon - N07</v>
      </c>
      <c r="U22" s="475" t="s">
        <v>1305</v>
      </c>
      <c r="V22" s="476"/>
      <c r="W22" s="476"/>
      <c r="X22" s="476"/>
      <c r="Y22" s="476"/>
      <c r="Z22" s="476"/>
      <c r="AA22" s="476"/>
      <c r="AB22" s="476"/>
      <c r="AC22" s="476"/>
      <c r="AD22" s="476"/>
      <c r="AE22" s="485"/>
      <c r="AF22" s="485"/>
      <c r="AG22" s="486"/>
      <c r="AH22" s="462">
        <f>SUMIFS('caseload data'!V:V,'caseload data'!B:B,"custody",'caseload data'!$C:$C,'custody caseload'!T22)</f>
        <v>0</v>
      </c>
      <c r="AI22" s="479"/>
      <c r="AJ22" s="480"/>
    </row>
    <row r="23" spans="2:36" x14ac:dyDescent="0.15">
      <c r="B23" s="99" t="s">
        <v>1171</v>
      </c>
      <c r="C23" s="40" t="s">
        <v>1022</v>
      </c>
      <c r="D23" s="40" t="s">
        <v>1023</v>
      </c>
      <c r="E23" s="40" t="s">
        <v>1024</v>
      </c>
      <c r="F23" s="40" t="s">
        <v>1025</v>
      </c>
      <c r="G23" s="40" t="s">
        <v>1026</v>
      </c>
      <c r="H23" s="40" t="s">
        <v>1027</v>
      </c>
      <c r="I23" s="40" t="s">
        <v>1028</v>
      </c>
      <c r="J23" s="40" t="s">
        <v>1029</v>
      </c>
      <c r="K23" s="40" t="s">
        <v>1030</v>
      </c>
      <c r="L23" s="40" t="s">
        <v>1031</v>
      </c>
      <c r="M23" s="40" t="s">
        <v>1032</v>
      </c>
      <c r="N23" s="40" t="s">
        <v>1033</v>
      </c>
      <c r="O23" s="40" t="s">
        <v>1034</v>
      </c>
      <c r="P23" s="40" t="s">
        <v>1035</v>
      </c>
      <c r="Q23" s="40" t="s">
        <v>1036</v>
      </c>
      <c r="R23" s="40" t="s">
        <v>1037</v>
      </c>
      <c r="S23" s="68"/>
      <c r="T23" s="99" t="s">
        <v>1171</v>
      </c>
      <c r="U23" s="40" t="s">
        <v>1022</v>
      </c>
      <c r="V23" s="40" t="s">
        <v>1023</v>
      </c>
      <c r="W23" s="40" t="s">
        <v>1024</v>
      </c>
      <c r="X23" s="40" t="s">
        <v>1025</v>
      </c>
      <c r="Y23" s="40" t="s">
        <v>1026</v>
      </c>
      <c r="Z23" s="40" t="s">
        <v>1027</v>
      </c>
      <c r="AA23" s="40" t="s">
        <v>1028</v>
      </c>
      <c r="AB23" s="40" t="s">
        <v>1029</v>
      </c>
      <c r="AC23" s="40" t="s">
        <v>1030</v>
      </c>
      <c r="AD23" s="40" t="s">
        <v>1031</v>
      </c>
      <c r="AE23" s="40" t="s">
        <v>1032</v>
      </c>
      <c r="AF23" s="40" t="s">
        <v>1033</v>
      </c>
      <c r="AG23" s="40" t="s">
        <v>1034</v>
      </c>
      <c r="AH23" s="40" t="s">
        <v>1035</v>
      </c>
      <c r="AI23" s="40" t="s">
        <v>1036</v>
      </c>
      <c r="AJ23" s="40" t="s">
        <v>1037</v>
      </c>
    </row>
    <row r="24" spans="2:36" x14ac:dyDescent="0.15">
      <c r="B24" s="100" t="s">
        <v>1166</v>
      </c>
      <c r="C24" s="98">
        <f>SUMIFS('caseload data'!E:E,'caseload data'!$D:$D,"PO",'caseload data'!$C:$C,'custody caseload'!$B$22,'caseload data'!$B:$B,"custody")</f>
        <v>0</v>
      </c>
      <c r="D24" s="98">
        <f>SUMIFS('caseload data'!F:F,'caseload data'!$D:$D,"PO",'caseload data'!$C:$C,'custody caseload'!$B$22,'caseload data'!$B:$B,"custody")</f>
        <v>0</v>
      </c>
      <c r="E24" s="98">
        <f>SUMIFS('caseload data'!G:G,'caseload data'!$D:$D,"PO",'caseload data'!$C:$C,'custody caseload'!$B$22,'caseload data'!$B:$B,"custody")</f>
        <v>0</v>
      </c>
      <c r="F24" s="98">
        <f>SUMIFS('caseload data'!H:H,'caseload data'!$D:$D,"PO",'caseload data'!$C:$C,'custody caseload'!$B$22,'caseload data'!$B:$B,"custody")</f>
        <v>0</v>
      </c>
      <c r="G24" s="98">
        <f>SUMIFS('caseload data'!I:I,'caseload data'!$D:$D,"PO",'caseload data'!$C:$C,'custody caseload'!$B$22,'caseload data'!$B:$B,"custody")</f>
        <v>0</v>
      </c>
      <c r="H24" s="98">
        <f>SUMIFS('caseload data'!J:J,'caseload data'!$D:$D,"PO",'caseload data'!$C:$C,'custody caseload'!$B$22,'caseload data'!$B:$B,"custody")</f>
        <v>0</v>
      </c>
      <c r="I24" s="98">
        <f>SUMIFS('caseload data'!K:K,'caseload data'!$D:$D,"PO",'caseload data'!$C:$C,'custody caseload'!$B$22,'caseload data'!$B:$B,"custody")</f>
        <v>0</v>
      </c>
      <c r="J24" s="98">
        <f>SUMIFS('caseload data'!L:L,'caseload data'!$D:$D,"PO",'caseload data'!$C:$C,'custody caseload'!$B$22,'caseload data'!$B:$B,"custody")</f>
        <v>0</v>
      </c>
      <c r="K24" s="98">
        <f>SUMIFS('caseload data'!M:M,'caseload data'!$D:$D,"PO",'caseload data'!$C:$C,'custody caseload'!$B$22,'caseload data'!$B:$B,"custody")</f>
        <v>0</v>
      </c>
      <c r="L24" s="98">
        <f>SUMIFS('caseload data'!N:N,'caseload data'!$D:$D,"PO",'caseload data'!$C:$C,'custody caseload'!$B$22,'caseload data'!$B:$B,"custody")</f>
        <v>0</v>
      </c>
      <c r="M24" s="98">
        <f>SUMIFS('caseload data'!O:O,'caseload data'!$D:$D,"PO",'caseload data'!$C:$C,'custody caseload'!$B$22,'caseload data'!$B:$B,"custody")</f>
        <v>0</v>
      </c>
      <c r="N24" s="98">
        <f>SUMIFS('caseload data'!P:P,'caseload data'!$D:$D,"PO",'caseload data'!$C:$C,'custody caseload'!$B$22,'caseload data'!$B:$B,"custody")</f>
        <v>0</v>
      </c>
      <c r="O24" s="98">
        <f>SUMIFS('caseload data'!Q:Q,'caseload data'!$D:$D,"PO",'caseload data'!$C:$C,'custody caseload'!$B$22,'caseload data'!$B:$B,"custody")</f>
        <v>0</v>
      </c>
      <c r="P24" s="98">
        <f>SUMIFS('caseload data'!R:R,'caseload data'!$D:$D,"PO",'caseload data'!$C:$C,'custody caseload'!$B$22,'caseload data'!$B:$B,"custody")</f>
        <v>0</v>
      </c>
      <c r="Q24" s="98">
        <f>SUMIFS('caseload data'!S:S,'caseload data'!$D:$D,"PO",'caseload data'!$C:$C,'custody caseload'!$B$22,'caseload data'!$B:$B,"custody")</f>
        <v>0</v>
      </c>
      <c r="R24" s="98">
        <f>SUMIFS('caseload data'!T:T,'caseload data'!$D:$D,"PO",'caseload data'!$C:$C,'custody caseload'!$B$22,'caseload data'!$B:$B,"custody")</f>
        <v>0</v>
      </c>
      <c r="S24" s="68"/>
      <c r="T24" s="100" t="s">
        <v>1166</v>
      </c>
      <c r="U24" s="98">
        <f>SUMIFS('caseload data'!E:E,'caseload data'!$D:$D,"PO",'caseload data'!$C:$C,'custody caseload'!$T$22,'caseload data'!$B:$B,"custody")</f>
        <v>0</v>
      </c>
      <c r="V24" s="98">
        <f>SUMIFS('caseload data'!F:F,'caseload data'!$D:$D,"PO",'caseload data'!$C:$C,'custody caseload'!$T$22,'caseload data'!$B:$B,"custody")</f>
        <v>0</v>
      </c>
      <c r="W24" s="98">
        <f>SUMIFS('caseload data'!G:G,'caseload data'!$D:$D,"PO",'caseload data'!$C:$C,'custody caseload'!$T$22,'caseload data'!$B:$B,"custody")</f>
        <v>0</v>
      </c>
      <c r="X24" s="98">
        <f>SUMIFS('caseload data'!H:H,'caseload data'!$D:$D,"PO",'caseload data'!$C:$C,'custody caseload'!$T$22,'caseload data'!$B:$B,"custody")</f>
        <v>0</v>
      </c>
      <c r="Y24" s="98">
        <f>SUMIFS('caseload data'!I:I,'caseload data'!$D:$D,"PO",'caseload data'!$C:$C,'custody caseload'!$T$22,'caseload data'!$B:$B,"custody")</f>
        <v>0</v>
      </c>
      <c r="Z24" s="98">
        <f>SUMIFS('caseload data'!J:J,'caseload data'!$D:$D,"PO",'caseload data'!$C:$C,'custody caseload'!$T$22,'caseload data'!$B:$B,"custody")</f>
        <v>0</v>
      </c>
      <c r="AA24" s="98">
        <f>SUMIFS('caseload data'!K:K,'caseload data'!$D:$D,"PO",'caseload data'!$C:$C,'custody caseload'!$T$22,'caseload data'!$B:$B,"custody")</f>
        <v>0</v>
      </c>
      <c r="AB24" s="98">
        <f>SUMIFS('caseload data'!L:L,'caseload data'!$D:$D,"PO",'caseload data'!$C:$C,'custody caseload'!$T$22,'caseload data'!$B:$B,"custody")</f>
        <v>0</v>
      </c>
      <c r="AC24" s="98">
        <f>SUMIFS('caseload data'!M:M,'caseload data'!$D:$D,"PO",'caseload data'!$C:$C,'custody caseload'!$T$22,'caseload data'!$B:$B,"custody")</f>
        <v>0</v>
      </c>
      <c r="AD24" s="98">
        <f>SUMIFS('caseload data'!N:N,'caseload data'!$D:$D,"PO",'caseload data'!$C:$C,'custody caseload'!$T$22,'caseload data'!$B:$B,"custody")</f>
        <v>0</v>
      </c>
      <c r="AE24" s="98">
        <f>SUMIFS('caseload data'!O:O,'caseload data'!$D:$D,"PO",'caseload data'!$C:$C,'custody caseload'!$T$22,'caseload data'!$B:$B,"custody")</f>
        <v>0</v>
      </c>
      <c r="AF24" s="98">
        <f>SUMIFS('caseload data'!P:P,'caseload data'!$D:$D,"PO",'caseload data'!$C:$C,'custody caseload'!$T$22,'caseload data'!$B:$B,"custody")</f>
        <v>0</v>
      </c>
      <c r="AG24" s="98">
        <f>SUMIFS('caseload data'!Q:Q,'caseload data'!$D:$D,"PO",'caseload data'!$C:$C,'custody caseload'!$T$22,'caseload data'!$B:$B,"custody")</f>
        <v>0</v>
      </c>
      <c r="AH24" s="98">
        <f>SUMIFS('caseload data'!R:R,'caseload data'!$D:$D,"PO",'caseload data'!$C:$C,'custody caseload'!$T$22,'caseload data'!$B:$B,"custody")</f>
        <v>0</v>
      </c>
      <c r="AI24" s="98">
        <f>SUMIFS('caseload data'!S:S,'caseload data'!$D:$D,"PO",'caseload data'!$C:$C,'custody caseload'!$T$22,'caseload data'!$B:$B,"custody")</f>
        <v>0</v>
      </c>
      <c r="AJ24" s="98">
        <f>SUMIFS('caseload data'!T:T,'caseload data'!$D:$D,"PO",'caseload data'!$C:$C,'custody caseload'!$T$22,'caseload data'!$B:$B,"custody")</f>
        <v>0</v>
      </c>
    </row>
    <row r="25" spans="2:36" ht="15" x14ac:dyDescent="0.2">
      <c r="B25" s="101" t="s">
        <v>1172</v>
      </c>
      <c r="C25" s="153">
        <f>SUMIFS('caseload data'!E:E,'caseload data'!$D:$D,"PSO",'caseload data'!$C:$C,'custody caseload'!$B$22,'caseload data'!$B:$B,"custody")</f>
        <v>0</v>
      </c>
      <c r="D25" s="153">
        <f>SUMIFS('caseload data'!F:F,'caseload data'!$D:$D,"PSO",'caseload data'!$C:$C,'custody caseload'!$B$22,'caseload data'!$B:$B,"custody")</f>
        <v>0</v>
      </c>
      <c r="E25" s="153">
        <f>SUMIFS('caseload data'!G:G,'caseload data'!$D:$D,"PSO",'caseload data'!$C:$C,'custody caseload'!$B$22,'caseload data'!$B:$B,"custody")</f>
        <v>0</v>
      </c>
      <c r="F25" s="153">
        <f>SUMIFS('caseload data'!H:H,'caseload data'!$D:$D,"PSO",'caseload data'!$C:$C,'custody caseload'!$B$22,'caseload data'!$B:$B,"custody")</f>
        <v>0</v>
      </c>
      <c r="G25" s="153">
        <f>SUMIFS('caseload data'!I:I,'caseload data'!$D:$D,"PSO",'caseload data'!$C:$C,'custody caseload'!$B$22,'caseload data'!$B:$B,"custody")</f>
        <v>0</v>
      </c>
      <c r="H25" s="153">
        <f>SUMIFS('caseload data'!J:J,'caseload data'!$D:$D,"PSO",'caseload data'!$C:$C,'custody caseload'!$B$22,'caseload data'!$B:$B,"custody")</f>
        <v>0</v>
      </c>
      <c r="I25" s="153">
        <f>SUMIFS('caseload data'!K:K,'caseload data'!$D:$D,"PSO",'caseload data'!$C:$C,'custody caseload'!$B$22,'caseload data'!$B:$B,"custody")</f>
        <v>0</v>
      </c>
      <c r="J25" s="153">
        <f>SUMIFS('caseload data'!L:L,'caseload data'!$D:$D,"PSO",'caseload data'!$C:$C,'custody caseload'!$B$22,'caseload data'!$B:$B,"custody")</f>
        <v>0</v>
      </c>
      <c r="K25" s="98">
        <f>SUMIFS('caseload data'!M:M,'caseload data'!$D:$D,"PSO",'caseload data'!$C:$C,'custody caseload'!$B$22,'caseload data'!$B:$B,"custody")</f>
        <v>0</v>
      </c>
      <c r="L25" s="98">
        <f>SUMIFS('caseload data'!N:N,'caseload data'!$D:$D,"PSO",'caseload data'!$C:$C,'custody caseload'!$B$22,'caseload data'!$B:$B,"custody")</f>
        <v>0</v>
      </c>
      <c r="M25" s="98">
        <f>SUMIFS('caseload data'!O:O,'caseload data'!$D:$D,"PSO",'caseload data'!$C:$C,'custody caseload'!$B$22,'caseload data'!$B:$B,"custody")</f>
        <v>0</v>
      </c>
      <c r="N25" s="98">
        <f>SUMIFS('caseload data'!P:P,'caseload data'!$D:$D,"PSO",'caseload data'!$C:$C,'custody caseload'!$B$22,'caseload data'!$B:$B,"custody")</f>
        <v>0</v>
      </c>
      <c r="O25" s="98">
        <f>SUMIFS('caseload data'!Q:Q,'caseload data'!$D:$D,"PSO",'caseload data'!$C:$C,'custody caseload'!$B$22,'caseload data'!$B:$B,"custody")</f>
        <v>0</v>
      </c>
      <c r="P25" s="98">
        <f>SUMIFS('caseload data'!R:R,'caseload data'!$D:$D,"PSO",'caseload data'!$C:$C,'custody caseload'!$B$22,'caseload data'!$B:$B,"custody")</f>
        <v>0</v>
      </c>
      <c r="Q25" s="98">
        <f>SUMIFS('caseload data'!S:S,'caseload data'!$D:$D,"PSO",'caseload data'!$C:$C,'custody caseload'!$B$22,'caseload data'!$B:$B,"custody")</f>
        <v>0</v>
      </c>
      <c r="R25" s="98">
        <f>SUMIFS('caseload data'!T:T,'caseload data'!$D:$D,"PSO",'caseload data'!$C:$C,'custody caseload'!$B$22,'caseload data'!$B:$B,"custody")</f>
        <v>0</v>
      </c>
      <c r="S25" s="68"/>
      <c r="T25" s="101" t="s">
        <v>1172</v>
      </c>
      <c r="U25" s="153">
        <f>SUMIFS('caseload data'!E:E,'caseload data'!$D:$D,"PSO",'caseload data'!$C:$C,'custody caseload'!$T$22,'caseload data'!$B:$B,"custody")</f>
        <v>0</v>
      </c>
      <c r="V25" s="153">
        <f>SUMIFS('caseload data'!F:F,'caseload data'!$D:$D,"PSO",'caseload data'!$C:$C,'custody caseload'!$T$22,'caseload data'!$B:$B,"custody")</f>
        <v>0</v>
      </c>
      <c r="W25" s="153">
        <f>SUMIFS('caseload data'!G:G,'caseload data'!$D:$D,"PSO",'caseload data'!$C:$C,'custody caseload'!$T$22,'caseload data'!$B:$B,"custody")</f>
        <v>0</v>
      </c>
      <c r="X25" s="153">
        <f>SUMIFS('caseload data'!H:H,'caseload data'!$D:$D,"PSO",'caseload data'!$C:$C,'custody caseload'!$T$22,'caseload data'!$B:$B,"custody")</f>
        <v>0</v>
      </c>
      <c r="Y25" s="153">
        <f>SUMIFS('caseload data'!I:I,'caseload data'!$D:$D,"PSO",'caseload data'!$C:$C,'custody caseload'!$T$22,'caseload data'!$B:$B,"custody")</f>
        <v>0</v>
      </c>
      <c r="Z25" s="153">
        <f>SUMIFS('caseload data'!J:J,'caseload data'!$D:$D,"PSO",'caseload data'!$C:$C,'custody caseload'!$T$22,'caseload data'!$B:$B,"custody")</f>
        <v>0</v>
      </c>
      <c r="AA25" s="153">
        <f>SUMIFS('caseload data'!K:K,'caseload data'!$D:$D,"PSO",'caseload data'!$C:$C,'custody caseload'!$T$22,'caseload data'!$B:$B,"custody")</f>
        <v>0</v>
      </c>
      <c r="AB25" s="153">
        <f>SUMIFS('caseload data'!L:L,'caseload data'!$D:$D,"PSO",'caseload data'!$C:$C,'custody caseload'!$T$22,'caseload data'!$B:$B,"custody")</f>
        <v>0</v>
      </c>
      <c r="AC25" s="98">
        <f>SUMIFS('caseload data'!M:M,'caseload data'!$D:$D,"PSO",'caseload data'!$C:$C,'custody caseload'!$T$22,'caseload data'!$B:$B,"custody")</f>
        <v>0</v>
      </c>
      <c r="AD25" s="98">
        <f>SUMIFS('caseload data'!N:N,'caseload data'!$D:$D,"PSO",'caseload data'!$C:$C,'custody caseload'!$T$22,'caseload data'!$B:$B,"custody")</f>
        <v>0</v>
      </c>
      <c r="AE25" s="98">
        <f>SUMIFS('caseload data'!O:O,'caseload data'!$D:$D,"PSO",'caseload data'!$C:$C,'custody caseload'!$T$22,'caseload data'!$B:$B,"custody")</f>
        <v>0</v>
      </c>
      <c r="AF25" s="98">
        <f>SUMIFS('caseload data'!P:P,'caseload data'!$D:$D,"PSO",'caseload data'!$C:$C,'custody caseload'!$T$22,'caseload data'!$B:$B,"custody")</f>
        <v>0</v>
      </c>
      <c r="AG25" s="98">
        <f>SUMIFS('caseload data'!Q:Q,'caseload data'!$D:$D,"PSO",'caseload data'!$C:$C,'custody caseload'!$T$22,'caseload data'!$B:$B,"custody")</f>
        <v>0</v>
      </c>
      <c r="AH25" s="98">
        <f>SUMIFS('caseload data'!R:R,'caseload data'!$D:$D,"PSO",'caseload data'!$C:$C,'custody caseload'!$T$22,'caseload data'!$B:$B,"custody")</f>
        <v>0</v>
      </c>
      <c r="AI25" s="98">
        <f>SUMIFS('caseload data'!S:S,'caseload data'!$D:$D,"PSO",'caseload data'!$C:$C,'custody caseload'!$T$22,'caseload data'!$B:$B,"custody")</f>
        <v>0</v>
      </c>
      <c r="AJ25" s="98">
        <f>SUMIFS('caseload data'!T:T,'caseload data'!$D:$D,"PSO",'caseload data'!$C:$C,'custody caseload'!$T$22,'caseload data'!$B:$B,"custody")</f>
        <v>0</v>
      </c>
    </row>
    <row r="26" spans="2:36" ht="15" x14ac:dyDescent="0.2">
      <c r="B26" s="101" t="s">
        <v>1173</v>
      </c>
      <c r="C26" s="153">
        <f>SUMIFS('caseload data'!E:E,'caseload data'!$D:$D,"TPO",'caseload data'!$C:$C,'custody caseload'!$B$22,'caseload data'!$B:$B,"custody")</f>
        <v>0</v>
      </c>
      <c r="D26" s="153">
        <f>SUMIFS('caseload data'!F:F,'caseload data'!$D:$D,"TPO",'caseload data'!$C:$C,'custody caseload'!$B$22,'caseload data'!$B:$B,"custody")</f>
        <v>0</v>
      </c>
      <c r="E26" s="153">
        <f>SUMIFS('caseload data'!G:G,'caseload data'!$D:$D,"TPO",'caseload data'!$C:$C,'custody caseload'!$B$22,'caseload data'!$B:$B,"custody")</f>
        <v>0</v>
      </c>
      <c r="F26" s="153">
        <f>SUMIFS('caseload data'!H:H,'caseload data'!$D:$D,"TPO",'caseload data'!$C:$C,'custody caseload'!$B$22,'caseload data'!$B:$B,"custody")</f>
        <v>0</v>
      </c>
      <c r="G26" s="153">
        <f>SUMIFS('caseload data'!I:I,'caseload data'!$D:$D,"TPO",'caseload data'!$C:$C,'custody caseload'!$B$22,'caseload data'!$B:$B,"custody")</f>
        <v>0</v>
      </c>
      <c r="H26" s="153">
        <f>SUMIFS('caseload data'!J:J,'caseload data'!$D:$D,"TPO",'caseload data'!$C:$C,'custody caseload'!$B$22,'caseload data'!$B:$B,"custody")</f>
        <v>0</v>
      </c>
      <c r="I26" s="153">
        <f>SUMIFS('caseload data'!K:K,'caseload data'!$D:$D,"TPO",'caseload data'!$C:$C,'custody caseload'!$B$22,'caseload data'!$B:$B,"custody")</f>
        <v>0</v>
      </c>
      <c r="J26" s="153">
        <f>SUMIFS('caseload data'!L:L,'caseload data'!$D:$D,"TPO",'caseload data'!$C:$C,'custody caseload'!$B$22,'caseload data'!$B:$B,"custody")</f>
        <v>0</v>
      </c>
      <c r="K26" s="98">
        <f>SUMIFS('caseload data'!M:M,'caseload data'!$D:$D,"TPO",'caseload data'!$C:$C,'custody caseload'!$B$22,'caseload data'!$B:$B,"custody")</f>
        <v>0</v>
      </c>
      <c r="L26" s="98">
        <f>SUMIFS('caseload data'!N:N,'caseload data'!$D:$D,"TPO",'caseload data'!$C:$C,'custody caseload'!$B$22,'caseload data'!$B:$B,"custody")</f>
        <v>0</v>
      </c>
      <c r="M26" s="98">
        <f>SUMIFS('caseload data'!O:O,'caseload data'!$D:$D,"TPO",'caseload data'!$C:$C,'custody caseload'!$B$22,'caseload data'!$B:$B,"custody")</f>
        <v>0</v>
      </c>
      <c r="N26" s="98">
        <f>SUMIFS('caseload data'!P:P,'caseload data'!$D:$D,"TPO",'caseload data'!$C:$C,'custody caseload'!$B$22,'caseload data'!$B:$B,"custody")</f>
        <v>0</v>
      </c>
      <c r="O26" s="98">
        <f>SUMIFS('caseload data'!Q:Q,'caseload data'!$D:$D,"TPO",'caseload data'!$C:$C,'custody caseload'!$B$22,'caseload data'!$B:$B,"custody")</f>
        <v>0</v>
      </c>
      <c r="P26" s="98">
        <f>SUMIFS('caseload data'!R:R,'caseload data'!$D:$D,"TPO",'caseload data'!$C:$C,'custody caseload'!$B$22,'caseload data'!$B:$B,"custody")</f>
        <v>0</v>
      </c>
      <c r="Q26" s="98">
        <f>SUMIFS('caseload data'!S:S,'caseload data'!$D:$D,"TPO",'caseload data'!$C:$C,'custody caseload'!$B$22,'caseload data'!$B:$B,"custody")</f>
        <v>0</v>
      </c>
      <c r="R26" s="98">
        <f>SUMIFS('caseload data'!T:T,'caseload data'!$D:$D,"TPO",'caseload data'!$C:$C,'custody caseload'!$B$22,'caseload data'!$B:$B,"custody")</f>
        <v>0</v>
      </c>
      <c r="S26" s="68"/>
      <c r="T26" s="101" t="s">
        <v>1173</v>
      </c>
      <c r="U26" s="153">
        <f>SUMIFS('caseload data'!E:E,'caseload data'!$D:$D,"TPO",'caseload data'!$C:$C,'custody caseload'!$T$22,'caseload data'!$B:$B,"custody")</f>
        <v>0</v>
      </c>
      <c r="V26" s="153">
        <f>SUMIFS('caseload data'!F:F,'caseload data'!$D:$D,"TPO",'caseload data'!$C:$C,'custody caseload'!$T$22,'caseload data'!$B:$B,"custody")</f>
        <v>0</v>
      </c>
      <c r="W26" s="153">
        <f>SUMIFS('caseload data'!G:G,'caseload data'!$D:$D,"TPO",'caseload data'!$C:$C,'custody caseload'!$T$22,'caseload data'!$B:$B,"custody")</f>
        <v>0</v>
      </c>
      <c r="X26" s="153">
        <f>SUMIFS('caseload data'!H:H,'caseload data'!$D:$D,"TPO",'caseload data'!$C:$C,'custody caseload'!$T$22,'caseload data'!$B:$B,"custody")</f>
        <v>0</v>
      </c>
      <c r="Y26" s="153">
        <f>SUMIFS('caseload data'!I:I,'caseload data'!$D:$D,"TPO",'caseload data'!$C:$C,'custody caseload'!$T$22,'caseload data'!$B:$B,"custody")</f>
        <v>0</v>
      </c>
      <c r="Z26" s="153">
        <f>SUMIFS('caseload data'!J:J,'caseload data'!$D:$D,"TPO",'caseload data'!$C:$C,'custody caseload'!$T$22,'caseload data'!$B:$B,"custody")</f>
        <v>0</v>
      </c>
      <c r="AA26" s="153">
        <f>SUMIFS('caseload data'!K:K,'caseload data'!$D:$D,"TPO",'caseload data'!$C:$C,'custody caseload'!$T$22,'caseload data'!$B:$B,"custody")</f>
        <v>0</v>
      </c>
      <c r="AB26" s="153">
        <f>SUMIFS('caseload data'!L:L,'caseload data'!$D:$D,"TPO",'caseload data'!$C:$C,'custody caseload'!$T$22,'caseload data'!$B:$B,"custody")</f>
        <v>0</v>
      </c>
      <c r="AC26" s="98">
        <f>SUMIFS('caseload data'!M:M,'caseload data'!$D:$D,"TPO",'caseload data'!$C:$C,'custody caseload'!$T$22,'caseload data'!$B:$B,"custody")</f>
        <v>0</v>
      </c>
      <c r="AD26" s="98">
        <f>SUMIFS('caseload data'!N:N,'caseload data'!$D:$D,"TPO",'caseload data'!$C:$C,'custody caseload'!$T$22,'caseload data'!$B:$B,"custody")</f>
        <v>0</v>
      </c>
      <c r="AE26" s="98">
        <f>SUMIFS('caseload data'!O:O,'caseload data'!$D:$D,"TPO",'caseload data'!$C:$C,'custody caseload'!$T$22,'caseload data'!$B:$B,"custody")</f>
        <v>0</v>
      </c>
      <c r="AF26" s="98">
        <f>SUMIFS('caseload data'!P:P,'caseload data'!$D:$D,"TPO",'caseload data'!$C:$C,'custody caseload'!$T$22,'caseload data'!$B:$B,"custody")</f>
        <v>0</v>
      </c>
      <c r="AG26" s="98">
        <f>SUMIFS('caseload data'!Q:Q,'caseload data'!$D:$D,"TPO",'caseload data'!$C:$C,'custody caseload'!$T$22,'caseload data'!$B:$B,"custody")</f>
        <v>0</v>
      </c>
      <c r="AH26" s="98">
        <f>SUMIFS('caseload data'!R:R,'caseload data'!$D:$D,"TPO",'caseload data'!$C:$C,'custody caseload'!$T$22,'caseload data'!$B:$B,"custody")</f>
        <v>0</v>
      </c>
      <c r="AI26" s="98">
        <f>SUMIFS('caseload data'!S:S,'caseload data'!$D:$D,"TPO",'caseload data'!$C:$C,'custody caseload'!$T$22,'caseload data'!$B:$B,"custody")</f>
        <v>0</v>
      </c>
      <c r="AJ26" s="98">
        <f>SUMIFS('caseload data'!T:T,'caseload data'!$D:$D,"TPO",'caseload data'!$C:$C,'custody caseload'!$T$22,'caseload data'!$B:$B,"custody")</f>
        <v>0</v>
      </c>
    </row>
    <row r="27" spans="2:36" x14ac:dyDescent="0.15">
      <c r="B27" s="102" t="s">
        <v>1174</v>
      </c>
      <c r="C27" s="98">
        <f>SUMIFS('caseload data'!E:E,'caseload data'!$D:$D,"SPO",'caseload data'!$C:$C,'custody caseload'!$B$22,'caseload data'!$B:$B,"custody")</f>
        <v>0</v>
      </c>
      <c r="D27" s="98">
        <f>SUMIFS('caseload data'!F:F,'caseload data'!$D:$D,"SPO",'caseload data'!$C:$C,'custody caseload'!$B$22,'caseload data'!$B:$B,"custody")</f>
        <v>0</v>
      </c>
      <c r="E27" s="98">
        <f>SUMIFS('caseload data'!G:G,'caseload data'!$D:$D,"SPO",'caseload data'!$C:$C,'custody caseload'!$B$22,'caseload data'!$B:$B,"custody")</f>
        <v>0</v>
      </c>
      <c r="F27" s="98">
        <f>SUMIFS('caseload data'!H:H,'caseload data'!$D:$D,"SPO",'caseload data'!$C:$C,'custody caseload'!$B$22,'caseload data'!$B:$B,"custody")</f>
        <v>0</v>
      </c>
      <c r="G27" s="98">
        <f>SUMIFS('caseload data'!I:I,'caseload data'!$D:$D,"SPO",'caseload data'!$C:$C,'custody caseload'!$B$22,'caseload data'!$B:$B,"custody")</f>
        <v>0</v>
      </c>
      <c r="H27" s="98">
        <f>SUMIFS('caseload data'!J:J,'caseload data'!$D:$D,"SPO",'caseload data'!$C:$C,'custody caseload'!$B$22,'caseload data'!$B:$B,"custody")</f>
        <v>0</v>
      </c>
      <c r="I27" s="98">
        <f>SUMIFS('caseload data'!K:K,'caseload data'!$D:$D,"SPO",'caseload data'!$C:$C,'custody caseload'!$B$22,'caseload data'!$B:$B,"custody")</f>
        <v>0</v>
      </c>
      <c r="J27" s="98">
        <f>SUMIFS('caseload data'!L:L,'caseload data'!$D:$D,"SPO",'caseload data'!$C:$C,'custody caseload'!$B$22,'caseload data'!$B:$B,"custody")</f>
        <v>0</v>
      </c>
      <c r="K27" s="98">
        <f>SUMIFS('caseload data'!M:M,'caseload data'!$D:$D,"SPO",'caseload data'!$C:$C,'custody caseload'!$B$22,'caseload data'!$B:$B,"custody")</f>
        <v>0</v>
      </c>
      <c r="L27" s="98">
        <f>SUMIFS('caseload data'!N:N,'caseload data'!$D:$D,"SPO",'caseload data'!$C:$C,'custody caseload'!$B$22,'caseload data'!$B:$B,"custody")</f>
        <v>0</v>
      </c>
      <c r="M27" s="98">
        <f>SUMIFS('caseload data'!O:O,'caseload data'!$D:$D,"SPO",'caseload data'!$C:$C,'custody caseload'!$B$22,'caseload data'!$B:$B,"custody")</f>
        <v>0</v>
      </c>
      <c r="N27" s="98">
        <f>SUMIFS('caseload data'!P:P,'caseload data'!$D:$D,"SPO",'caseload data'!$C:$C,'custody caseload'!$B$22,'caseload data'!$B:$B,"custody")</f>
        <v>0</v>
      </c>
      <c r="O27" s="98">
        <f>SUMIFS('caseload data'!Q:Q,'caseload data'!$D:$D,"SPO",'caseload data'!$C:$C,'custody caseload'!$B$22,'caseload data'!$B:$B,"custody")</f>
        <v>0</v>
      </c>
      <c r="P27" s="98">
        <f>SUMIFS('caseload data'!R:R,'caseload data'!$D:$D,"SPO",'caseload data'!$C:$C,'custody caseload'!$B$22,'caseload data'!$B:$B,"custody")</f>
        <v>0</v>
      </c>
      <c r="Q27" s="98">
        <f>SUMIFS('caseload data'!S:S,'caseload data'!$D:$D,"SPO",'caseload data'!$C:$C,'custody caseload'!$B$22,'caseload data'!$B:$B,"custody")</f>
        <v>0</v>
      </c>
      <c r="R27" s="98">
        <f>SUMIFS('caseload data'!T:T,'caseload data'!$D:$D,"SPO",'caseload data'!$C:$C,'custody caseload'!$B$22,'caseload data'!$B:$B,"custody")</f>
        <v>0</v>
      </c>
      <c r="S27" s="68"/>
      <c r="T27" s="102" t="s">
        <v>1174</v>
      </c>
      <c r="U27" s="98">
        <f>SUMIFS('caseload data'!E:E,'caseload data'!$D:$D,"SPO",'caseload data'!$C:$C,'custody caseload'!$T$22,'caseload data'!$B:$B,"custody")</f>
        <v>0</v>
      </c>
      <c r="V27" s="98">
        <f>SUMIFS('caseload data'!F:F,'caseload data'!$D:$D,"SPO",'caseload data'!$C:$C,'custody caseload'!$T$22,'caseload data'!$B:$B,"custody")</f>
        <v>0</v>
      </c>
      <c r="W27" s="98">
        <f>SUMIFS('caseload data'!G:G,'caseload data'!$D:$D,"SPO",'caseload data'!$C:$C,'custody caseload'!$T$22,'caseload data'!$B:$B,"custody")</f>
        <v>0</v>
      </c>
      <c r="X27" s="98">
        <f>SUMIFS('caseload data'!H:H,'caseload data'!$D:$D,"SPO",'caseload data'!$C:$C,'custody caseload'!$T$22,'caseload data'!$B:$B,"custody")</f>
        <v>0</v>
      </c>
      <c r="Y27" s="98">
        <f>SUMIFS('caseload data'!I:I,'caseload data'!$D:$D,"SPO",'caseload data'!$C:$C,'custody caseload'!$T$22,'caseload data'!$B:$B,"custody")</f>
        <v>0</v>
      </c>
      <c r="Z27" s="98">
        <f>SUMIFS('caseload data'!J:J,'caseload data'!$D:$D,"SPO",'caseload data'!$C:$C,'custody caseload'!$T$22,'caseload data'!$B:$B,"custody")</f>
        <v>0</v>
      </c>
      <c r="AA27" s="98">
        <f>SUMIFS('caseload data'!K:K,'caseload data'!$D:$D,"SPO",'caseload data'!$C:$C,'custody caseload'!$T$22,'caseload data'!$B:$B,"custody")</f>
        <v>0</v>
      </c>
      <c r="AB27" s="98">
        <f>SUMIFS('caseload data'!L:L,'caseload data'!$D:$D,"SPO",'caseload data'!$C:$C,'custody caseload'!$T$22,'caseload data'!$B:$B,"custody")</f>
        <v>0</v>
      </c>
      <c r="AC27" s="98">
        <f>SUMIFS('caseload data'!M:M,'caseload data'!$D:$D,"SPO",'caseload data'!$C:$C,'custody caseload'!$T$22,'caseload data'!$B:$B,"custody")</f>
        <v>0</v>
      </c>
      <c r="AD27" s="98">
        <f>SUMIFS('caseload data'!N:N,'caseload data'!$D:$D,"SPO",'caseload data'!$C:$C,'custody caseload'!$T$22,'caseload data'!$B:$B,"custody")</f>
        <v>0</v>
      </c>
      <c r="AE27" s="98">
        <f>SUMIFS('caseload data'!O:O,'caseload data'!$D:$D,"SPO",'caseload data'!$C:$C,'custody caseload'!$T$22,'caseload data'!$B:$B,"custody")</f>
        <v>0</v>
      </c>
      <c r="AF27" s="98">
        <f>SUMIFS('caseload data'!P:P,'caseload data'!$D:$D,"SPO",'caseload data'!$C:$C,'custody caseload'!$T$22,'caseload data'!$B:$B,"custody")</f>
        <v>0</v>
      </c>
      <c r="AG27" s="98">
        <f>SUMIFS('caseload data'!Q:Q,'caseload data'!$D:$D,"SPO",'caseload data'!$C:$C,'custody caseload'!$T$22,'caseload data'!$B:$B,"custody")</f>
        <v>0</v>
      </c>
      <c r="AH27" s="98">
        <f>SUMIFS('caseload data'!R:R,'caseload data'!$D:$D,"SPO",'caseload data'!$C:$C,'custody caseload'!$T$22,'caseload data'!$B:$B,"custody")</f>
        <v>0</v>
      </c>
      <c r="AI27" s="98">
        <f>SUMIFS('caseload data'!S:S,'caseload data'!$D:$D,"SPO",'caseload data'!$C:$C,'custody caseload'!$T$22,'caseload data'!$B:$B,"custody")</f>
        <v>0</v>
      </c>
      <c r="AJ27" s="98">
        <f>SUMIFS('caseload data'!T:T,'caseload data'!$D:$D,"SPO",'caseload data'!$C:$C,'custody caseload'!$T$22,'caseload data'!$B:$B,"custody")</f>
        <v>0</v>
      </c>
    </row>
    <row r="28" spans="2:36" x14ac:dyDescent="0.15">
      <c r="B28" s="95"/>
      <c r="C28" s="68"/>
      <c r="D28" s="68"/>
      <c r="E28" s="68"/>
      <c r="F28" s="68"/>
      <c r="G28" s="68"/>
      <c r="H28" s="68"/>
      <c r="I28" s="68"/>
      <c r="J28" s="68"/>
      <c r="K28" s="68"/>
      <c r="L28" s="68"/>
      <c r="M28" s="68"/>
      <c r="N28" s="68"/>
      <c r="O28" s="68"/>
      <c r="P28" s="68"/>
      <c r="Q28" s="68"/>
      <c r="R28" s="68"/>
      <c r="S28" s="68"/>
      <c r="T28" s="95"/>
      <c r="U28" s="68"/>
      <c r="V28" s="68"/>
      <c r="W28" s="68"/>
      <c r="X28" s="68"/>
      <c r="Y28" s="68"/>
      <c r="Z28" s="68"/>
      <c r="AA28" s="68"/>
      <c r="AB28" s="68"/>
      <c r="AC28" s="68"/>
      <c r="AD28" s="68"/>
      <c r="AE28" s="68"/>
      <c r="AF28" s="68"/>
      <c r="AG28" s="68"/>
      <c r="AH28" s="68"/>
      <c r="AI28" s="68"/>
      <c r="AJ28" s="68"/>
    </row>
    <row r="29" spans="2:36" ht="29.25" customHeight="1" x14ac:dyDescent="0.15">
      <c r="B29" s="150" t="str">
        <f>HLOOKUP($B$5,Region_Table,8,0)</f>
        <v>Ealing and Hillingdon</v>
      </c>
      <c r="C29" s="475" t="s">
        <v>1305</v>
      </c>
      <c r="D29" s="476"/>
      <c r="E29" s="476"/>
      <c r="F29" s="476"/>
      <c r="G29" s="476"/>
      <c r="H29" s="476"/>
      <c r="I29" s="476"/>
      <c r="J29" s="476"/>
      <c r="K29" s="476"/>
      <c r="L29" s="476"/>
      <c r="M29" s="485"/>
      <c r="N29" s="485"/>
      <c r="O29" s="486"/>
      <c r="P29" s="462">
        <f>SUMIFS('caseload data'!V:V,'caseload data'!B:B,"custody",'caseload data'!$C:$C,'custody caseload'!B29)</f>
        <v>0</v>
      </c>
      <c r="Q29" s="479"/>
      <c r="R29" s="480"/>
      <c r="S29" s="68"/>
      <c r="T29" s="150" t="str">
        <f>HLOOKUP($B$5,Region_Table,9,0)</f>
        <v>Enfield and Haringey</v>
      </c>
      <c r="U29" s="475" t="s">
        <v>1305</v>
      </c>
      <c r="V29" s="476"/>
      <c r="W29" s="476"/>
      <c r="X29" s="476"/>
      <c r="Y29" s="476"/>
      <c r="Z29" s="476"/>
      <c r="AA29" s="476"/>
      <c r="AB29" s="476"/>
      <c r="AC29" s="476"/>
      <c r="AD29" s="476"/>
      <c r="AE29" s="485"/>
      <c r="AF29" s="485"/>
      <c r="AG29" s="486"/>
      <c r="AH29" s="462">
        <f>SUMIFS('caseload data'!V:V,'caseload data'!B:B,"custody",'caseload data'!$C:$C,'custody caseload'!T29)</f>
        <v>0</v>
      </c>
      <c r="AI29" s="479"/>
      <c r="AJ29" s="480"/>
    </row>
    <row r="30" spans="2:36" x14ac:dyDescent="0.15">
      <c r="B30" s="99" t="s">
        <v>1171</v>
      </c>
      <c r="C30" s="40" t="s">
        <v>1022</v>
      </c>
      <c r="D30" s="40" t="s">
        <v>1023</v>
      </c>
      <c r="E30" s="40" t="s">
        <v>1024</v>
      </c>
      <c r="F30" s="40" t="s">
        <v>1025</v>
      </c>
      <c r="G30" s="40" t="s">
        <v>1026</v>
      </c>
      <c r="H30" s="40" t="s">
        <v>1027</v>
      </c>
      <c r="I30" s="40" t="s">
        <v>1028</v>
      </c>
      <c r="J30" s="40" t="s">
        <v>1029</v>
      </c>
      <c r="K30" s="40" t="s">
        <v>1030</v>
      </c>
      <c r="L30" s="40" t="s">
        <v>1031</v>
      </c>
      <c r="M30" s="40" t="s">
        <v>1032</v>
      </c>
      <c r="N30" s="40" t="s">
        <v>1033</v>
      </c>
      <c r="O30" s="40" t="s">
        <v>1034</v>
      </c>
      <c r="P30" s="40" t="s">
        <v>1035</v>
      </c>
      <c r="Q30" s="40" t="s">
        <v>1036</v>
      </c>
      <c r="R30" s="40" t="s">
        <v>1037</v>
      </c>
      <c r="S30" s="68"/>
      <c r="T30" s="99" t="s">
        <v>1171</v>
      </c>
      <c r="U30" s="40" t="s">
        <v>1022</v>
      </c>
      <c r="V30" s="40" t="s">
        <v>1023</v>
      </c>
      <c r="W30" s="40" t="s">
        <v>1024</v>
      </c>
      <c r="X30" s="40" t="s">
        <v>1025</v>
      </c>
      <c r="Y30" s="40" t="s">
        <v>1026</v>
      </c>
      <c r="Z30" s="40" t="s">
        <v>1027</v>
      </c>
      <c r="AA30" s="40" t="s">
        <v>1028</v>
      </c>
      <c r="AB30" s="40" t="s">
        <v>1029</v>
      </c>
      <c r="AC30" s="40" t="s">
        <v>1030</v>
      </c>
      <c r="AD30" s="40" t="s">
        <v>1031</v>
      </c>
      <c r="AE30" s="40" t="s">
        <v>1032</v>
      </c>
      <c r="AF30" s="40" t="s">
        <v>1033</v>
      </c>
      <c r="AG30" s="40" t="s">
        <v>1034</v>
      </c>
      <c r="AH30" s="40" t="s">
        <v>1035</v>
      </c>
      <c r="AI30" s="40" t="s">
        <v>1036</v>
      </c>
      <c r="AJ30" s="40" t="s">
        <v>1037</v>
      </c>
    </row>
    <row r="31" spans="2:36" x14ac:dyDescent="0.15">
      <c r="B31" s="100" t="s">
        <v>1166</v>
      </c>
      <c r="C31" s="98">
        <f>SUMIFS('caseload data'!E:E,'caseload data'!$D:$D,"PO",'caseload data'!$C:$C,'custody caseload'!$B$29,'caseload data'!$B:$B,"custody")</f>
        <v>0</v>
      </c>
      <c r="D31" s="98">
        <f>SUMIFS('caseload data'!F:F,'caseload data'!$D:$D,"PO",'caseload data'!$C:$C,'custody caseload'!$B$29,'caseload data'!$B:$B,"custody")</f>
        <v>0</v>
      </c>
      <c r="E31" s="98">
        <f>SUMIFS('caseload data'!G:G,'caseload data'!$D:$D,"PO",'caseload data'!$C:$C,'custody caseload'!$B$29,'caseload data'!$B:$B,"custody")</f>
        <v>0</v>
      </c>
      <c r="F31" s="98">
        <f>SUMIFS('caseload data'!H:H,'caseload data'!$D:$D,"PO",'caseload data'!$C:$C,'custody caseload'!$B$29,'caseload data'!$B:$B,"custody")</f>
        <v>0</v>
      </c>
      <c r="G31" s="98">
        <f>SUMIFS('caseload data'!I:I,'caseload data'!$D:$D,"PO",'caseload data'!$C:$C,'custody caseload'!$B$29,'caseload data'!$B:$B,"custody")</f>
        <v>0</v>
      </c>
      <c r="H31" s="98">
        <f>SUMIFS('caseload data'!J:J,'caseload data'!$D:$D,"PO",'caseload data'!$C:$C,'custody caseload'!$B$29,'caseload data'!$B:$B,"custody")</f>
        <v>0</v>
      </c>
      <c r="I31" s="98">
        <f>SUMIFS('caseload data'!K:K,'caseload data'!$D:$D,"PO",'caseload data'!$C:$C,'custody caseload'!$B$29,'caseload data'!$B:$B,"custody")</f>
        <v>0</v>
      </c>
      <c r="J31" s="98">
        <f>SUMIFS('caseload data'!L:L,'caseload data'!$D:$D,"PO",'caseload data'!$C:$C,'custody caseload'!$B$29,'caseload data'!$B:$B,"custody")</f>
        <v>0</v>
      </c>
      <c r="K31" s="98">
        <f>SUMIFS('caseload data'!M:M,'caseload data'!$D:$D,"PO",'caseload data'!$C:$C,'custody caseload'!$B$29,'caseload data'!$B:$B,"custody")</f>
        <v>0</v>
      </c>
      <c r="L31" s="98">
        <f>SUMIFS('caseload data'!N:N,'caseload data'!$D:$D,"PO",'caseload data'!$C:$C,'custody caseload'!$B$29,'caseload data'!$B:$B,"custody")</f>
        <v>0</v>
      </c>
      <c r="M31" s="98">
        <f>SUMIFS('caseload data'!O:O,'caseload data'!$D:$D,"PO",'caseload data'!$C:$C,'custody caseload'!$B$29,'caseload data'!$B:$B,"custody")</f>
        <v>0</v>
      </c>
      <c r="N31" s="98">
        <f>SUMIFS('caseload data'!P:P,'caseload data'!$D:$D,"PO",'caseload data'!$C:$C,'custody caseload'!$B$29,'caseload data'!$B:$B,"custody")</f>
        <v>0</v>
      </c>
      <c r="O31" s="98">
        <f>SUMIFS('caseload data'!Q:Q,'caseload data'!$D:$D,"PO",'caseload data'!$C:$C,'custody caseload'!$B$29,'caseload data'!$B:$B,"custody")</f>
        <v>0</v>
      </c>
      <c r="P31" s="98">
        <f>SUMIFS('caseload data'!R:R,'caseload data'!$D:$D,"PO",'caseload data'!$C:$C,'custody caseload'!$B$29,'caseload data'!$B:$B,"custody")</f>
        <v>0</v>
      </c>
      <c r="Q31" s="98">
        <f>SUMIFS('caseload data'!S:S,'caseload data'!$D:$D,"PO",'caseload data'!$C:$C,'custody caseload'!$B$29,'caseload data'!$B:$B,"custody")</f>
        <v>0</v>
      </c>
      <c r="R31" s="98">
        <f>SUMIFS('caseload data'!T:T,'caseload data'!$D:$D,"PO",'caseload data'!$C:$C,'custody caseload'!$B$29,'caseload data'!$B:$B,"custody")</f>
        <v>0</v>
      </c>
      <c r="S31" s="68"/>
      <c r="T31" s="100" t="s">
        <v>1166</v>
      </c>
      <c r="U31" s="98">
        <f>SUMIFS('caseload data'!E:E,'caseload data'!$D:$D,"PO",'caseload data'!$C:$C,'custody caseload'!$T$29,'caseload data'!$B:$B,"custody")</f>
        <v>0</v>
      </c>
      <c r="V31" s="98">
        <f>SUMIFS('caseload data'!F:F,'caseload data'!$D:$D,"PO",'caseload data'!$C:$C,'custody caseload'!$T$29,'caseload data'!$B:$B,"custody")</f>
        <v>0</v>
      </c>
      <c r="W31" s="98">
        <f>SUMIFS('caseload data'!G:G,'caseload data'!$D:$D,"PO",'caseload data'!$C:$C,'custody caseload'!$T$29,'caseload data'!$B:$B,"custody")</f>
        <v>0</v>
      </c>
      <c r="X31" s="98">
        <f>SUMIFS('caseload data'!H:H,'caseload data'!$D:$D,"PO",'caseload data'!$C:$C,'custody caseload'!$T$29,'caseload data'!$B:$B,"custody")</f>
        <v>0</v>
      </c>
      <c r="Y31" s="98">
        <f>SUMIFS('caseload data'!I:I,'caseload data'!$D:$D,"PO",'caseload data'!$C:$C,'custody caseload'!$T$29,'caseload data'!$B:$B,"custody")</f>
        <v>0</v>
      </c>
      <c r="Z31" s="98">
        <f>SUMIFS('caseload data'!J:J,'caseload data'!$D:$D,"PO",'caseload data'!$C:$C,'custody caseload'!$T$29,'caseload data'!$B:$B,"custody")</f>
        <v>0</v>
      </c>
      <c r="AA31" s="98">
        <f>SUMIFS('caseload data'!K:K,'caseload data'!$D:$D,"PO",'caseload data'!$C:$C,'custody caseload'!$T$29,'caseload data'!$B:$B,"custody")</f>
        <v>0</v>
      </c>
      <c r="AB31" s="98">
        <f>SUMIFS('caseload data'!L:L,'caseload data'!$D:$D,"PO",'caseload data'!$C:$C,'custody caseload'!$T$29,'caseload data'!$B:$B,"custody")</f>
        <v>0</v>
      </c>
      <c r="AC31" s="98">
        <f>SUMIFS('caseload data'!M:M,'caseload data'!$D:$D,"PO",'caseload data'!$C:$C,'custody caseload'!$T$29,'caseload data'!$B:$B,"custody")</f>
        <v>0</v>
      </c>
      <c r="AD31" s="98">
        <f>SUMIFS('caseload data'!N:N,'caseload data'!$D:$D,"PO",'caseload data'!$C:$C,'custody caseload'!$T$29,'caseload data'!$B:$B,"custody")</f>
        <v>0</v>
      </c>
      <c r="AE31" s="98">
        <f>SUMIFS('caseload data'!O:O,'caseload data'!$D:$D,"PO",'caseload data'!$C:$C,'custody caseload'!$T$29,'caseload data'!$B:$B,"custody")</f>
        <v>0</v>
      </c>
      <c r="AF31" s="98">
        <f>SUMIFS('caseload data'!P:P,'caseload data'!$D:$D,"PO",'caseload data'!$C:$C,'custody caseload'!$T$29,'caseload data'!$B:$B,"custody")</f>
        <v>0</v>
      </c>
      <c r="AG31" s="98">
        <f>SUMIFS('caseload data'!Q:Q,'caseload data'!$D:$D,"PO",'caseload data'!$C:$C,'custody caseload'!$T$29,'caseload data'!$B:$B,"custody")</f>
        <v>0</v>
      </c>
      <c r="AH31" s="98">
        <f>SUMIFS('caseload data'!R:R,'caseload data'!$D:$D,"PO",'caseload data'!$C:$C,'custody caseload'!$T$29,'caseload data'!$B:$B,"custody")</f>
        <v>0</v>
      </c>
      <c r="AI31" s="98">
        <f>SUMIFS('caseload data'!S:S,'caseload data'!$D:$D,"PO",'caseload data'!$C:$C,'custody caseload'!$T$29,'caseload data'!$B:$B,"custody")</f>
        <v>0</v>
      </c>
      <c r="AJ31" s="98">
        <f>SUMIFS('caseload data'!T:T,'caseload data'!$D:$D,"PO",'caseload data'!$C:$C,'custody caseload'!$T$29,'caseload data'!$B:$B,"custody")</f>
        <v>0</v>
      </c>
    </row>
    <row r="32" spans="2:36" ht="15" x14ac:dyDescent="0.2">
      <c r="B32" s="101" t="s">
        <v>1172</v>
      </c>
      <c r="C32" s="153">
        <f>SUMIFS('caseload data'!E:E,'caseload data'!$D:$D,"PSO",'caseload data'!$C:$C,'custody caseload'!$B$29,'caseload data'!$B:$B,"custody")</f>
        <v>0</v>
      </c>
      <c r="D32" s="153">
        <f>SUMIFS('caseload data'!F:F,'caseload data'!$D:$D,"PSO",'caseload data'!$C:$C,'custody caseload'!$B$29,'caseload data'!$B:$B,"custody")</f>
        <v>0</v>
      </c>
      <c r="E32" s="153">
        <f>SUMIFS('caseload data'!G:G,'caseload data'!$D:$D,"PSO",'caseload data'!$C:$C,'custody caseload'!$B$29,'caseload data'!$B:$B,"custody")</f>
        <v>0</v>
      </c>
      <c r="F32" s="153">
        <f>SUMIFS('caseload data'!H:H,'caseload data'!$D:$D,"PSO",'caseload data'!$C:$C,'custody caseload'!$B$29,'caseload data'!$B:$B,"custody")</f>
        <v>0</v>
      </c>
      <c r="G32" s="153">
        <f>SUMIFS('caseload data'!I:I,'caseload data'!$D:$D,"PSO",'caseload data'!$C:$C,'custody caseload'!$B$29,'caseload data'!$B:$B,"custody")</f>
        <v>0</v>
      </c>
      <c r="H32" s="153">
        <f>SUMIFS('caseload data'!J:J,'caseload data'!$D:$D,"PSO",'caseload data'!$C:$C,'custody caseload'!$B$29,'caseload data'!$B:$B,"custody")</f>
        <v>0</v>
      </c>
      <c r="I32" s="153">
        <f>SUMIFS('caseload data'!K:K,'caseload data'!$D:$D,"PSO",'caseload data'!$C:$C,'custody caseload'!$B$29,'caseload data'!$B:$B,"custody")</f>
        <v>0</v>
      </c>
      <c r="J32" s="153">
        <f>SUMIFS('caseload data'!L:L,'caseload data'!$D:$D,"PSO",'caseload data'!$C:$C,'custody caseload'!$B$29,'caseload data'!$B:$B,"custody")</f>
        <v>0</v>
      </c>
      <c r="K32" s="98">
        <f>SUMIFS('caseload data'!M:M,'caseload data'!$D:$D,"PSO",'caseload data'!$C:$C,'custody caseload'!$B$29,'caseload data'!$B:$B,"custody")</f>
        <v>0</v>
      </c>
      <c r="L32" s="98">
        <f>SUMIFS('caseload data'!N:N,'caseload data'!$D:$D,"PSO",'caseload data'!$C:$C,'custody caseload'!$B$29,'caseload data'!$B:$B,"custody")</f>
        <v>0</v>
      </c>
      <c r="M32" s="98">
        <f>SUMIFS('caseload data'!O:O,'caseload data'!$D:$D,"PSO",'caseload data'!$C:$C,'custody caseload'!$B$29,'caseload data'!$B:$B,"custody")</f>
        <v>0</v>
      </c>
      <c r="N32" s="98">
        <f>SUMIFS('caseload data'!P:P,'caseload data'!$D:$D,"PSO",'caseload data'!$C:$C,'custody caseload'!$B$29,'caseload data'!$B:$B,"custody")</f>
        <v>0</v>
      </c>
      <c r="O32" s="98">
        <f>SUMIFS('caseload data'!Q:Q,'caseload data'!$D:$D,"PSO",'caseload data'!$C:$C,'custody caseload'!$B$29,'caseload data'!$B:$B,"custody")</f>
        <v>0</v>
      </c>
      <c r="P32" s="98">
        <f>SUMIFS('caseload data'!R:R,'caseload data'!$D:$D,"PSO",'caseload data'!$C:$C,'custody caseload'!$B$29,'caseload data'!$B:$B,"custody")</f>
        <v>0</v>
      </c>
      <c r="Q32" s="98">
        <f>SUMIFS('caseload data'!S:S,'caseload data'!$D:$D,"PSO",'caseload data'!$C:$C,'custody caseload'!$B$29,'caseload data'!$B:$B,"custody")</f>
        <v>0</v>
      </c>
      <c r="R32" s="98">
        <f>SUMIFS('caseload data'!T:T,'caseload data'!$D:$D,"PSO",'caseload data'!$C:$C,'custody caseload'!$B$29,'caseload data'!$B:$B,"custody")</f>
        <v>0</v>
      </c>
      <c r="S32" s="68"/>
      <c r="T32" s="101" t="s">
        <v>1172</v>
      </c>
      <c r="U32" s="153">
        <f>SUMIFS('caseload data'!E:E,'caseload data'!$D:$D,"PSO",'caseload data'!$C:$C,'custody caseload'!$T$29,'caseload data'!$B:$B,"custody")</f>
        <v>0</v>
      </c>
      <c r="V32" s="153">
        <f>SUMIFS('caseload data'!F:F,'caseload data'!$D:$D,"PSO",'caseload data'!$C:$C,'custody caseload'!$T$29,'caseload data'!$B:$B,"custody")</f>
        <v>0</v>
      </c>
      <c r="W32" s="153">
        <f>SUMIFS('caseload data'!G:G,'caseload data'!$D:$D,"PSO",'caseload data'!$C:$C,'custody caseload'!$T$29,'caseload data'!$B:$B,"custody")</f>
        <v>0</v>
      </c>
      <c r="X32" s="153">
        <f>SUMIFS('caseload data'!H:H,'caseload data'!$D:$D,"PSO",'caseload data'!$C:$C,'custody caseload'!$T$29,'caseload data'!$B:$B,"custody")</f>
        <v>0</v>
      </c>
      <c r="Y32" s="153">
        <f>SUMIFS('caseload data'!I:I,'caseload data'!$D:$D,"PSO",'caseload data'!$C:$C,'custody caseload'!$T$29,'caseload data'!$B:$B,"custody")</f>
        <v>0</v>
      </c>
      <c r="Z32" s="153">
        <f>SUMIFS('caseload data'!J:J,'caseload data'!$D:$D,"PSO",'caseload data'!$C:$C,'custody caseload'!$T$29,'caseload data'!$B:$B,"custody")</f>
        <v>0</v>
      </c>
      <c r="AA32" s="153">
        <f>SUMIFS('caseload data'!K:K,'caseload data'!$D:$D,"PSO",'caseload data'!$C:$C,'custody caseload'!$T$29,'caseload data'!$B:$B,"custody")</f>
        <v>0</v>
      </c>
      <c r="AB32" s="153">
        <f>SUMIFS('caseload data'!L:L,'caseload data'!$D:$D,"PSO",'caseload data'!$C:$C,'custody caseload'!$T$29,'caseload data'!$B:$B,"custody")</f>
        <v>0</v>
      </c>
      <c r="AC32" s="98">
        <f>SUMIFS('caseload data'!M:M,'caseload data'!$D:$D,"PSO",'caseload data'!$C:$C,'custody caseload'!$T$29,'caseload data'!$B:$B,"custody")</f>
        <v>0</v>
      </c>
      <c r="AD32" s="98">
        <f>SUMIFS('caseload data'!N:N,'caseload data'!$D:$D,"PSO",'caseload data'!$C:$C,'custody caseload'!$T$29,'caseload data'!$B:$B,"custody")</f>
        <v>0</v>
      </c>
      <c r="AE32" s="98">
        <f>SUMIFS('caseload data'!O:O,'caseload data'!$D:$D,"PSO",'caseload data'!$C:$C,'custody caseload'!$T$29,'caseload data'!$B:$B,"custody")</f>
        <v>0</v>
      </c>
      <c r="AF32" s="98">
        <f>SUMIFS('caseload data'!P:P,'caseload data'!$D:$D,"PSO",'caseload data'!$C:$C,'custody caseload'!$T$29,'caseload data'!$B:$B,"custody")</f>
        <v>0</v>
      </c>
      <c r="AG32" s="98">
        <f>SUMIFS('caseload data'!Q:Q,'caseload data'!$D:$D,"PSO",'caseload data'!$C:$C,'custody caseload'!$T$29,'caseload data'!$B:$B,"custody")</f>
        <v>0</v>
      </c>
      <c r="AH32" s="98">
        <f>SUMIFS('caseload data'!R:R,'caseload data'!$D:$D,"PSO",'caseload data'!$C:$C,'custody caseload'!$T$29,'caseload data'!$B:$B,"custody")</f>
        <v>0</v>
      </c>
      <c r="AI32" s="98">
        <f>SUMIFS('caseload data'!S:S,'caseload data'!$D:$D,"PSO",'caseload data'!$C:$C,'custody caseload'!$T$29,'caseload data'!$B:$B,"custody")</f>
        <v>0</v>
      </c>
      <c r="AJ32" s="98">
        <f>SUMIFS('caseload data'!T:T,'caseload data'!$D:$D,"PSO",'caseload data'!$C:$C,'custody caseload'!$T$29,'caseload data'!$B:$B,"custody")</f>
        <v>0</v>
      </c>
    </row>
    <row r="33" spans="2:36" ht="15" x14ac:dyDescent="0.2">
      <c r="B33" s="101" t="s">
        <v>1173</v>
      </c>
      <c r="C33" s="153">
        <f>SUMIFS('caseload data'!E:E,'caseload data'!$D:$D,"TPO",'caseload data'!$C:$C,'custody caseload'!$B$29,'caseload data'!$B:$B,"custody")</f>
        <v>0</v>
      </c>
      <c r="D33" s="153">
        <f>SUMIFS('caseload data'!F:F,'caseload data'!$D:$D,"TPO",'caseload data'!$C:$C,'custody caseload'!$B$29,'caseload data'!$B:$B,"custody")</f>
        <v>0</v>
      </c>
      <c r="E33" s="153">
        <f>SUMIFS('caseload data'!G:G,'caseload data'!$D:$D,"TPO",'caseload data'!$C:$C,'custody caseload'!$B$29,'caseload data'!$B:$B,"custody")</f>
        <v>0</v>
      </c>
      <c r="F33" s="153">
        <f>SUMIFS('caseload data'!H:H,'caseload data'!$D:$D,"TPO",'caseload data'!$C:$C,'custody caseload'!$B$29,'caseload data'!$B:$B,"custody")</f>
        <v>0</v>
      </c>
      <c r="G33" s="153">
        <f>SUMIFS('caseload data'!I:I,'caseload data'!$D:$D,"TPO",'caseload data'!$C:$C,'custody caseload'!$B$29,'caseload data'!$B:$B,"custody")</f>
        <v>0</v>
      </c>
      <c r="H33" s="153">
        <f>SUMIFS('caseload data'!J:J,'caseload data'!$D:$D,"TPO",'caseload data'!$C:$C,'custody caseload'!$B$29,'caseload data'!$B:$B,"custody")</f>
        <v>0</v>
      </c>
      <c r="I33" s="153">
        <f>SUMIFS('caseload data'!K:K,'caseload data'!$D:$D,"TPO",'caseload data'!$C:$C,'custody caseload'!$B$29,'caseload data'!$B:$B,"custody")</f>
        <v>0</v>
      </c>
      <c r="J33" s="153">
        <f>SUMIFS('caseload data'!L:L,'caseload data'!$D:$D,"TPO",'caseload data'!$C:$C,'custody caseload'!$B$29,'caseload data'!$B:$B,"custody")</f>
        <v>0</v>
      </c>
      <c r="K33" s="98">
        <f>SUMIFS('caseload data'!M:M,'caseload data'!$D:$D,"TPO",'caseload data'!$C:$C,'custody caseload'!$B$29,'caseload data'!$B:$B,"custody")</f>
        <v>0</v>
      </c>
      <c r="L33" s="98">
        <f>SUMIFS('caseload data'!N:N,'caseload data'!$D:$D,"TPO",'caseload data'!$C:$C,'custody caseload'!$B$29,'caseload data'!$B:$B,"custody")</f>
        <v>0</v>
      </c>
      <c r="M33" s="98">
        <f>SUMIFS('caseload data'!O:O,'caseload data'!$D:$D,"TPO",'caseload data'!$C:$C,'custody caseload'!$B$29,'caseload data'!$B:$B,"custody")</f>
        <v>0</v>
      </c>
      <c r="N33" s="98">
        <f>SUMIFS('caseload data'!P:P,'caseload data'!$D:$D,"TPO",'caseload data'!$C:$C,'custody caseload'!$B$29,'caseload data'!$B:$B,"custody")</f>
        <v>0</v>
      </c>
      <c r="O33" s="98">
        <f>SUMIFS('caseload data'!Q:Q,'caseload data'!$D:$D,"TPO",'caseload data'!$C:$C,'custody caseload'!$B$29,'caseload data'!$B:$B,"custody")</f>
        <v>0</v>
      </c>
      <c r="P33" s="98">
        <f>SUMIFS('caseload data'!R:R,'caseload data'!$D:$D,"TPO",'caseload data'!$C:$C,'custody caseload'!$B$29,'caseload data'!$B:$B,"custody")</f>
        <v>0</v>
      </c>
      <c r="Q33" s="98">
        <f>SUMIFS('caseload data'!S:S,'caseload data'!$D:$D,"TPO",'caseload data'!$C:$C,'custody caseload'!$B$29,'caseload data'!$B:$B,"custody")</f>
        <v>0</v>
      </c>
      <c r="R33" s="98">
        <f>SUMIFS('caseload data'!T:T,'caseload data'!$D:$D,"TPO",'caseload data'!$C:$C,'custody caseload'!$B$29,'caseload data'!$B:$B,"custody")</f>
        <v>0</v>
      </c>
      <c r="S33" s="68"/>
      <c r="T33" s="101" t="s">
        <v>1173</v>
      </c>
      <c r="U33" s="153">
        <f>SUMIFS('caseload data'!E:E,'caseload data'!$D:$D,"TPO",'caseload data'!$C:$C,'custody caseload'!$T$29,'caseload data'!$B:$B,"custody")</f>
        <v>0</v>
      </c>
      <c r="V33" s="153">
        <f>SUMIFS('caseload data'!F:F,'caseload data'!$D:$D,"TPO",'caseload data'!$C:$C,'custody caseload'!$T$29,'caseload data'!$B:$B,"custody")</f>
        <v>0</v>
      </c>
      <c r="W33" s="153">
        <f>SUMIFS('caseload data'!G:G,'caseload data'!$D:$D,"TPO",'caseload data'!$C:$C,'custody caseload'!$T$29,'caseload data'!$B:$B,"custody")</f>
        <v>0</v>
      </c>
      <c r="X33" s="153">
        <f>SUMIFS('caseload data'!H:H,'caseload data'!$D:$D,"TPO",'caseload data'!$C:$C,'custody caseload'!$T$29,'caseload data'!$B:$B,"custody")</f>
        <v>0</v>
      </c>
      <c r="Y33" s="153">
        <f>SUMIFS('caseload data'!I:I,'caseload data'!$D:$D,"TPO",'caseload data'!$C:$C,'custody caseload'!$T$29,'caseload data'!$B:$B,"custody")</f>
        <v>0</v>
      </c>
      <c r="Z33" s="153">
        <f>SUMIFS('caseload data'!J:J,'caseload data'!$D:$D,"TPO",'caseload data'!$C:$C,'custody caseload'!$T$29,'caseload data'!$B:$B,"custody")</f>
        <v>0</v>
      </c>
      <c r="AA33" s="153">
        <f>SUMIFS('caseload data'!K:K,'caseload data'!$D:$D,"TPO",'caseload data'!$C:$C,'custody caseload'!$T$29,'caseload data'!$B:$B,"custody")</f>
        <v>0</v>
      </c>
      <c r="AB33" s="153">
        <f>SUMIFS('caseload data'!L:L,'caseload data'!$D:$D,"TPO",'caseload data'!$C:$C,'custody caseload'!$T$29,'caseload data'!$B:$B,"custody")</f>
        <v>0</v>
      </c>
      <c r="AC33" s="98">
        <f>SUMIFS('caseload data'!M:M,'caseload data'!$D:$D,"TPO",'caseload data'!$C:$C,'custody caseload'!$T$29,'caseload data'!$B:$B,"custody")</f>
        <v>0</v>
      </c>
      <c r="AD33" s="98">
        <f>SUMIFS('caseload data'!N:N,'caseload data'!$D:$D,"TPO",'caseload data'!$C:$C,'custody caseload'!$T$29,'caseload data'!$B:$B,"custody")</f>
        <v>0</v>
      </c>
      <c r="AE33" s="98">
        <f>SUMIFS('caseload data'!O:O,'caseload data'!$D:$D,"TPO",'caseload data'!$C:$C,'custody caseload'!$T$29,'caseload data'!$B:$B,"custody")</f>
        <v>0</v>
      </c>
      <c r="AF33" s="98">
        <f>SUMIFS('caseload data'!P:P,'caseload data'!$D:$D,"TPO",'caseload data'!$C:$C,'custody caseload'!$T$29,'caseload data'!$B:$B,"custody")</f>
        <v>0</v>
      </c>
      <c r="AG33" s="98">
        <f>SUMIFS('caseload data'!Q:Q,'caseload data'!$D:$D,"TPO",'caseload data'!$C:$C,'custody caseload'!$T$29,'caseload data'!$B:$B,"custody")</f>
        <v>0</v>
      </c>
      <c r="AH33" s="98">
        <f>SUMIFS('caseload data'!R:R,'caseload data'!$D:$D,"TPO",'caseload data'!$C:$C,'custody caseload'!$T$29,'caseload data'!$B:$B,"custody")</f>
        <v>0</v>
      </c>
      <c r="AI33" s="98">
        <f>SUMIFS('caseload data'!S:S,'caseload data'!$D:$D,"TPO",'caseload data'!$C:$C,'custody caseload'!$T$29,'caseload data'!$B:$B,"custody")</f>
        <v>0</v>
      </c>
      <c r="AJ33" s="98">
        <f>SUMIFS('caseload data'!T:T,'caseload data'!$D:$D,"TPO",'caseload data'!$C:$C,'custody caseload'!$T$29,'caseload data'!$B:$B,"custody")</f>
        <v>0</v>
      </c>
    </row>
    <row r="34" spans="2:36" x14ac:dyDescent="0.15">
      <c r="B34" s="102" t="s">
        <v>1174</v>
      </c>
      <c r="C34" s="98">
        <f>SUMIFS('caseload data'!E:E,'caseload data'!$D:$D,"SPO",'caseload data'!$C:$C,'custody caseload'!$B$29,'caseload data'!$B:$B,"custody")</f>
        <v>0</v>
      </c>
      <c r="D34" s="98">
        <f>SUMIFS('caseload data'!F:F,'caseload data'!$D:$D,"SPO",'caseload data'!$C:$C,'custody caseload'!$B$29,'caseload data'!$B:$B,"custody")</f>
        <v>0</v>
      </c>
      <c r="E34" s="98">
        <f>SUMIFS('caseload data'!G:G,'caseload data'!$D:$D,"SPO",'caseload data'!$C:$C,'custody caseload'!$B$29,'caseload data'!$B:$B,"custody")</f>
        <v>0</v>
      </c>
      <c r="F34" s="98">
        <f>SUMIFS('caseload data'!H:H,'caseload data'!$D:$D,"SPO",'caseload data'!$C:$C,'custody caseload'!$B$29,'caseload data'!$B:$B,"custody")</f>
        <v>0</v>
      </c>
      <c r="G34" s="98">
        <f>SUMIFS('caseload data'!I:I,'caseload data'!$D:$D,"SPO",'caseload data'!$C:$C,'custody caseload'!$B$29,'caseload data'!$B:$B,"custody")</f>
        <v>0</v>
      </c>
      <c r="H34" s="98">
        <f>SUMIFS('caseload data'!J:J,'caseload data'!$D:$D,"SPO",'caseload data'!$C:$C,'custody caseload'!$B$29,'caseload data'!$B:$B,"custody")</f>
        <v>0</v>
      </c>
      <c r="I34" s="98">
        <f>SUMIFS('caseload data'!K:K,'caseload data'!$D:$D,"SPO",'caseload data'!$C:$C,'custody caseload'!$B$29,'caseload data'!$B:$B,"custody")</f>
        <v>0</v>
      </c>
      <c r="J34" s="98">
        <f>SUMIFS('caseload data'!L:L,'caseload data'!$D:$D,"SPO",'caseload data'!$C:$C,'custody caseload'!$B$29,'caseload data'!$B:$B,"custody")</f>
        <v>0</v>
      </c>
      <c r="K34" s="98">
        <f>SUMIFS('caseload data'!M:M,'caseload data'!$D:$D,"SPO",'caseload data'!$C:$C,'custody caseload'!$B$29,'caseload data'!$B:$B,"custody")</f>
        <v>0</v>
      </c>
      <c r="L34" s="98">
        <f>SUMIFS('caseload data'!N:N,'caseload data'!$D:$D,"SPO",'caseload data'!$C:$C,'custody caseload'!$B$29,'caseload data'!$B:$B,"custody")</f>
        <v>0</v>
      </c>
      <c r="M34" s="98">
        <f>SUMIFS('caseload data'!O:O,'caseload data'!$D:$D,"SPO",'caseload data'!$C:$C,'custody caseload'!$B$29,'caseload data'!$B:$B,"custody")</f>
        <v>0</v>
      </c>
      <c r="N34" s="98">
        <f>SUMIFS('caseload data'!P:P,'caseload data'!$D:$D,"SPO",'caseload data'!$C:$C,'custody caseload'!$B$29,'caseload data'!$B:$B,"custody")</f>
        <v>0</v>
      </c>
      <c r="O34" s="98">
        <f>SUMIFS('caseload data'!Q:Q,'caseload data'!$D:$D,"SPO",'caseload data'!$C:$C,'custody caseload'!$B$29,'caseload data'!$B:$B,"custody")</f>
        <v>0</v>
      </c>
      <c r="P34" s="98">
        <f>SUMIFS('caseload data'!R:R,'caseload data'!$D:$D,"SPO",'caseload data'!$C:$C,'custody caseload'!$B$29,'caseload data'!$B:$B,"custody")</f>
        <v>0</v>
      </c>
      <c r="Q34" s="98">
        <f>SUMIFS('caseload data'!S:S,'caseload data'!$D:$D,"SPO",'caseload data'!$C:$C,'custody caseload'!$B$29,'caseload data'!$B:$B,"custody")</f>
        <v>0</v>
      </c>
      <c r="R34" s="98">
        <f>SUMIFS('caseload data'!T:T,'caseload data'!$D:$D,"SPO",'caseload data'!$C:$C,'custody caseload'!$B$29,'caseload data'!$B:$B,"custody")</f>
        <v>0</v>
      </c>
      <c r="S34" s="68"/>
      <c r="T34" s="102" t="s">
        <v>1174</v>
      </c>
      <c r="U34" s="98">
        <f>SUMIFS('caseload data'!E:E,'caseload data'!$D:$D,"SPO",'caseload data'!$C:$C,'custody caseload'!$T$29,'caseload data'!$B:$B,"custody")</f>
        <v>0</v>
      </c>
      <c r="V34" s="98">
        <f>SUMIFS('caseload data'!F:F,'caseload data'!$D:$D,"SPO",'caseload data'!$C:$C,'custody caseload'!$T$29,'caseload data'!$B:$B,"custody")</f>
        <v>0</v>
      </c>
      <c r="W34" s="98">
        <f>SUMIFS('caseload data'!G:G,'caseload data'!$D:$D,"SPO",'caseload data'!$C:$C,'custody caseload'!$T$29,'caseload data'!$B:$B,"custody")</f>
        <v>0</v>
      </c>
      <c r="X34" s="98">
        <f>SUMIFS('caseload data'!H:H,'caseload data'!$D:$D,"SPO",'caseload data'!$C:$C,'custody caseload'!$T$29,'caseload data'!$B:$B,"custody")</f>
        <v>0</v>
      </c>
      <c r="Y34" s="98">
        <f>SUMIFS('caseload data'!I:I,'caseload data'!$D:$D,"SPO",'caseload data'!$C:$C,'custody caseload'!$T$29,'caseload data'!$B:$B,"custody")</f>
        <v>0</v>
      </c>
      <c r="Z34" s="98">
        <f>SUMIFS('caseload data'!J:J,'caseload data'!$D:$D,"SPO",'caseload data'!$C:$C,'custody caseload'!$T$29,'caseload data'!$B:$B,"custody")</f>
        <v>0</v>
      </c>
      <c r="AA34" s="98">
        <f>SUMIFS('caseload data'!K:K,'caseload data'!$D:$D,"SPO",'caseload data'!$C:$C,'custody caseload'!$T$29,'caseload data'!$B:$B,"custody")</f>
        <v>0</v>
      </c>
      <c r="AB34" s="98">
        <f>SUMIFS('caseload data'!L:L,'caseload data'!$D:$D,"SPO",'caseload data'!$C:$C,'custody caseload'!$T$29,'caseload data'!$B:$B,"custody")</f>
        <v>0</v>
      </c>
      <c r="AC34" s="98">
        <f>SUMIFS('caseload data'!M:M,'caseload data'!$D:$D,"SPO",'caseload data'!$C:$C,'custody caseload'!$T$29,'caseload data'!$B:$B,"custody")</f>
        <v>0</v>
      </c>
      <c r="AD34" s="98">
        <f>SUMIFS('caseload data'!N:N,'caseload data'!$D:$D,"SPO",'caseload data'!$C:$C,'custody caseload'!$T$29,'caseload data'!$B:$B,"custody")</f>
        <v>0</v>
      </c>
      <c r="AE34" s="98">
        <f>SUMIFS('caseload data'!O:O,'caseload data'!$D:$D,"SPO",'caseload data'!$C:$C,'custody caseload'!$T$29,'caseload data'!$B:$B,"custody")</f>
        <v>0</v>
      </c>
      <c r="AF34" s="98">
        <f>SUMIFS('caseload data'!P:P,'caseload data'!$D:$D,"SPO",'caseload data'!$C:$C,'custody caseload'!$T$29,'caseload data'!$B:$B,"custody")</f>
        <v>0</v>
      </c>
      <c r="AG34" s="98">
        <f>SUMIFS('caseload data'!Q:Q,'caseload data'!$D:$D,"SPO",'caseload data'!$C:$C,'custody caseload'!$T$29,'caseload data'!$B:$B,"custody")</f>
        <v>0</v>
      </c>
      <c r="AH34" s="98">
        <f>SUMIFS('caseload data'!R:R,'caseload data'!$D:$D,"SPO",'caseload data'!$C:$C,'custody caseload'!$T$29,'caseload data'!$B:$B,"custody")</f>
        <v>0</v>
      </c>
      <c r="AI34" s="98">
        <f>SUMIFS('caseload data'!S:S,'caseload data'!$D:$D,"SPO",'caseload data'!$C:$C,'custody caseload'!$T$29,'caseload data'!$B:$B,"custody")</f>
        <v>0</v>
      </c>
      <c r="AJ34" s="98">
        <f>SUMIFS('caseload data'!T:T,'caseload data'!$D:$D,"SPO",'caseload data'!$C:$C,'custody caseload'!$T$29,'caseload data'!$B:$B,"custody")</f>
        <v>0</v>
      </c>
    </row>
    <row r="35" spans="2:36" x14ac:dyDescent="0.15">
      <c r="B35" s="95"/>
      <c r="C35" s="68"/>
      <c r="D35" s="68"/>
      <c r="E35" s="68"/>
      <c r="F35" s="68"/>
      <c r="G35" s="68"/>
      <c r="H35" s="68"/>
      <c r="I35" s="68"/>
      <c r="J35" s="68"/>
      <c r="K35" s="68"/>
      <c r="L35" s="68"/>
      <c r="M35" s="68"/>
      <c r="N35" s="68"/>
      <c r="O35" s="68"/>
      <c r="P35" s="68"/>
      <c r="Q35" s="68"/>
      <c r="R35" s="68"/>
      <c r="S35" s="68"/>
      <c r="T35" s="95"/>
      <c r="U35" s="68"/>
      <c r="V35" s="68"/>
      <c r="W35" s="68"/>
      <c r="X35" s="68"/>
      <c r="Y35" s="68"/>
      <c r="Z35" s="68"/>
      <c r="AA35" s="68"/>
      <c r="AB35" s="68"/>
      <c r="AC35" s="68"/>
      <c r="AD35" s="68"/>
      <c r="AE35" s="68"/>
      <c r="AF35" s="68"/>
      <c r="AG35" s="68"/>
      <c r="AH35" s="68"/>
      <c r="AI35" s="68"/>
      <c r="AJ35" s="68"/>
    </row>
    <row r="36" spans="2:36" ht="27.75" customHeight="1" x14ac:dyDescent="0.15">
      <c r="B36" s="150" t="str">
        <f>HLOOKUP($B$5,Region_Table,10,0)</f>
        <v>Greenwich and Bexley</v>
      </c>
      <c r="C36" s="475" t="s">
        <v>1306</v>
      </c>
      <c r="D36" s="476"/>
      <c r="E36" s="476"/>
      <c r="F36" s="476"/>
      <c r="G36" s="476"/>
      <c r="H36" s="476"/>
      <c r="I36" s="476"/>
      <c r="J36" s="476"/>
      <c r="K36" s="476"/>
      <c r="L36" s="476"/>
      <c r="M36" s="485"/>
      <c r="N36" s="485"/>
      <c r="O36" s="486"/>
      <c r="P36" s="462">
        <f>SUMIFS('caseload data'!V:V,'caseload data'!B:B,"custody",'caseload data'!$C:$C,'custody caseload'!B36)</f>
        <v>0</v>
      </c>
      <c r="Q36" s="479"/>
      <c r="R36" s="480"/>
      <c r="S36" s="68"/>
      <c r="T36" s="150" t="str">
        <f>HLOOKUP($B$5,Region_Table,11,0)</f>
        <v>Hackney and City</v>
      </c>
      <c r="U36" s="475" t="s">
        <v>1305</v>
      </c>
      <c r="V36" s="476"/>
      <c r="W36" s="476"/>
      <c r="X36" s="476"/>
      <c r="Y36" s="476"/>
      <c r="Z36" s="476"/>
      <c r="AA36" s="476"/>
      <c r="AB36" s="476"/>
      <c r="AC36" s="476"/>
      <c r="AD36" s="476"/>
      <c r="AE36" s="485"/>
      <c r="AF36" s="485"/>
      <c r="AG36" s="486"/>
      <c r="AH36" s="462">
        <f>SUMIFS('caseload data'!V:V,'caseload data'!B:B,"custody",'caseload data'!$C:$C,'custody caseload'!T36)</f>
        <v>0</v>
      </c>
      <c r="AI36" s="479"/>
      <c r="AJ36" s="480"/>
    </row>
    <row r="37" spans="2:36" x14ac:dyDescent="0.15">
      <c r="B37" s="99" t="s">
        <v>1171</v>
      </c>
      <c r="C37" s="40" t="s">
        <v>1022</v>
      </c>
      <c r="D37" s="40" t="s">
        <v>1023</v>
      </c>
      <c r="E37" s="40" t="s">
        <v>1024</v>
      </c>
      <c r="F37" s="40" t="s">
        <v>1025</v>
      </c>
      <c r="G37" s="40" t="s">
        <v>1026</v>
      </c>
      <c r="H37" s="40" t="s">
        <v>1027</v>
      </c>
      <c r="I37" s="40" t="s">
        <v>1028</v>
      </c>
      <c r="J37" s="40" t="s">
        <v>1029</v>
      </c>
      <c r="K37" s="40" t="s">
        <v>1030</v>
      </c>
      <c r="L37" s="40" t="s">
        <v>1031</v>
      </c>
      <c r="M37" s="40" t="s">
        <v>1032</v>
      </c>
      <c r="N37" s="40" t="s">
        <v>1033</v>
      </c>
      <c r="O37" s="40" t="s">
        <v>1034</v>
      </c>
      <c r="P37" s="40" t="s">
        <v>1035</v>
      </c>
      <c r="Q37" s="40" t="s">
        <v>1036</v>
      </c>
      <c r="R37" s="40" t="s">
        <v>1037</v>
      </c>
      <c r="S37" s="68"/>
      <c r="T37" s="99" t="s">
        <v>1171</v>
      </c>
      <c r="U37" s="40" t="s">
        <v>1022</v>
      </c>
      <c r="V37" s="40" t="s">
        <v>1023</v>
      </c>
      <c r="W37" s="40" t="s">
        <v>1024</v>
      </c>
      <c r="X37" s="40" t="s">
        <v>1025</v>
      </c>
      <c r="Y37" s="40" t="s">
        <v>1026</v>
      </c>
      <c r="Z37" s="40" t="s">
        <v>1027</v>
      </c>
      <c r="AA37" s="40" t="s">
        <v>1028</v>
      </c>
      <c r="AB37" s="40" t="s">
        <v>1029</v>
      </c>
      <c r="AC37" s="40" t="s">
        <v>1030</v>
      </c>
      <c r="AD37" s="40" t="s">
        <v>1031</v>
      </c>
      <c r="AE37" s="40" t="s">
        <v>1032</v>
      </c>
      <c r="AF37" s="40" t="s">
        <v>1033</v>
      </c>
      <c r="AG37" s="40" t="s">
        <v>1034</v>
      </c>
      <c r="AH37" s="40" t="s">
        <v>1035</v>
      </c>
      <c r="AI37" s="40" t="s">
        <v>1036</v>
      </c>
      <c r="AJ37" s="40" t="s">
        <v>1037</v>
      </c>
    </row>
    <row r="38" spans="2:36" x14ac:dyDescent="0.15">
      <c r="B38" s="100" t="s">
        <v>1166</v>
      </c>
      <c r="C38" s="98">
        <f>SUMIFS('caseload data'!E:E,'caseload data'!$D:$D,"PO",'caseload data'!$C:$C,'custody caseload'!$B$36,'caseload data'!$B:$B,"custody")</f>
        <v>0</v>
      </c>
      <c r="D38" s="98">
        <f>SUMIFS('caseload data'!F:F,'caseload data'!$D:$D,"PO",'caseload data'!$C:$C,'custody caseload'!$B$36,'caseload data'!$B:$B,"custody")</f>
        <v>0</v>
      </c>
      <c r="E38" s="98">
        <f>SUMIFS('caseload data'!G:G,'caseload data'!$D:$D,"PO",'caseload data'!$C:$C,'custody caseload'!$B$36,'caseload data'!$B:$B,"custody")</f>
        <v>0</v>
      </c>
      <c r="F38" s="98">
        <f>SUMIFS('caseload data'!H:H,'caseload data'!$D:$D,"PO",'caseload data'!$C:$C,'custody caseload'!$B$36,'caseload data'!$B:$B,"custody")</f>
        <v>0</v>
      </c>
      <c r="G38" s="98">
        <f>SUMIFS('caseload data'!I:I,'caseload data'!$D:$D,"PO",'caseload data'!$C:$C,'custody caseload'!$B$36,'caseload data'!$B:$B,"custody")</f>
        <v>0</v>
      </c>
      <c r="H38" s="98">
        <f>SUMIFS('caseload data'!J:J,'caseload data'!$D:$D,"PO",'caseload data'!$C:$C,'custody caseload'!$B$36,'caseload data'!$B:$B,"custody")</f>
        <v>0</v>
      </c>
      <c r="I38" s="98">
        <f>SUMIFS('caseload data'!K:K,'caseload data'!$D:$D,"PO",'caseload data'!$C:$C,'custody caseload'!$B$36,'caseload data'!$B:$B,"custody")</f>
        <v>0</v>
      </c>
      <c r="J38" s="98">
        <f>SUMIFS('caseload data'!L:L,'caseload data'!$D:$D,"PO",'caseload data'!$C:$C,'custody caseload'!$B$36,'caseload data'!$B:$B,"custody")</f>
        <v>0</v>
      </c>
      <c r="K38" s="98">
        <f>SUMIFS('caseload data'!M:M,'caseload data'!$D:$D,"PO",'caseload data'!$C:$C,'custody caseload'!$B$36,'caseload data'!$B:$B,"custody")</f>
        <v>0</v>
      </c>
      <c r="L38" s="98">
        <f>SUMIFS('caseload data'!N:N,'caseload data'!$D:$D,"PO",'caseload data'!$C:$C,'custody caseload'!$B$36,'caseload data'!$B:$B,"custody")</f>
        <v>0</v>
      </c>
      <c r="M38" s="98">
        <f>SUMIFS('caseload data'!O:O,'caseload data'!$D:$D,"PO",'caseload data'!$C:$C,'custody caseload'!$B$36,'caseload data'!$B:$B,"custody")</f>
        <v>0</v>
      </c>
      <c r="N38" s="98">
        <f>SUMIFS('caseload data'!P:P,'caseload data'!$D:$D,"PO",'caseload data'!$C:$C,'custody caseload'!$B$36,'caseload data'!$B:$B,"custody")</f>
        <v>0</v>
      </c>
      <c r="O38" s="98">
        <f>SUMIFS('caseload data'!Q:Q,'caseload data'!$D:$D,"PO",'caseload data'!$C:$C,'custody caseload'!$B$36,'caseload data'!$B:$B,"custody")</f>
        <v>0</v>
      </c>
      <c r="P38" s="98">
        <f>SUMIFS('caseload data'!R:R,'caseload data'!$D:$D,"PO",'caseload data'!$C:$C,'custody caseload'!$B$36,'caseload data'!$B:$B,"custody")</f>
        <v>0</v>
      </c>
      <c r="Q38" s="98">
        <f>SUMIFS('caseload data'!S:S,'caseload data'!$D:$D,"PO",'caseload data'!$C:$C,'custody caseload'!$B$36,'caseload data'!$B:$B,"custody")</f>
        <v>0</v>
      </c>
      <c r="R38" s="98">
        <f>SUMIFS('caseload data'!T:T,'caseload data'!$D:$D,"PO",'caseload data'!$C:$C,'custody caseload'!$B$36,'caseload data'!$B:$B,"custody")</f>
        <v>0</v>
      </c>
      <c r="S38" s="68"/>
      <c r="T38" s="100" t="s">
        <v>1166</v>
      </c>
      <c r="U38" s="98">
        <f>SUMIFS('caseload data'!E:E,'caseload data'!$D:$D,"PO",'caseload data'!$C:$C,'custody caseload'!$T$36,'caseload data'!$B:$B,"custody")</f>
        <v>0</v>
      </c>
      <c r="V38" s="98">
        <f>SUMIFS('caseload data'!F:F,'caseload data'!$D:$D,"PO",'caseload data'!$C:$C,'custody caseload'!$T$36,'caseload data'!$B:$B,"custody")</f>
        <v>0</v>
      </c>
      <c r="W38" s="98">
        <f>SUMIFS('caseload data'!G:G,'caseload data'!$D:$D,"PO",'caseload data'!$C:$C,'custody caseload'!$T$36,'caseload data'!$B:$B,"custody")</f>
        <v>0</v>
      </c>
      <c r="X38" s="98">
        <f>SUMIFS('caseload data'!H:H,'caseload data'!$D:$D,"PO",'caseload data'!$C:$C,'custody caseload'!$T$36,'caseload data'!$B:$B,"custody")</f>
        <v>0</v>
      </c>
      <c r="Y38" s="98">
        <f>SUMIFS('caseload data'!I:I,'caseload data'!$D:$D,"PO",'caseload data'!$C:$C,'custody caseload'!$T$36,'caseload data'!$B:$B,"custody")</f>
        <v>0</v>
      </c>
      <c r="Z38" s="98">
        <f>SUMIFS('caseload data'!J:J,'caseload data'!$D:$D,"PO",'caseload data'!$C:$C,'custody caseload'!$T$36,'caseload data'!$B:$B,"custody")</f>
        <v>0</v>
      </c>
      <c r="AA38" s="98">
        <f>SUMIFS('caseload data'!K:K,'caseload data'!$D:$D,"PO",'caseload data'!$C:$C,'custody caseload'!$T$36,'caseload data'!$B:$B,"custody")</f>
        <v>0</v>
      </c>
      <c r="AB38" s="98">
        <f>SUMIFS('caseload data'!L:L,'caseload data'!$D:$D,"PO",'caseload data'!$C:$C,'custody caseload'!$T$36,'caseload data'!$B:$B,"custody")</f>
        <v>0</v>
      </c>
      <c r="AC38" s="98">
        <f>SUMIFS('caseload data'!M:M,'caseload data'!$D:$D,"PO",'caseload data'!$C:$C,'custody caseload'!$T$36,'caseload data'!$B:$B,"custody")</f>
        <v>0</v>
      </c>
      <c r="AD38" s="98">
        <f>SUMIFS('caseload data'!N:N,'caseload data'!$D:$D,"PO",'caseload data'!$C:$C,'custody caseload'!$T$36,'caseload data'!$B:$B,"custody")</f>
        <v>0</v>
      </c>
      <c r="AE38" s="98">
        <f>SUMIFS('caseload data'!O:O,'caseload data'!$D:$D,"PO",'caseload data'!$C:$C,'custody caseload'!$T$36,'caseload data'!$B:$B,"custody")</f>
        <v>0</v>
      </c>
      <c r="AF38" s="98">
        <f>SUMIFS('caseload data'!P:P,'caseload data'!$D:$D,"PO",'caseload data'!$C:$C,'custody caseload'!$T$36,'caseload data'!$B:$B,"custody")</f>
        <v>0</v>
      </c>
      <c r="AG38" s="98">
        <f>SUMIFS('caseload data'!Q:Q,'caseload data'!$D:$D,"PO",'caseload data'!$C:$C,'custody caseload'!$T$36,'caseload data'!$B:$B,"custody")</f>
        <v>0</v>
      </c>
      <c r="AH38" s="98">
        <f>SUMIFS('caseload data'!R:R,'caseload data'!$D:$D,"PO",'caseload data'!$C:$C,'custody caseload'!$T$36,'caseload data'!$B:$B,"custody")</f>
        <v>0</v>
      </c>
      <c r="AI38" s="98">
        <f>SUMIFS('caseload data'!S:S,'caseload data'!$D:$D,"PO",'caseload data'!$C:$C,'custody caseload'!$T$36,'caseload data'!$B:$B,"custody")</f>
        <v>0</v>
      </c>
      <c r="AJ38" s="98">
        <f>SUMIFS('caseload data'!T:T,'caseload data'!$D:$D,"PO",'caseload data'!$C:$C,'custody caseload'!$T$36,'caseload data'!$B:$B,"custody")</f>
        <v>0</v>
      </c>
    </row>
    <row r="39" spans="2:36" ht="15" x14ac:dyDescent="0.2">
      <c r="B39" s="101" t="s">
        <v>1172</v>
      </c>
      <c r="C39" s="153">
        <f>SUMIFS('caseload data'!E:E,'caseload data'!$D:$D,"PSO",'caseload data'!$C:$C,'custody caseload'!$B$36,'caseload data'!$B:$B,"custody")</f>
        <v>0</v>
      </c>
      <c r="D39" s="153">
        <f>SUMIFS('caseload data'!F:F,'caseload data'!$D:$D,"PSO",'caseload data'!$C:$C,'custody caseload'!$B$36,'caseload data'!$B:$B,"custody")</f>
        <v>0</v>
      </c>
      <c r="E39" s="153">
        <f>SUMIFS('caseload data'!G:G,'caseload data'!$D:$D,"PSO",'caseload data'!$C:$C,'custody caseload'!$B$36,'caseload data'!$B:$B,"custody")</f>
        <v>0</v>
      </c>
      <c r="F39" s="153">
        <f>SUMIFS('caseload data'!H:H,'caseload data'!$D:$D,"PSO",'caseload data'!$C:$C,'custody caseload'!$B$36,'caseload data'!$B:$B,"custody")</f>
        <v>0</v>
      </c>
      <c r="G39" s="153">
        <f>SUMIFS('caseload data'!I:I,'caseload data'!$D:$D,"PSO",'caseload data'!$C:$C,'custody caseload'!$B$36,'caseload data'!$B:$B,"custody")</f>
        <v>0</v>
      </c>
      <c r="H39" s="153">
        <f>SUMIFS('caseload data'!J:J,'caseload data'!$D:$D,"PSO",'caseload data'!$C:$C,'custody caseload'!$B$36,'caseload data'!$B:$B,"custody")</f>
        <v>0</v>
      </c>
      <c r="I39" s="153">
        <f>SUMIFS('caseload data'!K:K,'caseload data'!$D:$D,"PSO",'caseload data'!$C:$C,'custody caseload'!$B$36,'caseload data'!$B:$B,"custody")</f>
        <v>0</v>
      </c>
      <c r="J39" s="153">
        <f>SUMIFS('caseload data'!L:L,'caseload data'!$D:$D,"PSO",'caseload data'!$C:$C,'custody caseload'!$B$36,'caseload data'!$B:$B,"custody")</f>
        <v>0</v>
      </c>
      <c r="K39" s="98">
        <f>SUMIFS('caseload data'!M:M,'caseload data'!$D:$D,"PSO",'caseload data'!$C:$C,'custody caseload'!$B$36,'caseload data'!$B:$B,"custody")</f>
        <v>0</v>
      </c>
      <c r="L39" s="98">
        <f>SUMIFS('caseload data'!N:N,'caseload data'!$D:$D,"PSO",'caseload data'!$C:$C,'custody caseload'!$B$36,'caseload data'!$B:$B,"custody")</f>
        <v>0</v>
      </c>
      <c r="M39" s="98">
        <f>SUMIFS('caseload data'!O:O,'caseload data'!$D:$D,"PSO",'caseload data'!$C:$C,'custody caseload'!$B$36,'caseload data'!$B:$B,"custody")</f>
        <v>0</v>
      </c>
      <c r="N39" s="98">
        <f>SUMIFS('caseload data'!P:P,'caseload data'!$D:$D,"PSO",'caseload data'!$C:$C,'custody caseload'!$B$36,'caseload data'!$B:$B,"custody")</f>
        <v>0</v>
      </c>
      <c r="O39" s="98">
        <f>SUMIFS('caseload data'!Q:Q,'caseload data'!$D:$D,"PSO",'caseload data'!$C:$C,'custody caseload'!$B$36,'caseload data'!$B:$B,"custody")</f>
        <v>0</v>
      </c>
      <c r="P39" s="98">
        <f>SUMIFS('caseload data'!R:R,'caseload data'!$D:$D,"PSO",'caseload data'!$C:$C,'custody caseload'!$B$36,'caseload data'!$B:$B,"custody")</f>
        <v>0</v>
      </c>
      <c r="Q39" s="98">
        <f>SUMIFS('caseload data'!S:S,'caseload data'!$D:$D,"PSO",'caseload data'!$C:$C,'custody caseload'!$B$36,'caseload data'!$B:$B,"custody")</f>
        <v>0</v>
      </c>
      <c r="R39" s="98">
        <f>SUMIFS('caseload data'!T:T,'caseload data'!$D:$D,"PSO",'caseload data'!$C:$C,'custody caseload'!$B$36,'caseload data'!$B:$B,"custody")</f>
        <v>0</v>
      </c>
      <c r="S39" s="68"/>
      <c r="T39" s="101" t="s">
        <v>1172</v>
      </c>
      <c r="U39" s="153">
        <f>SUMIFS('caseload data'!E:E,'caseload data'!$D:$D,"PSO",'caseload data'!$C:$C,'custody caseload'!$T$36,'caseload data'!$B:$B,"custody")</f>
        <v>0</v>
      </c>
      <c r="V39" s="153">
        <f>SUMIFS('caseload data'!F:F,'caseload data'!$D:$D,"PSO",'caseload data'!$C:$C,'custody caseload'!$T$36,'caseload data'!$B:$B,"custody")</f>
        <v>0</v>
      </c>
      <c r="W39" s="153">
        <f>SUMIFS('caseload data'!G:G,'caseload data'!$D:$D,"PSO",'caseload data'!$C:$C,'custody caseload'!$T$36,'caseload data'!$B:$B,"custody")</f>
        <v>0</v>
      </c>
      <c r="X39" s="153">
        <f>SUMIFS('caseload data'!H:H,'caseload data'!$D:$D,"PSO",'caseload data'!$C:$C,'custody caseload'!$T$36,'caseload data'!$B:$B,"custody")</f>
        <v>0</v>
      </c>
      <c r="Y39" s="153">
        <f>SUMIFS('caseload data'!I:I,'caseload data'!$D:$D,"PSO",'caseload data'!$C:$C,'custody caseload'!$T$36,'caseload data'!$B:$B,"custody")</f>
        <v>0</v>
      </c>
      <c r="Z39" s="153">
        <f>SUMIFS('caseload data'!J:J,'caseload data'!$D:$D,"PSO",'caseload data'!$C:$C,'custody caseload'!$T$36,'caseload data'!$B:$B,"custody")</f>
        <v>0</v>
      </c>
      <c r="AA39" s="153">
        <f>SUMIFS('caseload data'!K:K,'caseload data'!$D:$D,"PSO",'caseload data'!$C:$C,'custody caseload'!$T$36,'caseload data'!$B:$B,"custody")</f>
        <v>0</v>
      </c>
      <c r="AB39" s="153">
        <f>SUMIFS('caseload data'!L:L,'caseload data'!$D:$D,"PSO",'caseload data'!$C:$C,'custody caseload'!$T$36,'caseload data'!$B:$B,"custody")</f>
        <v>0</v>
      </c>
      <c r="AC39" s="98">
        <f>SUMIFS('caseload data'!M:M,'caseload data'!$D:$D,"PSO",'caseload data'!$C:$C,'custody caseload'!$T$36,'caseload data'!$B:$B,"custody")</f>
        <v>0</v>
      </c>
      <c r="AD39" s="98">
        <f>SUMIFS('caseload data'!N:N,'caseload data'!$D:$D,"PSO",'caseload data'!$C:$C,'custody caseload'!$T$36,'caseload data'!$B:$B,"custody")</f>
        <v>0</v>
      </c>
      <c r="AE39" s="98">
        <f>SUMIFS('caseload data'!O:O,'caseload data'!$D:$D,"PSO",'caseload data'!$C:$C,'custody caseload'!$T$36,'caseload data'!$B:$B,"custody")</f>
        <v>0</v>
      </c>
      <c r="AF39" s="98">
        <f>SUMIFS('caseload data'!P:P,'caseload data'!$D:$D,"PSO",'caseload data'!$C:$C,'custody caseload'!$T$36,'caseload data'!$B:$B,"custody")</f>
        <v>0</v>
      </c>
      <c r="AG39" s="98">
        <f>SUMIFS('caseload data'!Q:Q,'caseload data'!$D:$D,"PSO",'caseload data'!$C:$C,'custody caseload'!$T$36,'caseload data'!$B:$B,"custody")</f>
        <v>0</v>
      </c>
      <c r="AH39" s="98">
        <f>SUMIFS('caseload data'!R:R,'caseload data'!$D:$D,"PSO",'caseload data'!$C:$C,'custody caseload'!$T$36,'caseload data'!$B:$B,"custody")</f>
        <v>0</v>
      </c>
      <c r="AI39" s="98">
        <f>SUMIFS('caseload data'!S:S,'caseload data'!$D:$D,"PSO",'caseload data'!$C:$C,'custody caseload'!$T$36,'caseload data'!$B:$B,"custody")</f>
        <v>0</v>
      </c>
      <c r="AJ39" s="98">
        <f>SUMIFS('caseload data'!T:T,'caseload data'!$D:$D,"PSO",'caseload data'!$C:$C,'custody caseload'!$T$36,'caseload data'!$B:$B,"custody")</f>
        <v>0</v>
      </c>
    </row>
    <row r="40" spans="2:36" ht="15" x14ac:dyDescent="0.2">
      <c r="B40" s="101" t="s">
        <v>1173</v>
      </c>
      <c r="C40" s="153">
        <f>SUMIFS('caseload data'!E:E,'caseload data'!$D:$D,"TPO",'caseload data'!$C:$C,'custody caseload'!$B$36,'caseload data'!$B:$B,"custody")</f>
        <v>0</v>
      </c>
      <c r="D40" s="153">
        <f>SUMIFS('caseload data'!F:F,'caseload data'!$D:$D,"TPO",'caseload data'!$C:$C,'custody caseload'!$B$36,'caseload data'!$B:$B,"custody")</f>
        <v>0</v>
      </c>
      <c r="E40" s="153">
        <f>SUMIFS('caseload data'!G:G,'caseload data'!$D:$D,"TPO",'caseload data'!$C:$C,'custody caseload'!$B$36,'caseload data'!$B:$B,"custody")</f>
        <v>0</v>
      </c>
      <c r="F40" s="153">
        <f>SUMIFS('caseload data'!H:H,'caseload data'!$D:$D,"TPO",'caseload data'!$C:$C,'custody caseload'!$B$36,'caseload data'!$B:$B,"custody")</f>
        <v>0</v>
      </c>
      <c r="G40" s="153">
        <f>SUMIFS('caseload data'!I:I,'caseload data'!$D:$D,"TPO",'caseload data'!$C:$C,'custody caseload'!$B$36,'caseload data'!$B:$B,"custody")</f>
        <v>0</v>
      </c>
      <c r="H40" s="153">
        <f>SUMIFS('caseload data'!J:J,'caseload data'!$D:$D,"TPO",'caseload data'!$C:$C,'custody caseload'!$B$36,'caseload data'!$B:$B,"custody")</f>
        <v>0</v>
      </c>
      <c r="I40" s="153">
        <f>SUMIFS('caseload data'!K:K,'caseload data'!$D:$D,"TPO",'caseload data'!$C:$C,'custody caseload'!$B$36,'caseload data'!$B:$B,"custody")</f>
        <v>0</v>
      </c>
      <c r="J40" s="153">
        <f>SUMIFS('caseload data'!L:L,'caseload data'!$D:$D,"TPO",'caseload data'!$C:$C,'custody caseload'!$B$36,'caseload data'!$B:$B,"custody")</f>
        <v>0</v>
      </c>
      <c r="K40" s="98">
        <f>SUMIFS('caseload data'!M:M,'caseload data'!$D:$D,"TPO",'caseload data'!$C:$C,'custody caseload'!$B$36,'caseload data'!$B:$B,"custody")</f>
        <v>0</v>
      </c>
      <c r="L40" s="98">
        <f>SUMIFS('caseload data'!N:N,'caseload data'!$D:$D,"TPO",'caseload data'!$C:$C,'custody caseload'!$B$36,'caseload data'!$B:$B,"custody")</f>
        <v>0</v>
      </c>
      <c r="M40" s="98">
        <f>SUMIFS('caseload data'!O:O,'caseload data'!$D:$D,"TPO",'caseload data'!$C:$C,'custody caseload'!$B$36,'caseload data'!$B:$B,"custody")</f>
        <v>0</v>
      </c>
      <c r="N40" s="98">
        <f>SUMIFS('caseload data'!P:P,'caseload data'!$D:$D,"TPO",'caseload data'!$C:$C,'custody caseload'!$B$36,'caseload data'!$B:$B,"custody")</f>
        <v>0</v>
      </c>
      <c r="O40" s="98">
        <f>SUMIFS('caseload data'!Q:Q,'caseload data'!$D:$D,"TPO",'caseload data'!$C:$C,'custody caseload'!$B$36,'caseload data'!$B:$B,"custody")</f>
        <v>0</v>
      </c>
      <c r="P40" s="98">
        <f>SUMIFS('caseload data'!R:R,'caseload data'!$D:$D,"TPO",'caseload data'!$C:$C,'custody caseload'!$B$36,'caseload data'!$B:$B,"custody")</f>
        <v>0</v>
      </c>
      <c r="Q40" s="98">
        <f>SUMIFS('caseload data'!S:S,'caseload data'!$D:$D,"TPO",'caseload data'!$C:$C,'custody caseload'!$B$36,'caseload data'!$B:$B,"custody")</f>
        <v>0</v>
      </c>
      <c r="R40" s="98">
        <f>SUMIFS('caseload data'!T:T,'caseload data'!$D:$D,"TPO",'caseload data'!$C:$C,'custody caseload'!$B$36,'caseload data'!$B:$B,"custody")</f>
        <v>0</v>
      </c>
      <c r="S40" s="68"/>
      <c r="T40" s="101" t="s">
        <v>1173</v>
      </c>
      <c r="U40" s="153">
        <f>SUMIFS('caseload data'!E:E,'caseload data'!$D:$D,"TPO",'caseload data'!$C:$C,'custody caseload'!$T$36,'caseload data'!$B:$B,"custody")</f>
        <v>0</v>
      </c>
      <c r="V40" s="153">
        <f>SUMIFS('caseload data'!F:F,'caseload data'!$D:$D,"TPO",'caseload data'!$C:$C,'custody caseload'!$T$36,'caseload data'!$B:$B,"custody")</f>
        <v>0</v>
      </c>
      <c r="W40" s="153">
        <f>SUMIFS('caseload data'!G:G,'caseload data'!$D:$D,"TPO",'caseload data'!$C:$C,'custody caseload'!$T$36,'caseload data'!$B:$B,"custody")</f>
        <v>0</v>
      </c>
      <c r="X40" s="153">
        <f>SUMIFS('caseload data'!H:H,'caseload data'!$D:$D,"TPO",'caseload data'!$C:$C,'custody caseload'!$T$36,'caseload data'!$B:$B,"custody")</f>
        <v>0</v>
      </c>
      <c r="Y40" s="153">
        <f>SUMIFS('caseload data'!I:I,'caseload data'!$D:$D,"TPO",'caseload data'!$C:$C,'custody caseload'!$T$36,'caseload data'!$B:$B,"custody")</f>
        <v>0</v>
      </c>
      <c r="Z40" s="153">
        <f>SUMIFS('caseload data'!J:J,'caseload data'!$D:$D,"TPO",'caseload data'!$C:$C,'custody caseload'!$T$36,'caseload data'!$B:$B,"custody")</f>
        <v>0</v>
      </c>
      <c r="AA40" s="153">
        <f>SUMIFS('caseload data'!K:K,'caseload data'!$D:$D,"TPO",'caseload data'!$C:$C,'custody caseload'!$T$36,'caseload data'!$B:$B,"custody")</f>
        <v>0</v>
      </c>
      <c r="AB40" s="153">
        <f>SUMIFS('caseload data'!L:L,'caseload data'!$D:$D,"TPO",'caseload data'!$C:$C,'custody caseload'!$T$36,'caseload data'!$B:$B,"custody")</f>
        <v>0</v>
      </c>
      <c r="AC40" s="98">
        <f>SUMIFS('caseload data'!M:M,'caseload data'!$D:$D,"TPO",'caseload data'!$C:$C,'custody caseload'!$T$36,'caseload data'!$B:$B,"custody")</f>
        <v>0</v>
      </c>
      <c r="AD40" s="98">
        <f>SUMIFS('caseload data'!N:N,'caseload data'!$D:$D,"TPO",'caseload data'!$C:$C,'custody caseload'!$T$36,'caseload data'!$B:$B,"custody")</f>
        <v>0</v>
      </c>
      <c r="AE40" s="98">
        <f>SUMIFS('caseload data'!O:O,'caseload data'!$D:$D,"TPO",'caseload data'!$C:$C,'custody caseload'!$T$36,'caseload data'!$B:$B,"custody")</f>
        <v>0</v>
      </c>
      <c r="AF40" s="98">
        <f>SUMIFS('caseload data'!P:P,'caseload data'!$D:$D,"TPO",'caseload data'!$C:$C,'custody caseload'!$T$36,'caseload data'!$B:$B,"custody")</f>
        <v>0</v>
      </c>
      <c r="AG40" s="98">
        <f>SUMIFS('caseload data'!Q:Q,'caseload data'!$D:$D,"TPO",'caseload data'!$C:$C,'custody caseload'!$T$36,'caseload data'!$B:$B,"custody")</f>
        <v>0</v>
      </c>
      <c r="AH40" s="98">
        <f>SUMIFS('caseload data'!R:R,'caseload data'!$D:$D,"TPO",'caseload data'!$C:$C,'custody caseload'!$T$36,'caseload data'!$B:$B,"custody")</f>
        <v>0</v>
      </c>
      <c r="AI40" s="98">
        <f>SUMIFS('caseload data'!S:S,'caseload data'!$D:$D,"TPO",'caseload data'!$C:$C,'custody caseload'!$T$36,'caseload data'!$B:$B,"custody")</f>
        <v>0</v>
      </c>
      <c r="AJ40" s="98">
        <f>SUMIFS('caseload data'!T:T,'caseload data'!$D:$D,"TPO",'caseload data'!$C:$C,'custody caseload'!$T$36,'caseload data'!$B:$B,"custody")</f>
        <v>0</v>
      </c>
    </row>
    <row r="41" spans="2:36" x14ac:dyDescent="0.15">
      <c r="B41" s="102" t="s">
        <v>1174</v>
      </c>
      <c r="C41" s="98">
        <f>SUMIFS('caseload data'!E:E,'caseload data'!$D:$D,"SPO",'caseload data'!$C:$C,'custody caseload'!$B$36,'caseload data'!$B:$B,"custody")</f>
        <v>0</v>
      </c>
      <c r="D41" s="98">
        <f>SUMIFS('caseload data'!F:F,'caseload data'!$D:$D,"SPO",'caseload data'!$C:$C,'custody caseload'!$B$36,'caseload data'!$B:$B,"custody")</f>
        <v>0</v>
      </c>
      <c r="E41" s="98">
        <f>SUMIFS('caseload data'!G:G,'caseload data'!$D:$D,"SPO",'caseload data'!$C:$C,'custody caseload'!$B$36,'caseload data'!$B:$B,"custody")</f>
        <v>0</v>
      </c>
      <c r="F41" s="98">
        <f>SUMIFS('caseload data'!H:H,'caseload data'!$D:$D,"SPO",'caseload data'!$C:$C,'custody caseload'!$B$36,'caseload data'!$B:$B,"custody")</f>
        <v>0</v>
      </c>
      <c r="G41" s="98">
        <f>SUMIFS('caseload data'!I:I,'caseload data'!$D:$D,"SPO",'caseload data'!$C:$C,'custody caseload'!$B$36,'caseload data'!$B:$B,"custody")</f>
        <v>0</v>
      </c>
      <c r="H41" s="98">
        <f>SUMIFS('caseload data'!J:J,'caseload data'!$D:$D,"SPO",'caseload data'!$C:$C,'custody caseload'!$B$36,'caseload data'!$B:$B,"custody")</f>
        <v>0</v>
      </c>
      <c r="I41" s="98">
        <f>SUMIFS('caseload data'!K:K,'caseload data'!$D:$D,"SPO",'caseload data'!$C:$C,'custody caseload'!$B$36,'caseload data'!$B:$B,"custody")</f>
        <v>0</v>
      </c>
      <c r="J41" s="98">
        <f>SUMIFS('caseload data'!L:L,'caseload data'!$D:$D,"SPO",'caseload data'!$C:$C,'custody caseload'!$B$36,'caseload data'!$B:$B,"custody")</f>
        <v>0</v>
      </c>
      <c r="K41" s="98">
        <f>SUMIFS('caseload data'!M:M,'caseload data'!$D:$D,"SPO",'caseload data'!$C:$C,'custody caseload'!$B$36,'caseload data'!$B:$B,"custody")</f>
        <v>0</v>
      </c>
      <c r="L41" s="98">
        <f>SUMIFS('caseload data'!N:N,'caseload data'!$D:$D,"SPO",'caseload data'!$C:$C,'custody caseload'!$B$36,'caseload data'!$B:$B,"custody")</f>
        <v>0</v>
      </c>
      <c r="M41" s="98">
        <f>SUMIFS('caseload data'!O:O,'caseload data'!$D:$D,"SPO",'caseload data'!$C:$C,'custody caseload'!$B$36,'caseload data'!$B:$B,"custody")</f>
        <v>0</v>
      </c>
      <c r="N41" s="98">
        <f>SUMIFS('caseload data'!P:P,'caseload data'!$D:$D,"SPO",'caseload data'!$C:$C,'custody caseload'!$B$36,'caseload data'!$B:$B,"custody")</f>
        <v>0</v>
      </c>
      <c r="O41" s="98">
        <f>SUMIFS('caseload data'!Q:Q,'caseload data'!$D:$D,"SPO",'caseload data'!$C:$C,'custody caseload'!$B$36,'caseload data'!$B:$B,"custody")</f>
        <v>0</v>
      </c>
      <c r="P41" s="98">
        <f>SUMIFS('caseload data'!R:R,'caseload data'!$D:$D,"SPO",'caseload data'!$C:$C,'custody caseload'!$B$36,'caseload data'!$B:$B,"custody")</f>
        <v>0</v>
      </c>
      <c r="Q41" s="98">
        <f>SUMIFS('caseload data'!S:S,'caseload data'!$D:$D,"SPO",'caseload data'!$C:$C,'custody caseload'!$B$36,'caseload data'!$B:$B,"custody")</f>
        <v>0</v>
      </c>
      <c r="R41" s="98">
        <f>SUMIFS('caseload data'!T:T,'caseload data'!$D:$D,"SPO",'caseload data'!$C:$C,'custody caseload'!$B$36,'caseload data'!$B:$B,"custody")</f>
        <v>0</v>
      </c>
      <c r="S41" s="68"/>
      <c r="T41" s="102" t="s">
        <v>1174</v>
      </c>
      <c r="U41" s="98">
        <f>SUMIFS('caseload data'!E:E,'caseload data'!$D:$D,"SPO",'caseload data'!$C:$C,'custody caseload'!$T$36,'caseload data'!$B:$B,"custody")</f>
        <v>0</v>
      </c>
      <c r="V41" s="98">
        <f>SUMIFS('caseload data'!F:F,'caseload data'!$D:$D,"SPO",'caseload data'!$C:$C,'custody caseload'!$T$36,'caseload data'!$B:$B,"custody")</f>
        <v>0</v>
      </c>
      <c r="W41" s="98">
        <f>SUMIFS('caseload data'!G:G,'caseload data'!$D:$D,"SPO",'caseload data'!$C:$C,'custody caseload'!$T$36,'caseload data'!$B:$B,"custody")</f>
        <v>0</v>
      </c>
      <c r="X41" s="98">
        <f>SUMIFS('caseload data'!H:H,'caseload data'!$D:$D,"SPO",'caseload data'!$C:$C,'custody caseload'!$T$36,'caseload data'!$B:$B,"custody")</f>
        <v>0</v>
      </c>
      <c r="Y41" s="98">
        <f>SUMIFS('caseload data'!I:I,'caseload data'!$D:$D,"SPO",'caseload data'!$C:$C,'custody caseload'!$T$36,'caseload data'!$B:$B,"custody")</f>
        <v>0</v>
      </c>
      <c r="Z41" s="98">
        <f>SUMIFS('caseload data'!J:J,'caseload data'!$D:$D,"SPO",'caseload data'!$C:$C,'custody caseload'!$T$36,'caseload data'!$B:$B,"custody")</f>
        <v>0</v>
      </c>
      <c r="AA41" s="98">
        <f>SUMIFS('caseload data'!K:K,'caseload data'!$D:$D,"SPO",'caseload data'!$C:$C,'custody caseload'!$T$36,'caseload data'!$B:$B,"custody")</f>
        <v>0</v>
      </c>
      <c r="AB41" s="98">
        <f>SUMIFS('caseload data'!L:L,'caseload data'!$D:$D,"SPO",'caseload data'!$C:$C,'custody caseload'!$T$36,'caseload data'!$B:$B,"custody")</f>
        <v>0</v>
      </c>
      <c r="AC41" s="98">
        <f>SUMIFS('caseload data'!M:M,'caseload data'!$D:$D,"SPO",'caseload data'!$C:$C,'custody caseload'!$T$36,'caseload data'!$B:$B,"custody")</f>
        <v>0</v>
      </c>
      <c r="AD41" s="98">
        <f>SUMIFS('caseload data'!N:N,'caseload data'!$D:$D,"SPO",'caseload data'!$C:$C,'custody caseload'!$T$36,'caseload data'!$B:$B,"custody")</f>
        <v>0</v>
      </c>
      <c r="AE41" s="98">
        <f>SUMIFS('caseload data'!O:O,'caseload data'!$D:$D,"SPO",'caseload data'!$C:$C,'custody caseload'!$T$36,'caseload data'!$B:$B,"custody")</f>
        <v>0</v>
      </c>
      <c r="AF41" s="98">
        <f>SUMIFS('caseload data'!P:P,'caseload data'!$D:$D,"SPO",'caseload data'!$C:$C,'custody caseload'!$T$36,'caseload data'!$B:$B,"custody")</f>
        <v>0</v>
      </c>
      <c r="AG41" s="98">
        <f>SUMIFS('caseload data'!Q:Q,'caseload data'!$D:$D,"SPO",'caseload data'!$C:$C,'custody caseload'!$T$36,'caseload data'!$B:$B,"custody")</f>
        <v>0</v>
      </c>
      <c r="AH41" s="98">
        <f>SUMIFS('caseload data'!R:R,'caseload data'!$D:$D,"SPO",'caseload data'!$C:$C,'custody caseload'!$T$36,'caseload data'!$B:$B,"custody")</f>
        <v>0</v>
      </c>
      <c r="AI41" s="98">
        <f>SUMIFS('caseload data'!S:S,'caseload data'!$D:$D,"SPO",'caseload data'!$C:$C,'custody caseload'!$T$36,'caseload data'!$B:$B,"custody")</f>
        <v>0</v>
      </c>
      <c r="AJ41" s="98">
        <f>SUMIFS('caseload data'!T:T,'caseload data'!$D:$D,"SPO",'caseload data'!$C:$C,'custody caseload'!$T$36,'caseload data'!$B:$B,"custody")</f>
        <v>0</v>
      </c>
    </row>
    <row r="42" spans="2:36" x14ac:dyDescent="0.15">
      <c r="B42" s="95"/>
      <c r="C42" s="68"/>
      <c r="D42" s="68"/>
      <c r="E42" s="68"/>
      <c r="F42" s="68"/>
      <c r="G42" s="68"/>
      <c r="H42" s="68"/>
      <c r="I42" s="68"/>
      <c r="J42" s="68"/>
      <c r="K42" s="68"/>
      <c r="L42" s="68"/>
      <c r="M42" s="68"/>
      <c r="N42" s="68"/>
      <c r="O42" s="68"/>
      <c r="P42" s="68"/>
      <c r="Q42" s="68"/>
      <c r="R42" s="68"/>
      <c r="S42" s="68"/>
      <c r="T42" s="95"/>
      <c r="U42" s="68"/>
      <c r="V42" s="68"/>
      <c r="W42" s="68"/>
      <c r="X42" s="68"/>
      <c r="Y42" s="68"/>
      <c r="Z42" s="68"/>
      <c r="AA42" s="68"/>
      <c r="AB42" s="68"/>
      <c r="AC42" s="68"/>
      <c r="AD42" s="68"/>
      <c r="AE42" s="68"/>
      <c r="AF42" s="68"/>
      <c r="AG42" s="68"/>
      <c r="AH42" s="68"/>
      <c r="AI42" s="68"/>
      <c r="AJ42" s="68"/>
    </row>
    <row r="43" spans="2:36" ht="29.25" customHeight="1" x14ac:dyDescent="0.15">
      <c r="B43" s="150" t="str">
        <f>HLOOKUP($B$5,Region_Table,12,0)</f>
        <v>Hammersmith, Fulham, Kensington, Chelsea and Westminster</v>
      </c>
      <c r="C43" s="475" t="s">
        <v>1305</v>
      </c>
      <c r="D43" s="476"/>
      <c r="E43" s="476"/>
      <c r="F43" s="476"/>
      <c r="G43" s="476"/>
      <c r="H43" s="476"/>
      <c r="I43" s="476"/>
      <c r="J43" s="476"/>
      <c r="K43" s="476"/>
      <c r="L43" s="476"/>
      <c r="M43" s="485"/>
      <c r="N43" s="485"/>
      <c r="O43" s="486"/>
      <c r="P43" s="462">
        <f>SUMIFS('caseload data'!V:V,'caseload data'!B:B,"custody",'caseload data'!$C:$C,'custody caseload'!B43)</f>
        <v>0</v>
      </c>
      <c r="Q43" s="479"/>
      <c r="R43" s="480"/>
      <c r="S43" s="68"/>
      <c r="T43" s="150" t="str">
        <f>HLOOKUP($B$5,Region_Table,13,0)</f>
        <v>Harrow and Barnet</v>
      </c>
      <c r="U43" s="475" t="s">
        <v>1305</v>
      </c>
      <c r="V43" s="476"/>
      <c r="W43" s="476"/>
      <c r="X43" s="476"/>
      <c r="Y43" s="476"/>
      <c r="Z43" s="476"/>
      <c r="AA43" s="476"/>
      <c r="AB43" s="476"/>
      <c r="AC43" s="476"/>
      <c r="AD43" s="476"/>
      <c r="AE43" s="485"/>
      <c r="AF43" s="485"/>
      <c r="AG43" s="486"/>
      <c r="AH43" s="462">
        <f>SUMIFS('caseload data'!V:V,'caseload data'!B:B,"custody",'caseload data'!$C:$C,'custody caseload'!T43)</f>
        <v>0</v>
      </c>
      <c r="AI43" s="479"/>
      <c r="AJ43" s="480"/>
    </row>
    <row r="44" spans="2:36" x14ac:dyDescent="0.15">
      <c r="B44" s="99" t="s">
        <v>1171</v>
      </c>
      <c r="C44" s="40" t="s">
        <v>1022</v>
      </c>
      <c r="D44" s="40" t="s">
        <v>1023</v>
      </c>
      <c r="E44" s="40" t="s">
        <v>1024</v>
      </c>
      <c r="F44" s="40" t="s">
        <v>1025</v>
      </c>
      <c r="G44" s="40" t="s">
        <v>1026</v>
      </c>
      <c r="H44" s="40" t="s">
        <v>1027</v>
      </c>
      <c r="I44" s="40" t="s">
        <v>1028</v>
      </c>
      <c r="J44" s="40" t="s">
        <v>1029</v>
      </c>
      <c r="K44" s="40" t="s">
        <v>1030</v>
      </c>
      <c r="L44" s="40" t="s">
        <v>1031</v>
      </c>
      <c r="M44" s="40" t="s">
        <v>1032</v>
      </c>
      <c r="N44" s="40" t="s">
        <v>1033</v>
      </c>
      <c r="O44" s="40" t="s">
        <v>1034</v>
      </c>
      <c r="P44" s="40" t="s">
        <v>1035</v>
      </c>
      <c r="Q44" s="40" t="s">
        <v>1036</v>
      </c>
      <c r="R44" s="40" t="s">
        <v>1037</v>
      </c>
      <c r="S44" s="68"/>
      <c r="T44" s="99" t="s">
        <v>1171</v>
      </c>
      <c r="U44" s="40" t="s">
        <v>1022</v>
      </c>
      <c r="V44" s="40" t="s">
        <v>1023</v>
      </c>
      <c r="W44" s="40" t="s">
        <v>1024</v>
      </c>
      <c r="X44" s="40" t="s">
        <v>1025</v>
      </c>
      <c r="Y44" s="40" t="s">
        <v>1026</v>
      </c>
      <c r="Z44" s="40" t="s">
        <v>1027</v>
      </c>
      <c r="AA44" s="40" t="s">
        <v>1028</v>
      </c>
      <c r="AB44" s="40" t="s">
        <v>1029</v>
      </c>
      <c r="AC44" s="40" t="s">
        <v>1030</v>
      </c>
      <c r="AD44" s="40" t="s">
        <v>1031</v>
      </c>
      <c r="AE44" s="40" t="s">
        <v>1032</v>
      </c>
      <c r="AF44" s="40" t="s">
        <v>1033</v>
      </c>
      <c r="AG44" s="40" t="s">
        <v>1034</v>
      </c>
      <c r="AH44" s="40" t="s">
        <v>1035</v>
      </c>
      <c r="AI44" s="40" t="s">
        <v>1036</v>
      </c>
      <c r="AJ44" s="40" t="s">
        <v>1037</v>
      </c>
    </row>
    <row r="45" spans="2:36" x14ac:dyDescent="0.15">
      <c r="B45" s="100" t="s">
        <v>1166</v>
      </c>
      <c r="C45" s="98">
        <f>SUMIFS('caseload data'!E:E,'caseload data'!$D:$D,"PO",'caseload data'!$C:$C,'custody caseload'!$B$43,'caseload data'!$B:$B,"custody")</f>
        <v>0</v>
      </c>
      <c r="D45" s="98">
        <f>SUMIFS('caseload data'!F:F,'caseload data'!$D:$D,"PO",'caseload data'!$C:$C,'custody caseload'!$B$43,'caseload data'!$B:$B,"custody")</f>
        <v>0</v>
      </c>
      <c r="E45" s="98">
        <f>SUMIFS('caseload data'!G:G,'caseload data'!$D:$D,"PO",'caseload data'!$C:$C,'custody caseload'!$B$43,'caseload data'!$B:$B,"custody")</f>
        <v>0</v>
      </c>
      <c r="F45" s="98">
        <f>SUMIFS('caseload data'!H:H,'caseload data'!$D:$D,"PO",'caseload data'!$C:$C,'custody caseload'!$B$43,'caseload data'!$B:$B,"custody")</f>
        <v>0</v>
      </c>
      <c r="G45" s="98">
        <f>SUMIFS('caseload data'!I:I,'caseload data'!$D:$D,"PO",'caseload data'!$C:$C,'custody caseload'!$B$43,'caseload data'!$B:$B,"custody")</f>
        <v>0</v>
      </c>
      <c r="H45" s="98">
        <f>SUMIFS('caseload data'!J:J,'caseload data'!$D:$D,"PO",'caseload data'!$C:$C,'custody caseload'!$B$43,'caseload data'!$B:$B,"custody")</f>
        <v>0</v>
      </c>
      <c r="I45" s="98">
        <f>SUMIFS('caseload data'!K:K,'caseload data'!$D:$D,"PO",'caseload data'!$C:$C,'custody caseload'!$B$43,'caseload data'!$B:$B,"custody")</f>
        <v>0</v>
      </c>
      <c r="J45" s="98">
        <f>SUMIFS('caseload data'!L:L,'caseload data'!$D:$D,"PO",'caseload data'!$C:$C,'custody caseload'!$B$43,'caseload data'!$B:$B,"custody")</f>
        <v>0</v>
      </c>
      <c r="K45" s="98">
        <f>SUMIFS('caseload data'!M:M,'caseload data'!$D:$D,"PO",'caseload data'!$C:$C,'custody caseload'!$B$43,'caseload data'!$B:$B,"custody")</f>
        <v>0</v>
      </c>
      <c r="L45" s="98">
        <f>SUMIFS('caseload data'!N:N,'caseload data'!$D:$D,"PO",'caseload data'!$C:$C,'custody caseload'!$B$43,'caseload data'!$B:$B,"custody")</f>
        <v>0</v>
      </c>
      <c r="M45" s="98">
        <f>SUMIFS('caseload data'!O:O,'caseload data'!$D:$D,"PO",'caseload data'!$C:$C,'custody caseload'!$B$43,'caseload data'!$B:$B,"custody")</f>
        <v>0</v>
      </c>
      <c r="N45" s="98">
        <f>SUMIFS('caseload data'!P:P,'caseload data'!$D:$D,"PO",'caseload data'!$C:$C,'custody caseload'!$B$43,'caseload data'!$B:$B,"custody")</f>
        <v>0</v>
      </c>
      <c r="O45" s="98">
        <f>SUMIFS('caseload data'!Q:Q,'caseload data'!$D:$D,"PO",'caseload data'!$C:$C,'custody caseload'!$B$43,'caseload data'!$B:$B,"custody")</f>
        <v>0</v>
      </c>
      <c r="P45" s="98">
        <f>SUMIFS('caseload data'!R:R,'caseload data'!$D:$D,"PO",'caseload data'!$C:$C,'custody caseload'!$B$43,'caseload data'!$B:$B,"custody")</f>
        <v>0</v>
      </c>
      <c r="Q45" s="98">
        <f>SUMIFS('caseload data'!S:S,'caseload data'!$D:$D,"PO",'caseload data'!$C:$C,'custody caseload'!$B$43,'caseload data'!$B:$B,"custody")</f>
        <v>0</v>
      </c>
      <c r="R45" s="98">
        <f>SUMIFS('caseload data'!T:T,'caseload data'!$D:$D,"PO",'caseload data'!$C:$C,'custody caseload'!$B$43,'caseload data'!$B:$B,"custody")</f>
        <v>0</v>
      </c>
      <c r="S45" s="68"/>
      <c r="T45" s="100" t="s">
        <v>1166</v>
      </c>
      <c r="U45" s="98">
        <f>SUMIFS('caseload data'!E:E,'caseload data'!$D:$D,"PO",'caseload data'!$C:$C,'custody caseload'!$T$43,'caseload data'!$B:$B,"custody")</f>
        <v>0</v>
      </c>
      <c r="V45" s="98">
        <f>SUMIFS('caseload data'!F:F,'caseload data'!$D:$D,"PO",'caseload data'!$C:$C,'custody caseload'!$T$43,'caseload data'!$B:$B,"custody")</f>
        <v>0</v>
      </c>
      <c r="W45" s="98">
        <f>SUMIFS('caseload data'!G:G,'caseload data'!$D:$D,"PO",'caseload data'!$C:$C,'custody caseload'!$T$43,'caseload data'!$B:$B,"custody")</f>
        <v>0</v>
      </c>
      <c r="X45" s="98">
        <f>SUMIFS('caseload data'!H:H,'caseload data'!$D:$D,"PO",'caseload data'!$C:$C,'custody caseload'!$T$43,'caseload data'!$B:$B,"custody")</f>
        <v>0</v>
      </c>
      <c r="Y45" s="98">
        <f>SUMIFS('caseload data'!I:I,'caseload data'!$D:$D,"PO",'caseload data'!$C:$C,'custody caseload'!$T$43,'caseload data'!$B:$B,"custody")</f>
        <v>0</v>
      </c>
      <c r="Z45" s="98">
        <f>SUMIFS('caseload data'!J:J,'caseload data'!$D:$D,"PO",'caseload data'!$C:$C,'custody caseload'!$T$43,'caseload data'!$B:$B,"custody")</f>
        <v>0</v>
      </c>
      <c r="AA45" s="98">
        <f>SUMIFS('caseload data'!K:K,'caseload data'!$D:$D,"PO",'caseload data'!$C:$C,'custody caseload'!$T$43,'caseload data'!$B:$B,"custody")</f>
        <v>0</v>
      </c>
      <c r="AB45" s="98">
        <f>SUMIFS('caseload data'!L:L,'caseload data'!$D:$D,"PO",'caseload data'!$C:$C,'custody caseload'!$T$43,'caseload data'!$B:$B,"custody")</f>
        <v>0</v>
      </c>
      <c r="AC45" s="98">
        <f>SUMIFS('caseload data'!M:M,'caseload data'!$D:$D,"PO",'caseload data'!$C:$C,'custody caseload'!$T$43,'caseload data'!$B:$B,"custody")</f>
        <v>0</v>
      </c>
      <c r="AD45" s="98">
        <f>SUMIFS('caseload data'!N:N,'caseload data'!$D:$D,"PO",'caseload data'!$C:$C,'custody caseload'!$T$43,'caseload data'!$B:$B,"custody")</f>
        <v>0</v>
      </c>
      <c r="AE45" s="98">
        <f>SUMIFS('caseload data'!O:O,'caseload data'!$D:$D,"PO",'caseload data'!$C:$C,'custody caseload'!$T$43,'caseload data'!$B:$B,"custody")</f>
        <v>0</v>
      </c>
      <c r="AF45" s="98">
        <f>SUMIFS('caseload data'!P:P,'caseload data'!$D:$D,"PO",'caseload data'!$C:$C,'custody caseload'!$T$43,'caseload data'!$B:$B,"custody")</f>
        <v>0</v>
      </c>
      <c r="AG45" s="98">
        <f>SUMIFS('caseload data'!Q:Q,'caseload data'!$D:$D,"PO",'caseload data'!$C:$C,'custody caseload'!$T$43,'caseload data'!$B:$B,"custody")</f>
        <v>0</v>
      </c>
      <c r="AH45" s="98">
        <f>SUMIFS('caseload data'!R:R,'caseload data'!$D:$D,"PO",'caseload data'!$C:$C,'custody caseload'!$T$43,'caseload data'!$B:$B,"custody")</f>
        <v>0</v>
      </c>
      <c r="AI45" s="98">
        <f>SUMIFS('caseload data'!S:S,'caseload data'!$D:$D,"PO",'caseload data'!$C:$C,'custody caseload'!$T$43,'caseload data'!$B:$B,"custody")</f>
        <v>0</v>
      </c>
      <c r="AJ45" s="98">
        <f>SUMIFS('caseload data'!T:T,'caseload data'!$D:$D,"PO",'caseload data'!$C:$C,'custody caseload'!$T$43,'caseload data'!$B:$B,"custody")</f>
        <v>0</v>
      </c>
    </row>
    <row r="46" spans="2:36" ht="15" x14ac:dyDescent="0.2">
      <c r="B46" s="101" t="s">
        <v>1172</v>
      </c>
      <c r="C46" s="153">
        <f>SUMIFS('caseload data'!E:E,'caseload data'!$D:$D,"PSO",'caseload data'!$C:$C,'custody caseload'!$B$43,'caseload data'!$B:$B,"custody")</f>
        <v>0</v>
      </c>
      <c r="D46" s="153">
        <f>SUMIFS('caseload data'!F:F,'caseload data'!$D:$D,"PSO",'caseload data'!$C:$C,'custody caseload'!$B$43,'caseload data'!$B:$B,"custody")</f>
        <v>0</v>
      </c>
      <c r="E46" s="153">
        <f>SUMIFS('caseload data'!G:G,'caseload data'!$D:$D,"PSO",'caseload data'!$C:$C,'custody caseload'!$B$43,'caseload data'!$B:$B,"custody")</f>
        <v>0</v>
      </c>
      <c r="F46" s="153">
        <f>SUMIFS('caseload data'!H:H,'caseload data'!$D:$D,"PSO",'caseload data'!$C:$C,'custody caseload'!$B$43,'caseload data'!$B:$B,"custody")</f>
        <v>0</v>
      </c>
      <c r="G46" s="153">
        <f>SUMIFS('caseload data'!I:I,'caseload data'!$D:$D,"PSO",'caseload data'!$C:$C,'custody caseload'!$B$43,'caseload data'!$B:$B,"custody")</f>
        <v>0</v>
      </c>
      <c r="H46" s="153">
        <f>SUMIFS('caseload data'!J:J,'caseload data'!$D:$D,"PSO",'caseload data'!$C:$C,'custody caseload'!$B$43,'caseload data'!$B:$B,"custody")</f>
        <v>0</v>
      </c>
      <c r="I46" s="153">
        <f>SUMIFS('caseload data'!K:K,'caseload data'!$D:$D,"PSO",'caseload data'!$C:$C,'custody caseload'!$B$43,'caseload data'!$B:$B,"custody")</f>
        <v>0</v>
      </c>
      <c r="J46" s="153">
        <f>SUMIFS('caseload data'!L:L,'caseload data'!$D:$D,"PSO",'caseload data'!$C:$C,'custody caseload'!$B$43,'caseload data'!$B:$B,"custody")</f>
        <v>0</v>
      </c>
      <c r="K46" s="98">
        <f>SUMIFS('caseload data'!M:M,'caseload data'!$D:$D,"PSO",'caseload data'!$C:$C,'custody caseload'!$B$43,'caseload data'!$B:$B,"custody")</f>
        <v>0</v>
      </c>
      <c r="L46" s="98">
        <f>SUMIFS('caseload data'!N:N,'caseload data'!$D:$D,"PSO",'caseload data'!$C:$C,'custody caseload'!$B$43,'caseload data'!$B:$B,"custody")</f>
        <v>0</v>
      </c>
      <c r="M46" s="98">
        <f>SUMIFS('caseload data'!O:O,'caseload data'!$D:$D,"PSO",'caseload data'!$C:$C,'custody caseload'!$B$43,'caseload data'!$B:$B,"custody")</f>
        <v>0</v>
      </c>
      <c r="N46" s="98">
        <f>SUMIFS('caseload data'!P:P,'caseload data'!$D:$D,"PSO",'caseload data'!$C:$C,'custody caseload'!$B$43,'caseload data'!$B:$B,"custody")</f>
        <v>0</v>
      </c>
      <c r="O46" s="98">
        <f>SUMIFS('caseload data'!Q:Q,'caseload data'!$D:$D,"PSO",'caseload data'!$C:$C,'custody caseload'!$B$43,'caseload data'!$B:$B,"custody")</f>
        <v>0</v>
      </c>
      <c r="P46" s="98">
        <f>SUMIFS('caseload data'!R:R,'caseload data'!$D:$D,"PSO",'caseload data'!$C:$C,'custody caseload'!$B$43,'caseload data'!$B:$B,"custody")</f>
        <v>0</v>
      </c>
      <c r="Q46" s="98">
        <f>SUMIFS('caseload data'!S:S,'caseload data'!$D:$D,"PSO",'caseload data'!$C:$C,'custody caseload'!$B$43,'caseload data'!$B:$B,"custody")</f>
        <v>0</v>
      </c>
      <c r="R46" s="98">
        <f>SUMIFS('caseload data'!T:T,'caseload data'!$D:$D,"PSO",'caseload data'!$C:$C,'custody caseload'!$B$43,'caseload data'!$B:$B,"custody")</f>
        <v>0</v>
      </c>
      <c r="S46" s="68"/>
      <c r="T46" s="101" t="s">
        <v>1172</v>
      </c>
      <c r="U46" s="153">
        <f>SUMIFS('caseload data'!E:E,'caseload data'!$D:$D,"PSO",'caseload data'!$C:$C,'custody caseload'!$T$43,'caseload data'!$B:$B,"custody")</f>
        <v>0</v>
      </c>
      <c r="V46" s="153">
        <f>SUMIFS('caseload data'!F:F,'caseload data'!$D:$D,"PSO",'caseload data'!$C:$C,'custody caseload'!$T$43,'caseload data'!$B:$B,"custody")</f>
        <v>0</v>
      </c>
      <c r="W46" s="153">
        <f>SUMIFS('caseload data'!G:G,'caseload data'!$D:$D,"PSO",'caseload data'!$C:$C,'custody caseload'!$T$43,'caseload data'!$B:$B,"custody")</f>
        <v>0</v>
      </c>
      <c r="X46" s="153">
        <f>SUMIFS('caseload data'!H:H,'caseload data'!$D:$D,"PSO",'caseload data'!$C:$C,'custody caseload'!$T$43,'caseload data'!$B:$B,"custody")</f>
        <v>0</v>
      </c>
      <c r="Y46" s="153">
        <f>SUMIFS('caseload data'!I:I,'caseload data'!$D:$D,"PSO",'caseload data'!$C:$C,'custody caseload'!$T$43,'caseload data'!$B:$B,"custody")</f>
        <v>0</v>
      </c>
      <c r="Z46" s="153">
        <f>SUMIFS('caseload data'!J:J,'caseload data'!$D:$D,"PSO",'caseload data'!$C:$C,'custody caseload'!$T$43,'caseload data'!$B:$B,"custody")</f>
        <v>0</v>
      </c>
      <c r="AA46" s="153">
        <f>SUMIFS('caseload data'!K:K,'caseload data'!$D:$D,"PSO",'caseload data'!$C:$C,'custody caseload'!$T$43,'caseload data'!$B:$B,"custody")</f>
        <v>0</v>
      </c>
      <c r="AB46" s="153">
        <f>SUMIFS('caseload data'!L:L,'caseload data'!$D:$D,"PSO",'caseload data'!$C:$C,'custody caseload'!$T$43,'caseload data'!$B:$B,"custody")</f>
        <v>0</v>
      </c>
      <c r="AC46" s="98">
        <f>SUMIFS('caseload data'!M:M,'caseload data'!$D:$D,"PSO",'caseload data'!$C:$C,'custody caseload'!$T$43,'caseload data'!$B:$B,"custody")</f>
        <v>0</v>
      </c>
      <c r="AD46" s="98">
        <f>SUMIFS('caseload data'!N:N,'caseload data'!$D:$D,"PSO",'caseload data'!$C:$C,'custody caseload'!$T$43,'caseload data'!$B:$B,"custody")</f>
        <v>0</v>
      </c>
      <c r="AE46" s="98">
        <f>SUMIFS('caseload data'!O:O,'caseload data'!$D:$D,"PSO",'caseload data'!$C:$C,'custody caseload'!$T$43,'caseload data'!$B:$B,"custody")</f>
        <v>0</v>
      </c>
      <c r="AF46" s="98">
        <f>SUMIFS('caseload data'!P:P,'caseload data'!$D:$D,"PSO",'caseload data'!$C:$C,'custody caseload'!$T$43,'caseload data'!$B:$B,"custody")</f>
        <v>0</v>
      </c>
      <c r="AG46" s="98">
        <f>SUMIFS('caseload data'!Q:Q,'caseload data'!$D:$D,"PSO",'caseload data'!$C:$C,'custody caseload'!$T$43,'caseload data'!$B:$B,"custody")</f>
        <v>0</v>
      </c>
      <c r="AH46" s="98">
        <f>SUMIFS('caseload data'!R:R,'caseload data'!$D:$D,"PSO",'caseload data'!$C:$C,'custody caseload'!$T$43,'caseload data'!$B:$B,"custody")</f>
        <v>0</v>
      </c>
      <c r="AI46" s="98">
        <f>SUMIFS('caseload data'!S:S,'caseload data'!$D:$D,"PSO",'caseload data'!$C:$C,'custody caseload'!$T$43,'caseload data'!$B:$B,"custody")</f>
        <v>0</v>
      </c>
      <c r="AJ46" s="98">
        <f>SUMIFS('caseload data'!T:T,'caseload data'!$D:$D,"PSO",'caseload data'!$C:$C,'custody caseload'!$T$43,'caseload data'!$B:$B,"custody")</f>
        <v>0</v>
      </c>
    </row>
    <row r="47" spans="2:36" ht="15" x14ac:dyDescent="0.2">
      <c r="B47" s="101" t="s">
        <v>1173</v>
      </c>
      <c r="C47" s="153">
        <f>SUMIFS('caseload data'!E:E,'caseload data'!$D:$D,"TPO",'caseload data'!$C:$C,'custody caseload'!$B$43,'caseload data'!$B:$B,"custody")</f>
        <v>0</v>
      </c>
      <c r="D47" s="153">
        <f>SUMIFS('caseload data'!F:F,'caseload data'!$D:$D,"TPO",'caseload data'!$C:$C,'custody caseload'!$B$43,'caseload data'!$B:$B,"custody")</f>
        <v>0</v>
      </c>
      <c r="E47" s="153">
        <f>SUMIFS('caseload data'!G:G,'caseload data'!$D:$D,"TPO",'caseload data'!$C:$C,'custody caseload'!$B$43,'caseload data'!$B:$B,"custody")</f>
        <v>0</v>
      </c>
      <c r="F47" s="153">
        <f>SUMIFS('caseload data'!H:H,'caseload data'!$D:$D,"TPO",'caseload data'!$C:$C,'custody caseload'!$B$43,'caseload data'!$B:$B,"custody")</f>
        <v>0</v>
      </c>
      <c r="G47" s="153">
        <f>SUMIFS('caseload data'!I:I,'caseload data'!$D:$D,"TPO",'caseload data'!$C:$C,'custody caseload'!$B$43,'caseload data'!$B:$B,"custody")</f>
        <v>0</v>
      </c>
      <c r="H47" s="153">
        <f>SUMIFS('caseload data'!J:J,'caseload data'!$D:$D,"TPO",'caseload data'!$C:$C,'custody caseload'!$B$43,'caseload data'!$B:$B,"custody")</f>
        <v>0</v>
      </c>
      <c r="I47" s="153">
        <f>SUMIFS('caseload data'!K:K,'caseload data'!$D:$D,"TPO",'caseload data'!$C:$C,'custody caseload'!$B$43,'caseload data'!$B:$B,"custody")</f>
        <v>0</v>
      </c>
      <c r="J47" s="153">
        <f>SUMIFS('caseload data'!L:L,'caseload data'!$D:$D,"TPO",'caseload data'!$C:$C,'custody caseload'!$B$43,'caseload data'!$B:$B,"custody")</f>
        <v>0</v>
      </c>
      <c r="K47" s="98">
        <f>SUMIFS('caseload data'!M:M,'caseload data'!$D:$D,"TPO",'caseload data'!$C:$C,'custody caseload'!$B$43,'caseload data'!$B:$B,"custody")</f>
        <v>0</v>
      </c>
      <c r="L47" s="98">
        <f>SUMIFS('caseload data'!N:N,'caseload data'!$D:$D,"TPO",'caseload data'!$C:$C,'custody caseload'!$B$43,'caseload data'!$B:$B,"custody")</f>
        <v>0</v>
      </c>
      <c r="M47" s="98">
        <f>SUMIFS('caseload data'!O:O,'caseload data'!$D:$D,"TPO",'caseload data'!$C:$C,'custody caseload'!$B$43,'caseload data'!$B:$B,"custody")</f>
        <v>0</v>
      </c>
      <c r="N47" s="98">
        <f>SUMIFS('caseload data'!P:P,'caseload data'!$D:$D,"TPO",'caseload data'!$C:$C,'custody caseload'!$B$43,'caseload data'!$B:$B,"custody")</f>
        <v>0</v>
      </c>
      <c r="O47" s="98">
        <f>SUMIFS('caseload data'!Q:Q,'caseload data'!$D:$D,"TPO",'caseload data'!$C:$C,'custody caseload'!$B$43,'caseload data'!$B:$B,"custody")</f>
        <v>0</v>
      </c>
      <c r="P47" s="98">
        <f>SUMIFS('caseload data'!R:R,'caseload data'!$D:$D,"TPO",'caseload data'!$C:$C,'custody caseload'!$B$43,'caseload data'!$B:$B,"custody")</f>
        <v>0</v>
      </c>
      <c r="Q47" s="98">
        <f>SUMIFS('caseload data'!S:S,'caseload data'!$D:$D,"TPO",'caseload data'!$C:$C,'custody caseload'!$B$43,'caseload data'!$B:$B,"custody")</f>
        <v>0</v>
      </c>
      <c r="R47" s="98">
        <f>SUMIFS('caseload data'!T:T,'caseload data'!$D:$D,"TPO",'caseload data'!$C:$C,'custody caseload'!$B$43,'caseload data'!$B:$B,"custody")</f>
        <v>0</v>
      </c>
      <c r="S47" s="68"/>
      <c r="T47" s="101" t="s">
        <v>1173</v>
      </c>
      <c r="U47" s="153">
        <f>SUMIFS('caseload data'!E:E,'caseload data'!$D:$D,"TPO",'caseload data'!$C:$C,'custody caseload'!$T$43,'caseload data'!$B:$B,"custody")</f>
        <v>0</v>
      </c>
      <c r="V47" s="153">
        <f>SUMIFS('caseload data'!F:F,'caseload data'!$D:$D,"TPO",'caseload data'!$C:$C,'custody caseload'!$T$43,'caseload data'!$B:$B,"custody")</f>
        <v>0</v>
      </c>
      <c r="W47" s="153">
        <f>SUMIFS('caseload data'!G:G,'caseload data'!$D:$D,"TPO",'caseload data'!$C:$C,'custody caseload'!$T$43,'caseload data'!$B:$B,"custody")</f>
        <v>0</v>
      </c>
      <c r="X47" s="153">
        <f>SUMIFS('caseload data'!H:H,'caseload data'!$D:$D,"TPO",'caseload data'!$C:$C,'custody caseload'!$T$43,'caseload data'!$B:$B,"custody")</f>
        <v>0</v>
      </c>
      <c r="Y47" s="153">
        <f>SUMIFS('caseload data'!I:I,'caseload data'!$D:$D,"TPO",'caseload data'!$C:$C,'custody caseload'!$T$43,'caseload data'!$B:$B,"custody")</f>
        <v>0</v>
      </c>
      <c r="Z47" s="153">
        <f>SUMIFS('caseload data'!J:J,'caseload data'!$D:$D,"TPO",'caseload data'!$C:$C,'custody caseload'!$T$43,'caseload data'!$B:$B,"custody")</f>
        <v>0</v>
      </c>
      <c r="AA47" s="153">
        <f>SUMIFS('caseload data'!K:K,'caseload data'!$D:$D,"TPO",'caseload data'!$C:$C,'custody caseload'!$T$43,'caseload data'!$B:$B,"custody")</f>
        <v>0</v>
      </c>
      <c r="AB47" s="153">
        <f>SUMIFS('caseload data'!L:L,'caseload data'!$D:$D,"TPO",'caseload data'!$C:$C,'custody caseload'!$T$43,'caseload data'!$B:$B,"custody")</f>
        <v>0</v>
      </c>
      <c r="AC47" s="98">
        <f>SUMIFS('caseload data'!M:M,'caseload data'!$D:$D,"TPO",'caseload data'!$C:$C,'custody caseload'!$T$43,'caseload data'!$B:$B,"custody")</f>
        <v>0</v>
      </c>
      <c r="AD47" s="98">
        <f>SUMIFS('caseload data'!N:N,'caseload data'!$D:$D,"TPO",'caseload data'!$C:$C,'custody caseload'!$T$43,'caseload data'!$B:$B,"custody")</f>
        <v>0</v>
      </c>
      <c r="AE47" s="98">
        <f>SUMIFS('caseload data'!O:O,'caseload data'!$D:$D,"TPO",'caseload data'!$C:$C,'custody caseload'!$T$43,'caseload data'!$B:$B,"custody")</f>
        <v>0</v>
      </c>
      <c r="AF47" s="98">
        <f>SUMIFS('caseload data'!P:P,'caseload data'!$D:$D,"TPO",'caseload data'!$C:$C,'custody caseload'!$T$43,'caseload data'!$B:$B,"custody")</f>
        <v>0</v>
      </c>
      <c r="AG47" s="98">
        <f>SUMIFS('caseload data'!Q:Q,'caseload data'!$D:$D,"TPO",'caseload data'!$C:$C,'custody caseload'!$T$43,'caseload data'!$B:$B,"custody")</f>
        <v>0</v>
      </c>
      <c r="AH47" s="98">
        <f>SUMIFS('caseload data'!R:R,'caseload data'!$D:$D,"TPO",'caseload data'!$C:$C,'custody caseload'!$T$43,'caseload data'!$B:$B,"custody")</f>
        <v>0</v>
      </c>
      <c r="AI47" s="98">
        <f>SUMIFS('caseload data'!S:S,'caseload data'!$D:$D,"TPO",'caseload data'!$C:$C,'custody caseload'!$T$43,'caseload data'!$B:$B,"custody")</f>
        <v>0</v>
      </c>
      <c r="AJ47" s="98">
        <f>SUMIFS('caseload data'!T:T,'caseload data'!$D:$D,"TPO",'caseload data'!$C:$C,'custody caseload'!$T$43,'caseload data'!$B:$B,"custody")</f>
        <v>0</v>
      </c>
    </row>
    <row r="48" spans="2:36" x14ac:dyDescent="0.15">
      <c r="B48" s="102" t="s">
        <v>1174</v>
      </c>
      <c r="C48" s="98">
        <f>SUMIFS('caseload data'!E:E,'caseload data'!$D:$D,"SPO",'caseload data'!$C:$C,'custody caseload'!$B$43,'caseload data'!$B:$B,"custody")</f>
        <v>0</v>
      </c>
      <c r="D48" s="98">
        <f>SUMIFS('caseload data'!F:F,'caseload data'!$D:$D,"SPO",'caseload data'!$C:$C,'custody caseload'!$B$43,'caseload data'!$B:$B,"custody")</f>
        <v>0</v>
      </c>
      <c r="E48" s="98">
        <f>SUMIFS('caseload data'!G:G,'caseload data'!$D:$D,"SPO",'caseload data'!$C:$C,'custody caseload'!$B$43,'caseload data'!$B:$B,"custody")</f>
        <v>0</v>
      </c>
      <c r="F48" s="98">
        <f>SUMIFS('caseload data'!H:H,'caseload data'!$D:$D,"SPO",'caseload data'!$C:$C,'custody caseload'!$B$43,'caseload data'!$B:$B,"custody")</f>
        <v>0</v>
      </c>
      <c r="G48" s="98">
        <f>SUMIFS('caseload data'!I:I,'caseload data'!$D:$D,"SPO",'caseload data'!$C:$C,'custody caseload'!$B$43,'caseload data'!$B:$B,"custody")</f>
        <v>0</v>
      </c>
      <c r="H48" s="98">
        <f>SUMIFS('caseload data'!J:J,'caseload data'!$D:$D,"SPO",'caseload data'!$C:$C,'custody caseload'!$B$43,'caseload data'!$B:$B,"custody")</f>
        <v>0</v>
      </c>
      <c r="I48" s="98">
        <f>SUMIFS('caseload data'!K:K,'caseload data'!$D:$D,"SPO",'caseload data'!$C:$C,'custody caseload'!$B$43,'caseload data'!$B:$B,"custody")</f>
        <v>0</v>
      </c>
      <c r="J48" s="98">
        <f>SUMIFS('caseload data'!L:L,'caseload data'!$D:$D,"SPO",'caseload data'!$C:$C,'custody caseload'!$B$43,'caseload data'!$B:$B,"custody")</f>
        <v>0</v>
      </c>
      <c r="K48" s="98">
        <f>SUMIFS('caseload data'!M:M,'caseload data'!$D:$D,"SPO",'caseload data'!$C:$C,'custody caseload'!$B$43,'caseload data'!$B:$B,"custody")</f>
        <v>0</v>
      </c>
      <c r="L48" s="98">
        <f>SUMIFS('caseload data'!N:N,'caseload data'!$D:$D,"SPO",'caseload data'!$C:$C,'custody caseload'!$B$43,'caseload data'!$B:$B,"custody")</f>
        <v>0</v>
      </c>
      <c r="M48" s="98">
        <f>SUMIFS('caseload data'!O:O,'caseload data'!$D:$D,"SPO",'caseload data'!$C:$C,'custody caseload'!$B$43,'caseload data'!$B:$B,"custody")</f>
        <v>0</v>
      </c>
      <c r="N48" s="98">
        <f>SUMIFS('caseload data'!P:P,'caseload data'!$D:$D,"SPO",'caseload data'!$C:$C,'custody caseload'!$B$43,'caseload data'!$B:$B,"custody")</f>
        <v>0</v>
      </c>
      <c r="O48" s="98">
        <f>SUMIFS('caseload data'!Q:Q,'caseload data'!$D:$D,"SPO",'caseload data'!$C:$C,'custody caseload'!$B$43,'caseload data'!$B:$B,"custody")</f>
        <v>0</v>
      </c>
      <c r="P48" s="98">
        <f>SUMIFS('caseload data'!R:R,'caseload data'!$D:$D,"SPO",'caseload data'!$C:$C,'custody caseload'!$B$43,'caseload data'!$B:$B,"custody")</f>
        <v>0</v>
      </c>
      <c r="Q48" s="98">
        <f>SUMIFS('caseload data'!S:S,'caseload data'!$D:$D,"SPO",'caseload data'!$C:$C,'custody caseload'!$B$43,'caseload data'!$B:$B,"custody")</f>
        <v>0</v>
      </c>
      <c r="R48" s="98">
        <f>SUMIFS('caseload data'!T:T,'caseload data'!$D:$D,"SPO",'caseload data'!$C:$C,'custody caseload'!$B$43,'caseload data'!$B:$B,"custody")</f>
        <v>0</v>
      </c>
      <c r="S48" s="68"/>
      <c r="T48" s="102" t="s">
        <v>1174</v>
      </c>
      <c r="U48" s="98">
        <f>SUMIFS('caseload data'!E:E,'caseload data'!$D:$D,"SPO",'caseload data'!$C:$C,'custody caseload'!$T$43,'caseload data'!$B:$B,"custody")</f>
        <v>0</v>
      </c>
      <c r="V48" s="98">
        <f>SUMIFS('caseload data'!F:F,'caseload data'!$D:$D,"SPO",'caseload data'!$C:$C,'custody caseload'!$T$43,'caseload data'!$B:$B,"custody")</f>
        <v>0</v>
      </c>
      <c r="W48" s="98">
        <f>SUMIFS('caseload data'!G:G,'caseload data'!$D:$D,"SPO",'caseload data'!$C:$C,'custody caseload'!$T$43,'caseload data'!$B:$B,"custody")</f>
        <v>0</v>
      </c>
      <c r="X48" s="98">
        <f>SUMIFS('caseload data'!H:H,'caseload data'!$D:$D,"SPO",'caseload data'!$C:$C,'custody caseload'!$T$43,'caseload data'!$B:$B,"custody")</f>
        <v>0</v>
      </c>
      <c r="Y48" s="98">
        <f>SUMIFS('caseload data'!I:I,'caseload data'!$D:$D,"SPO",'caseload data'!$C:$C,'custody caseload'!$T$43,'caseload data'!$B:$B,"custody")</f>
        <v>0</v>
      </c>
      <c r="Z48" s="98">
        <f>SUMIFS('caseload data'!J:J,'caseload data'!$D:$D,"SPO",'caseload data'!$C:$C,'custody caseload'!$T$43,'caseload data'!$B:$B,"custody")</f>
        <v>0</v>
      </c>
      <c r="AA48" s="98">
        <f>SUMIFS('caseload data'!K:K,'caseload data'!$D:$D,"SPO",'caseload data'!$C:$C,'custody caseload'!$T$43,'caseload data'!$B:$B,"custody")</f>
        <v>0</v>
      </c>
      <c r="AB48" s="98">
        <f>SUMIFS('caseload data'!L:L,'caseload data'!$D:$D,"SPO",'caseload data'!$C:$C,'custody caseload'!$T$43,'caseload data'!$B:$B,"custody")</f>
        <v>0</v>
      </c>
      <c r="AC48" s="98">
        <f>SUMIFS('caseload data'!M:M,'caseload data'!$D:$D,"SPO",'caseload data'!$C:$C,'custody caseload'!$T$43,'caseload data'!$B:$B,"custody")</f>
        <v>0</v>
      </c>
      <c r="AD48" s="98">
        <f>SUMIFS('caseload data'!N:N,'caseload data'!$D:$D,"SPO",'caseload data'!$C:$C,'custody caseload'!$T$43,'caseload data'!$B:$B,"custody")</f>
        <v>0</v>
      </c>
      <c r="AE48" s="98">
        <f>SUMIFS('caseload data'!O:O,'caseload data'!$D:$D,"SPO",'caseload data'!$C:$C,'custody caseload'!$T$43,'caseload data'!$B:$B,"custody")</f>
        <v>0</v>
      </c>
      <c r="AF48" s="98">
        <f>SUMIFS('caseload data'!P:P,'caseload data'!$D:$D,"SPO",'caseload data'!$C:$C,'custody caseload'!$T$43,'caseload data'!$B:$B,"custody")</f>
        <v>0</v>
      </c>
      <c r="AG48" s="98">
        <f>SUMIFS('caseload data'!Q:Q,'caseload data'!$D:$D,"SPO",'caseload data'!$C:$C,'custody caseload'!$T$43,'caseload data'!$B:$B,"custody")</f>
        <v>0</v>
      </c>
      <c r="AH48" s="98">
        <f>SUMIFS('caseload data'!R:R,'caseload data'!$D:$D,"SPO",'caseload data'!$C:$C,'custody caseload'!$T$43,'caseload data'!$B:$B,"custody")</f>
        <v>0</v>
      </c>
      <c r="AI48" s="98">
        <f>SUMIFS('caseload data'!S:S,'caseload data'!$D:$D,"SPO",'caseload data'!$C:$C,'custody caseload'!$T$43,'caseload data'!$B:$B,"custody")</f>
        <v>0</v>
      </c>
      <c r="AJ48" s="98">
        <f>SUMIFS('caseload data'!T:T,'caseload data'!$D:$D,"SPO",'caseload data'!$C:$C,'custody caseload'!$T$43,'caseload data'!$B:$B,"custody")</f>
        <v>0</v>
      </c>
    </row>
    <row r="49" spans="2:36" x14ac:dyDescent="0.15">
      <c r="B49" s="95"/>
      <c r="C49" s="68"/>
      <c r="D49" s="68"/>
      <c r="E49" s="68"/>
      <c r="F49" s="68"/>
      <c r="G49" s="68"/>
      <c r="H49" s="68"/>
      <c r="I49" s="68"/>
      <c r="J49" s="68"/>
      <c r="K49" s="68"/>
      <c r="L49" s="68"/>
      <c r="M49" s="68"/>
      <c r="N49" s="68"/>
      <c r="O49" s="68"/>
      <c r="P49" s="68"/>
      <c r="Q49" s="68"/>
      <c r="R49" s="68"/>
      <c r="S49" s="68"/>
      <c r="T49" s="95"/>
      <c r="U49" s="68"/>
      <c r="V49" s="68"/>
      <c r="W49" s="68"/>
      <c r="X49" s="68"/>
      <c r="Y49" s="68"/>
      <c r="Z49" s="68"/>
      <c r="AA49" s="68"/>
      <c r="AB49" s="68"/>
      <c r="AC49" s="68"/>
      <c r="AD49" s="68"/>
      <c r="AE49" s="68"/>
      <c r="AF49" s="68"/>
      <c r="AG49" s="68"/>
      <c r="AH49" s="68"/>
      <c r="AI49" s="68"/>
      <c r="AJ49" s="68"/>
    </row>
    <row r="50" spans="2:36" ht="30" customHeight="1" x14ac:dyDescent="0.15">
      <c r="B50" s="150" t="str">
        <f>HLOOKUP($B$5,Region_Table,14,0)</f>
        <v>Inactive Level 2(N07)</v>
      </c>
      <c r="C50" s="475" t="s">
        <v>1305</v>
      </c>
      <c r="D50" s="476"/>
      <c r="E50" s="476"/>
      <c r="F50" s="476"/>
      <c r="G50" s="476"/>
      <c r="H50" s="476"/>
      <c r="I50" s="476"/>
      <c r="J50" s="476"/>
      <c r="K50" s="476"/>
      <c r="L50" s="476"/>
      <c r="M50" s="485"/>
      <c r="N50" s="485"/>
      <c r="O50" s="486"/>
      <c r="P50" s="462">
        <f>SUMIFS('caseload data'!V:V,'caseload data'!B:B,"custody",'caseload data'!$C:$C,'custody caseload'!B50)</f>
        <v>0</v>
      </c>
      <c r="Q50" s="479"/>
      <c r="R50" s="480"/>
      <c r="S50" s="68"/>
      <c r="T50" s="150" t="str">
        <f>HLOOKUP($B$5,Region_Table,15,0)</f>
        <v>Kingston, Richmond and Hounslow</v>
      </c>
      <c r="U50" s="475" t="s">
        <v>1305</v>
      </c>
      <c r="V50" s="476"/>
      <c r="W50" s="476"/>
      <c r="X50" s="476"/>
      <c r="Y50" s="476"/>
      <c r="Z50" s="476"/>
      <c r="AA50" s="476"/>
      <c r="AB50" s="476"/>
      <c r="AC50" s="476"/>
      <c r="AD50" s="476"/>
      <c r="AE50" s="485"/>
      <c r="AF50" s="485"/>
      <c r="AG50" s="486"/>
      <c r="AH50" s="462">
        <f>SUMIFS('caseload data'!V:V,'caseload data'!B:B,"custody",'caseload data'!$C:$C,'custody caseload'!T50)</f>
        <v>0</v>
      </c>
      <c r="AI50" s="479"/>
      <c r="AJ50" s="480"/>
    </row>
    <row r="51" spans="2:36" x14ac:dyDescent="0.15">
      <c r="B51" s="99" t="s">
        <v>1171</v>
      </c>
      <c r="C51" s="40" t="s">
        <v>1022</v>
      </c>
      <c r="D51" s="40" t="s">
        <v>1023</v>
      </c>
      <c r="E51" s="40" t="s">
        <v>1024</v>
      </c>
      <c r="F51" s="40" t="s">
        <v>1025</v>
      </c>
      <c r="G51" s="40" t="s">
        <v>1026</v>
      </c>
      <c r="H51" s="40" t="s">
        <v>1027</v>
      </c>
      <c r="I51" s="40" t="s">
        <v>1028</v>
      </c>
      <c r="J51" s="40" t="s">
        <v>1029</v>
      </c>
      <c r="K51" s="40" t="s">
        <v>1030</v>
      </c>
      <c r="L51" s="40" t="s">
        <v>1031</v>
      </c>
      <c r="M51" s="40" t="s">
        <v>1032</v>
      </c>
      <c r="N51" s="40" t="s">
        <v>1033</v>
      </c>
      <c r="O51" s="40" t="s">
        <v>1034</v>
      </c>
      <c r="P51" s="40" t="s">
        <v>1035</v>
      </c>
      <c r="Q51" s="40" t="s">
        <v>1036</v>
      </c>
      <c r="R51" s="40" t="s">
        <v>1037</v>
      </c>
      <c r="S51" s="68"/>
      <c r="T51" s="99" t="s">
        <v>1171</v>
      </c>
      <c r="U51" s="40" t="s">
        <v>1022</v>
      </c>
      <c r="V51" s="40" t="s">
        <v>1023</v>
      </c>
      <c r="W51" s="40" t="s">
        <v>1024</v>
      </c>
      <c r="X51" s="40" t="s">
        <v>1025</v>
      </c>
      <c r="Y51" s="40" t="s">
        <v>1026</v>
      </c>
      <c r="Z51" s="40" t="s">
        <v>1027</v>
      </c>
      <c r="AA51" s="40" t="s">
        <v>1028</v>
      </c>
      <c r="AB51" s="40" t="s">
        <v>1029</v>
      </c>
      <c r="AC51" s="40" t="s">
        <v>1030</v>
      </c>
      <c r="AD51" s="40" t="s">
        <v>1031</v>
      </c>
      <c r="AE51" s="40" t="s">
        <v>1032</v>
      </c>
      <c r="AF51" s="40" t="s">
        <v>1033</v>
      </c>
      <c r="AG51" s="40" t="s">
        <v>1034</v>
      </c>
      <c r="AH51" s="40" t="s">
        <v>1035</v>
      </c>
      <c r="AI51" s="40" t="s">
        <v>1036</v>
      </c>
      <c r="AJ51" s="40" t="s">
        <v>1037</v>
      </c>
    </row>
    <row r="52" spans="2:36" x14ac:dyDescent="0.15">
      <c r="B52" s="100" t="s">
        <v>1166</v>
      </c>
      <c r="C52" s="98">
        <f>SUMIFS('caseload data'!E:E,'caseload data'!$D:$D,"PO",'caseload data'!$C:$C,'custody caseload'!$B$50,'caseload data'!$B:$B,"custody")</f>
        <v>0</v>
      </c>
      <c r="D52" s="98">
        <f>SUMIFS('caseload data'!F:F,'caseload data'!$D:$D,"PO",'caseload data'!$C:$C,'custody caseload'!$B$50,'caseload data'!$B:$B,"custody")</f>
        <v>0</v>
      </c>
      <c r="E52" s="98">
        <f>SUMIFS('caseload data'!G:G,'caseload data'!$D:$D,"PO",'caseload data'!$C:$C,'custody caseload'!$B$50,'caseload data'!$B:$B,"custody")</f>
        <v>0</v>
      </c>
      <c r="F52" s="98">
        <f>SUMIFS('caseload data'!H:H,'caseload data'!$D:$D,"PO",'caseload data'!$C:$C,'custody caseload'!$B$50,'caseload data'!$B:$B,"custody")</f>
        <v>0</v>
      </c>
      <c r="G52" s="98">
        <f>SUMIFS('caseload data'!I:I,'caseload data'!$D:$D,"PO",'caseload data'!$C:$C,'custody caseload'!$B$50,'caseload data'!$B:$B,"custody")</f>
        <v>0</v>
      </c>
      <c r="H52" s="98">
        <f>SUMIFS('caseload data'!J:J,'caseload data'!$D:$D,"PO",'caseload data'!$C:$C,'custody caseload'!$B$50,'caseload data'!$B:$B,"custody")</f>
        <v>0</v>
      </c>
      <c r="I52" s="98">
        <f>SUMIFS('caseload data'!K:K,'caseload data'!$D:$D,"PO",'caseload data'!$C:$C,'custody caseload'!$B$50,'caseload data'!$B:$B,"custody")</f>
        <v>0</v>
      </c>
      <c r="J52" s="98">
        <f>SUMIFS('caseload data'!L:L,'caseload data'!$D:$D,"PO",'caseload data'!$C:$C,'custody caseload'!$B$50,'caseload data'!$B:$B,"custody")</f>
        <v>0</v>
      </c>
      <c r="K52" s="98">
        <f>SUMIFS('caseload data'!M:M,'caseload data'!$D:$D,"PO",'caseload data'!$C:$C,'custody caseload'!$B$50,'caseload data'!$B:$B,"custody")</f>
        <v>0</v>
      </c>
      <c r="L52" s="98">
        <f>SUMIFS('caseload data'!N:N,'caseload data'!$D:$D,"PO",'caseload data'!$C:$C,'custody caseload'!$B$50,'caseload data'!$B:$B,"custody")</f>
        <v>0</v>
      </c>
      <c r="M52" s="98">
        <f>SUMIFS('caseload data'!O:O,'caseload data'!$D:$D,"PO",'caseload data'!$C:$C,'custody caseload'!$B$50,'caseload data'!$B:$B,"custody")</f>
        <v>0</v>
      </c>
      <c r="N52" s="98">
        <f>SUMIFS('caseload data'!P:P,'caseload data'!$D:$D,"PO",'caseload data'!$C:$C,'custody caseload'!$B$50,'caseload data'!$B:$B,"custody")</f>
        <v>0</v>
      </c>
      <c r="O52" s="98">
        <f>SUMIFS('caseload data'!Q:Q,'caseload data'!$D:$D,"PO",'caseload data'!$C:$C,'custody caseload'!$B$50,'caseload data'!$B:$B,"custody")</f>
        <v>0</v>
      </c>
      <c r="P52" s="98">
        <f>SUMIFS('caseload data'!R:R,'caseload data'!$D:$D,"PO",'caseload data'!$C:$C,'custody caseload'!$B$50,'caseload data'!$B:$B,"custody")</f>
        <v>0</v>
      </c>
      <c r="Q52" s="98">
        <f>SUMIFS('caseload data'!S:S,'caseload data'!$D:$D,"PO",'caseload data'!$C:$C,'custody caseload'!$B$50,'caseload data'!$B:$B,"custody")</f>
        <v>0</v>
      </c>
      <c r="R52" s="98">
        <f>SUMIFS('caseload data'!T:T,'caseload data'!$D:$D,"PO",'caseload data'!$C:$C,'custody caseload'!$B$50,'caseload data'!$B:$B,"custody")</f>
        <v>0</v>
      </c>
      <c r="S52" s="68"/>
      <c r="T52" s="100" t="s">
        <v>1166</v>
      </c>
      <c r="U52" s="98">
        <f>SUMIFS('caseload data'!E:E,'caseload data'!$D:$D,"PO",'caseload data'!$C:$C,'custody caseload'!$T$50,'caseload data'!$B:$B,"custody")</f>
        <v>0</v>
      </c>
      <c r="V52" s="98">
        <f>SUMIFS('caseload data'!F:F,'caseload data'!$D:$D,"PO",'caseload data'!$C:$C,'custody caseload'!$T$50,'caseload data'!$B:$B,"custody")</f>
        <v>0</v>
      </c>
      <c r="W52" s="98">
        <f>SUMIFS('caseload data'!G:G,'caseload data'!$D:$D,"PO",'caseload data'!$C:$C,'custody caseload'!$T$50,'caseload data'!$B:$B,"custody")</f>
        <v>0</v>
      </c>
      <c r="X52" s="98">
        <f>SUMIFS('caseload data'!H:H,'caseload data'!$D:$D,"PO",'caseload data'!$C:$C,'custody caseload'!$T$50,'caseload data'!$B:$B,"custody")</f>
        <v>0</v>
      </c>
      <c r="Y52" s="98">
        <f>SUMIFS('caseload data'!I:I,'caseload data'!$D:$D,"PO",'caseload data'!$C:$C,'custody caseload'!$T$50,'caseload data'!$B:$B,"custody")</f>
        <v>0</v>
      </c>
      <c r="Z52" s="98">
        <f>SUMIFS('caseload data'!J:J,'caseload data'!$D:$D,"PO",'caseload data'!$C:$C,'custody caseload'!$T$50,'caseload data'!$B:$B,"custody")</f>
        <v>0</v>
      </c>
      <c r="AA52" s="98">
        <f>SUMIFS('caseload data'!K:K,'caseload data'!$D:$D,"PO",'caseload data'!$C:$C,'custody caseload'!$T$50,'caseload data'!$B:$B,"custody")</f>
        <v>0</v>
      </c>
      <c r="AB52" s="98">
        <f>SUMIFS('caseload data'!L:L,'caseload data'!$D:$D,"PO",'caseload data'!$C:$C,'custody caseload'!$T$50,'caseload data'!$B:$B,"custody")</f>
        <v>0</v>
      </c>
      <c r="AC52" s="98">
        <f>SUMIFS('caseload data'!M:M,'caseload data'!$D:$D,"PO",'caseload data'!$C:$C,'custody caseload'!$T$50,'caseload data'!$B:$B,"custody")</f>
        <v>0</v>
      </c>
      <c r="AD52" s="98">
        <f>SUMIFS('caseload data'!N:N,'caseload data'!$D:$D,"PO",'caseload data'!$C:$C,'custody caseload'!$T$50,'caseload data'!$B:$B,"custody")</f>
        <v>0</v>
      </c>
      <c r="AE52" s="98">
        <f>SUMIFS('caseload data'!O:O,'caseload data'!$D:$D,"PO",'caseload data'!$C:$C,'custody caseload'!$T$50,'caseload data'!$B:$B,"custody")</f>
        <v>0</v>
      </c>
      <c r="AF52" s="98">
        <f>SUMIFS('caseload data'!P:P,'caseload data'!$D:$D,"PO",'caseload data'!$C:$C,'custody caseload'!$T$50,'caseload data'!$B:$B,"custody")</f>
        <v>0</v>
      </c>
      <c r="AG52" s="98">
        <f>SUMIFS('caseload data'!Q:Q,'caseload data'!$D:$D,"PO",'caseload data'!$C:$C,'custody caseload'!$T$50,'caseload data'!$B:$B,"custody")</f>
        <v>0</v>
      </c>
      <c r="AH52" s="98">
        <f>SUMIFS('caseload data'!R:R,'caseload data'!$D:$D,"PO",'caseload data'!$C:$C,'custody caseload'!$T$50,'caseload data'!$B:$B,"custody")</f>
        <v>0</v>
      </c>
      <c r="AI52" s="98">
        <f>SUMIFS('caseload data'!S:S,'caseload data'!$D:$D,"PO",'caseload data'!$C:$C,'custody caseload'!$T$50,'caseload data'!$B:$B,"custody")</f>
        <v>0</v>
      </c>
      <c r="AJ52" s="98">
        <f>SUMIFS('caseload data'!T:T,'caseload data'!$D:$D,"PO",'caseload data'!$C:$C,'custody caseload'!$T$50,'caseload data'!$B:$B,"custody")</f>
        <v>0</v>
      </c>
    </row>
    <row r="53" spans="2:36" ht="15" x14ac:dyDescent="0.2">
      <c r="B53" s="101" t="s">
        <v>1172</v>
      </c>
      <c r="C53" s="153">
        <f>SUMIFS('caseload data'!E:E,'caseload data'!$D:$D,"PSO",'caseload data'!$C:$C,'custody caseload'!$B$50,'caseload data'!$B:$B,"custody")</f>
        <v>0</v>
      </c>
      <c r="D53" s="153">
        <f>SUMIFS('caseload data'!F:F,'caseload data'!$D:$D,"PSO",'caseload data'!$C:$C,'custody caseload'!$B$50,'caseload data'!$B:$B,"custody")</f>
        <v>0</v>
      </c>
      <c r="E53" s="153">
        <f>SUMIFS('caseload data'!G:G,'caseload data'!$D:$D,"PSO",'caseload data'!$C:$C,'custody caseload'!$B$50,'caseload data'!$B:$B,"custody")</f>
        <v>0</v>
      </c>
      <c r="F53" s="153">
        <f>SUMIFS('caseload data'!H:H,'caseload data'!$D:$D,"PSO",'caseload data'!$C:$C,'custody caseload'!$B$50,'caseload data'!$B:$B,"custody")</f>
        <v>0</v>
      </c>
      <c r="G53" s="153">
        <f>SUMIFS('caseload data'!I:I,'caseload data'!$D:$D,"PSO",'caseload data'!$C:$C,'custody caseload'!$B$50,'caseload data'!$B:$B,"custody")</f>
        <v>0</v>
      </c>
      <c r="H53" s="153">
        <f>SUMIFS('caseload data'!J:J,'caseload data'!$D:$D,"PSO",'caseload data'!$C:$C,'custody caseload'!$B$50,'caseload data'!$B:$B,"custody")</f>
        <v>0</v>
      </c>
      <c r="I53" s="153">
        <f>SUMIFS('caseload data'!K:K,'caseload data'!$D:$D,"PSO",'caseload data'!$C:$C,'custody caseload'!$B$50,'caseload data'!$B:$B,"custody")</f>
        <v>0</v>
      </c>
      <c r="J53" s="153">
        <f>SUMIFS('caseload data'!L:L,'caseload data'!$D:$D,"PSO",'caseload data'!$C:$C,'custody caseload'!$B$50,'caseload data'!$B:$B,"custody")</f>
        <v>0</v>
      </c>
      <c r="K53" s="98">
        <f>SUMIFS('caseload data'!M:M,'caseload data'!$D:$D,"PSO",'caseload data'!$C:$C,'custody caseload'!$B$50,'caseload data'!$B:$B,"custody")</f>
        <v>0</v>
      </c>
      <c r="L53" s="98">
        <f>SUMIFS('caseload data'!N:N,'caseload data'!$D:$D,"PSO",'caseload data'!$C:$C,'custody caseload'!$B$50,'caseload data'!$B:$B,"custody")</f>
        <v>0</v>
      </c>
      <c r="M53" s="98">
        <f>SUMIFS('caseload data'!O:O,'caseload data'!$D:$D,"PSO",'caseload data'!$C:$C,'custody caseload'!$B$50,'caseload data'!$B:$B,"custody")</f>
        <v>0</v>
      </c>
      <c r="N53" s="98">
        <f>SUMIFS('caseload data'!P:P,'caseload data'!$D:$D,"PSO",'caseload data'!$C:$C,'custody caseload'!$B$50,'caseload data'!$B:$B,"custody")</f>
        <v>0</v>
      </c>
      <c r="O53" s="98">
        <f>SUMIFS('caseload data'!Q:Q,'caseload data'!$D:$D,"PSO",'caseload data'!$C:$C,'custody caseload'!$B$50,'caseload data'!$B:$B,"custody")</f>
        <v>0</v>
      </c>
      <c r="P53" s="98">
        <f>SUMIFS('caseload data'!R:R,'caseload data'!$D:$D,"PSO",'caseload data'!$C:$C,'custody caseload'!$B$50,'caseload data'!$B:$B,"custody")</f>
        <v>0</v>
      </c>
      <c r="Q53" s="98">
        <f>SUMIFS('caseload data'!S:S,'caseload data'!$D:$D,"PSO",'caseload data'!$C:$C,'custody caseload'!$B$50,'caseload data'!$B:$B,"custody")</f>
        <v>0</v>
      </c>
      <c r="R53" s="98">
        <f>SUMIFS('caseload data'!T:T,'caseload data'!$D:$D,"PSO",'caseload data'!$C:$C,'custody caseload'!$B$50,'caseload data'!$B:$B,"custody")</f>
        <v>0</v>
      </c>
      <c r="S53" s="68"/>
      <c r="T53" s="101" t="s">
        <v>1172</v>
      </c>
      <c r="U53" s="153">
        <f>SUMIFS('caseload data'!E:E,'caseload data'!$D:$D,"PSO",'caseload data'!$C:$C,'custody caseload'!$T$50,'caseload data'!$B:$B,"custody")</f>
        <v>0</v>
      </c>
      <c r="V53" s="153">
        <f>SUMIFS('caseload data'!F:F,'caseload data'!$D:$D,"PSO",'caseload data'!$C:$C,'custody caseload'!$T$50,'caseload data'!$B:$B,"custody")</f>
        <v>0</v>
      </c>
      <c r="W53" s="153">
        <f>SUMIFS('caseload data'!G:G,'caseload data'!$D:$D,"PSO",'caseload data'!$C:$C,'custody caseload'!$T$50,'caseload data'!$B:$B,"custody")</f>
        <v>0</v>
      </c>
      <c r="X53" s="153">
        <f>SUMIFS('caseload data'!H:H,'caseload data'!$D:$D,"PSO",'caseload data'!$C:$C,'custody caseload'!$T$50,'caseload data'!$B:$B,"custody")</f>
        <v>0</v>
      </c>
      <c r="Y53" s="153">
        <f>SUMIFS('caseload data'!I:I,'caseload data'!$D:$D,"PSO",'caseload data'!$C:$C,'custody caseload'!$T$50,'caseload data'!$B:$B,"custody")</f>
        <v>0</v>
      </c>
      <c r="Z53" s="153">
        <f>SUMIFS('caseload data'!J:J,'caseload data'!$D:$D,"PSO",'caseload data'!$C:$C,'custody caseload'!$T$50,'caseload data'!$B:$B,"custody")</f>
        <v>0</v>
      </c>
      <c r="AA53" s="153">
        <f>SUMIFS('caseload data'!K:K,'caseload data'!$D:$D,"PSO",'caseload data'!$C:$C,'custody caseload'!$T$50,'caseload data'!$B:$B,"custody")</f>
        <v>0</v>
      </c>
      <c r="AB53" s="153">
        <f>SUMIFS('caseload data'!L:L,'caseload data'!$D:$D,"PSO",'caseload data'!$C:$C,'custody caseload'!$T$50,'caseload data'!$B:$B,"custody")</f>
        <v>0</v>
      </c>
      <c r="AC53" s="98">
        <f>SUMIFS('caseload data'!M:M,'caseload data'!$D:$D,"PSO",'caseload data'!$C:$C,'custody caseload'!$T$50,'caseload data'!$B:$B,"custody")</f>
        <v>0</v>
      </c>
      <c r="AD53" s="98">
        <f>SUMIFS('caseload data'!N:N,'caseload data'!$D:$D,"PSO",'caseload data'!$C:$C,'custody caseload'!$T$50,'caseload data'!$B:$B,"custody")</f>
        <v>0</v>
      </c>
      <c r="AE53" s="98">
        <f>SUMIFS('caseload data'!O:O,'caseload data'!$D:$D,"PSO",'caseload data'!$C:$C,'custody caseload'!$T$50,'caseload data'!$B:$B,"custody")</f>
        <v>0</v>
      </c>
      <c r="AF53" s="98">
        <f>SUMIFS('caseload data'!P:P,'caseload data'!$D:$D,"PSO",'caseload data'!$C:$C,'custody caseload'!$T$50,'caseload data'!$B:$B,"custody")</f>
        <v>0</v>
      </c>
      <c r="AG53" s="98">
        <f>SUMIFS('caseload data'!Q:Q,'caseload data'!$D:$D,"PSO",'caseload data'!$C:$C,'custody caseload'!$T$50,'caseload data'!$B:$B,"custody")</f>
        <v>0</v>
      </c>
      <c r="AH53" s="98">
        <f>SUMIFS('caseload data'!R:R,'caseload data'!$D:$D,"PSO",'caseload data'!$C:$C,'custody caseload'!$T$50,'caseload data'!$B:$B,"custody")</f>
        <v>0</v>
      </c>
      <c r="AI53" s="98">
        <f>SUMIFS('caseload data'!S:S,'caseload data'!$D:$D,"PSO",'caseload data'!$C:$C,'custody caseload'!$T$50,'caseload data'!$B:$B,"custody")</f>
        <v>0</v>
      </c>
      <c r="AJ53" s="98">
        <f>SUMIFS('caseload data'!T:T,'caseload data'!$D:$D,"PSO",'caseload data'!$C:$C,'custody caseload'!$T$50,'caseload data'!$B:$B,"custody")</f>
        <v>0</v>
      </c>
    </row>
    <row r="54" spans="2:36" ht="15" x14ac:dyDescent="0.2">
      <c r="B54" s="101" t="s">
        <v>1173</v>
      </c>
      <c r="C54" s="153">
        <f>SUMIFS('caseload data'!E:E,'caseload data'!$D:$D,"TPO",'caseload data'!$C:$C,'custody caseload'!$B$50,'caseload data'!$B:$B,"custody")</f>
        <v>0</v>
      </c>
      <c r="D54" s="153">
        <f>SUMIFS('caseload data'!F:F,'caseload data'!$D:$D,"TPO",'caseload data'!$C:$C,'custody caseload'!$B$50,'caseload data'!$B:$B,"custody")</f>
        <v>0</v>
      </c>
      <c r="E54" s="153">
        <f>SUMIFS('caseload data'!G:G,'caseload data'!$D:$D,"TPO",'caseload data'!$C:$C,'custody caseload'!$B$50,'caseload data'!$B:$B,"custody")</f>
        <v>0</v>
      </c>
      <c r="F54" s="153">
        <f>SUMIFS('caseload data'!H:H,'caseload data'!$D:$D,"TPO",'caseload data'!$C:$C,'custody caseload'!$B$50,'caseload data'!$B:$B,"custody")</f>
        <v>0</v>
      </c>
      <c r="G54" s="153">
        <f>SUMIFS('caseload data'!I:I,'caseload data'!$D:$D,"TPO",'caseload data'!$C:$C,'custody caseload'!$B$50,'caseload data'!$B:$B,"custody")</f>
        <v>0</v>
      </c>
      <c r="H54" s="153">
        <f>SUMIFS('caseload data'!J:J,'caseload data'!$D:$D,"TPO",'caseload data'!$C:$C,'custody caseload'!$B$50,'caseload data'!$B:$B,"custody")</f>
        <v>0</v>
      </c>
      <c r="I54" s="153">
        <f>SUMIFS('caseload data'!K:K,'caseload data'!$D:$D,"TPO",'caseload data'!$C:$C,'custody caseload'!$B$50,'caseload data'!$B:$B,"custody")</f>
        <v>0</v>
      </c>
      <c r="J54" s="153">
        <f>SUMIFS('caseload data'!L:L,'caseload data'!$D:$D,"TPO",'caseload data'!$C:$C,'custody caseload'!$B$50,'caseload data'!$B:$B,"custody")</f>
        <v>0</v>
      </c>
      <c r="K54" s="98">
        <f>SUMIFS('caseload data'!M:M,'caseload data'!$D:$D,"TPO",'caseload data'!$C:$C,'custody caseload'!$B$50,'caseload data'!$B:$B,"custody")</f>
        <v>0</v>
      </c>
      <c r="L54" s="98">
        <f>SUMIFS('caseload data'!N:N,'caseload data'!$D:$D,"TPO",'caseload data'!$C:$C,'custody caseload'!$B$50,'caseload data'!$B:$B,"custody")</f>
        <v>0</v>
      </c>
      <c r="M54" s="98">
        <f>SUMIFS('caseload data'!O:O,'caseload data'!$D:$D,"TPO",'caseload data'!$C:$C,'custody caseload'!$B$50,'caseload data'!$B:$B,"custody")</f>
        <v>0</v>
      </c>
      <c r="N54" s="98">
        <f>SUMIFS('caseload data'!P:P,'caseload data'!$D:$D,"TPO",'caseload data'!$C:$C,'custody caseload'!$B$50,'caseload data'!$B:$B,"custody")</f>
        <v>0</v>
      </c>
      <c r="O54" s="98">
        <f>SUMIFS('caseload data'!Q:Q,'caseload data'!$D:$D,"TPO",'caseload data'!$C:$C,'custody caseload'!$B$50,'caseload data'!$B:$B,"custody")</f>
        <v>0</v>
      </c>
      <c r="P54" s="98">
        <f>SUMIFS('caseload data'!R:R,'caseload data'!$D:$D,"TPO",'caseload data'!$C:$C,'custody caseload'!$B$50,'caseload data'!$B:$B,"custody")</f>
        <v>0</v>
      </c>
      <c r="Q54" s="98">
        <f>SUMIFS('caseload data'!S:S,'caseload data'!$D:$D,"TPO",'caseload data'!$C:$C,'custody caseload'!$B$50,'caseload data'!$B:$B,"custody")</f>
        <v>0</v>
      </c>
      <c r="R54" s="98">
        <f>SUMIFS('caseload data'!T:T,'caseload data'!$D:$D,"TPO",'caseload data'!$C:$C,'custody caseload'!$B$50,'caseload data'!$B:$B,"custody")</f>
        <v>0</v>
      </c>
      <c r="S54" s="68"/>
      <c r="T54" s="101" t="s">
        <v>1173</v>
      </c>
      <c r="U54" s="153">
        <f>SUMIFS('caseload data'!E:E,'caseload data'!$D:$D,"TPO",'caseload data'!$C:$C,'custody caseload'!$T$50,'caseload data'!$B:$B,"custody")</f>
        <v>0</v>
      </c>
      <c r="V54" s="153">
        <f>SUMIFS('caseload data'!F:F,'caseload data'!$D:$D,"TPO",'caseload data'!$C:$C,'custody caseload'!$T$50,'caseload data'!$B:$B,"custody")</f>
        <v>0</v>
      </c>
      <c r="W54" s="153">
        <f>SUMIFS('caseload data'!G:G,'caseload data'!$D:$D,"TPO",'caseload data'!$C:$C,'custody caseload'!$T$50,'caseload data'!$B:$B,"custody")</f>
        <v>0</v>
      </c>
      <c r="X54" s="153">
        <f>SUMIFS('caseload data'!H:H,'caseload data'!$D:$D,"TPO",'caseload data'!$C:$C,'custody caseload'!$T$50,'caseload data'!$B:$B,"custody")</f>
        <v>0</v>
      </c>
      <c r="Y54" s="153">
        <f>SUMIFS('caseload data'!I:I,'caseload data'!$D:$D,"TPO",'caseload data'!$C:$C,'custody caseload'!$T$50,'caseload data'!$B:$B,"custody")</f>
        <v>0</v>
      </c>
      <c r="Z54" s="153">
        <f>SUMIFS('caseload data'!J:J,'caseload data'!$D:$D,"TPO",'caseload data'!$C:$C,'custody caseload'!$T$50,'caseload data'!$B:$B,"custody")</f>
        <v>0</v>
      </c>
      <c r="AA54" s="153">
        <f>SUMIFS('caseload data'!K:K,'caseload data'!$D:$D,"TPO",'caseload data'!$C:$C,'custody caseload'!$T$50,'caseload data'!$B:$B,"custody")</f>
        <v>0</v>
      </c>
      <c r="AB54" s="153">
        <f>SUMIFS('caseload data'!L:L,'caseload data'!$D:$D,"TPO",'caseload data'!$C:$C,'custody caseload'!$T$50,'caseload data'!$B:$B,"custody")</f>
        <v>0</v>
      </c>
      <c r="AC54" s="98">
        <f>SUMIFS('caseload data'!M:M,'caseload data'!$D:$D,"TPO",'caseload data'!$C:$C,'custody caseload'!$T$50,'caseload data'!$B:$B,"custody")</f>
        <v>0</v>
      </c>
      <c r="AD54" s="98">
        <f>SUMIFS('caseload data'!N:N,'caseload data'!$D:$D,"TPO",'caseload data'!$C:$C,'custody caseload'!$T$50,'caseload data'!$B:$B,"custody")</f>
        <v>0</v>
      </c>
      <c r="AE54" s="98">
        <f>SUMIFS('caseload data'!O:O,'caseload data'!$D:$D,"TPO",'caseload data'!$C:$C,'custody caseload'!$T$50,'caseload data'!$B:$B,"custody")</f>
        <v>0</v>
      </c>
      <c r="AF54" s="98">
        <f>SUMIFS('caseload data'!P:P,'caseload data'!$D:$D,"TPO",'caseload data'!$C:$C,'custody caseload'!$T$50,'caseload data'!$B:$B,"custody")</f>
        <v>0</v>
      </c>
      <c r="AG54" s="98">
        <f>SUMIFS('caseload data'!Q:Q,'caseload data'!$D:$D,"TPO",'caseload data'!$C:$C,'custody caseload'!$T$50,'caseload data'!$B:$B,"custody")</f>
        <v>0</v>
      </c>
      <c r="AH54" s="98">
        <f>SUMIFS('caseload data'!R:R,'caseload data'!$D:$D,"TPO",'caseload data'!$C:$C,'custody caseload'!$T$50,'caseload data'!$B:$B,"custody")</f>
        <v>0</v>
      </c>
      <c r="AI54" s="98">
        <f>SUMIFS('caseload data'!S:S,'caseload data'!$D:$D,"TPO",'caseload data'!$C:$C,'custody caseload'!$T$50,'caseload data'!$B:$B,"custody")</f>
        <v>0</v>
      </c>
      <c r="AJ54" s="98">
        <f>SUMIFS('caseload data'!T:T,'caseload data'!$D:$D,"TPO",'caseload data'!$C:$C,'custody caseload'!$T$50,'caseload data'!$B:$B,"custody")</f>
        <v>0</v>
      </c>
    </row>
    <row r="55" spans="2:36" x14ac:dyDescent="0.15">
      <c r="B55" s="102" t="s">
        <v>1174</v>
      </c>
      <c r="C55" s="98">
        <f>SUMIFS('caseload data'!E:E,'caseload data'!$D:$D,"SPO",'caseload data'!$C:$C,'custody caseload'!$B$50,'caseload data'!$B:$B,"custody")</f>
        <v>0</v>
      </c>
      <c r="D55" s="98">
        <f>SUMIFS('caseload data'!F:F,'caseload data'!$D:$D,"SPO",'caseload data'!$C:$C,'custody caseload'!$B$50,'caseload data'!$B:$B,"custody")</f>
        <v>0</v>
      </c>
      <c r="E55" s="98">
        <f>SUMIFS('caseload data'!G:G,'caseload data'!$D:$D,"SPO",'caseload data'!$C:$C,'custody caseload'!$B$50,'caseload data'!$B:$B,"custody")</f>
        <v>0</v>
      </c>
      <c r="F55" s="98">
        <f>SUMIFS('caseload data'!H:H,'caseload data'!$D:$D,"SPO",'caseload data'!$C:$C,'custody caseload'!$B$50,'caseload data'!$B:$B,"custody")</f>
        <v>0</v>
      </c>
      <c r="G55" s="98">
        <f>SUMIFS('caseload data'!I:I,'caseload data'!$D:$D,"SPO",'caseload data'!$C:$C,'custody caseload'!$B$50,'caseload data'!$B:$B,"custody")</f>
        <v>0</v>
      </c>
      <c r="H55" s="98">
        <f>SUMIFS('caseload data'!J:J,'caseload data'!$D:$D,"SPO",'caseload data'!$C:$C,'custody caseload'!$B$50,'caseload data'!$B:$B,"custody")</f>
        <v>0</v>
      </c>
      <c r="I55" s="98">
        <f>SUMIFS('caseload data'!K:K,'caseload data'!$D:$D,"SPO",'caseload data'!$C:$C,'custody caseload'!$B$50,'caseload data'!$B:$B,"custody")</f>
        <v>0</v>
      </c>
      <c r="J55" s="98">
        <f>SUMIFS('caseload data'!L:L,'caseload data'!$D:$D,"SPO",'caseload data'!$C:$C,'custody caseload'!$B$50,'caseload data'!$B:$B,"custody")</f>
        <v>0</v>
      </c>
      <c r="K55" s="98">
        <f>SUMIFS('caseload data'!M:M,'caseload data'!$D:$D,"SPO",'caseload data'!$C:$C,'custody caseload'!$B$50,'caseload data'!$B:$B,"custody")</f>
        <v>0</v>
      </c>
      <c r="L55" s="98">
        <f>SUMIFS('caseload data'!N:N,'caseload data'!$D:$D,"SPO",'caseload data'!$C:$C,'custody caseload'!$B$50,'caseload data'!$B:$B,"custody")</f>
        <v>0</v>
      </c>
      <c r="M55" s="98">
        <f>SUMIFS('caseload data'!O:O,'caseload data'!$D:$D,"SPO",'caseload data'!$C:$C,'custody caseload'!$B$50,'caseload data'!$B:$B,"custody")</f>
        <v>0</v>
      </c>
      <c r="N55" s="98">
        <f>SUMIFS('caseload data'!P:P,'caseload data'!$D:$D,"SPO",'caseload data'!$C:$C,'custody caseload'!$B$50,'caseload data'!$B:$B,"custody")</f>
        <v>0</v>
      </c>
      <c r="O55" s="98">
        <f>SUMIFS('caseload data'!Q:Q,'caseload data'!$D:$D,"SPO",'caseload data'!$C:$C,'custody caseload'!$B$50,'caseload data'!$B:$B,"custody")</f>
        <v>0</v>
      </c>
      <c r="P55" s="98">
        <f>SUMIFS('caseload data'!R:R,'caseload data'!$D:$D,"SPO",'caseload data'!$C:$C,'custody caseload'!$B$50,'caseload data'!$B:$B,"custody")</f>
        <v>0</v>
      </c>
      <c r="Q55" s="98">
        <f>SUMIFS('caseload data'!S:S,'caseload data'!$D:$D,"SPO",'caseload data'!$C:$C,'custody caseload'!$B$50,'caseload data'!$B:$B,"custody")</f>
        <v>0</v>
      </c>
      <c r="R55" s="98">
        <f>SUMIFS('caseload data'!T:T,'caseload data'!$D:$D,"SPO",'caseload data'!$C:$C,'custody caseload'!$B$50,'caseload data'!$B:$B,"custody")</f>
        <v>0</v>
      </c>
      <c r="S55" s="68"/>
      <c r="T55" s="102" t="s">
        <v>1174</v>
      </c>
      <c r="U55" s="98">
        <f>SUMIFS('caseload data'!E:E,'caseload data'!$D:$D,"SPO",'caseload data'!$C:$C,'custody caseload'!$T$50,'caseload data'!$B:$B,"custody")</f>
        <v>0</v>
      </c>
      <c r="V55" s="98">
        <f>SUMIFS('caseload data'!F:F,'caseload data'!$D:$D,"SPO",'caseload data'!$C:$C,'custody caseload'!$T$50,'caseload data'!$B:$B,"custody")</f>
        <v>0</v>
      </c>
      <c r="W55" s="98">
        <f>SUMIFS('caseload data'!G:G,'caseload data'!$D:$D,"SPO",'caseload data'!$C:$C,'custody caseload'!$T$50,'caseload data'!$B:$B,"custody")</f>
        <v>0</v>
      </c>
      <c r="X55" s="98">
        <f>SUMIFS('caseload data'!H:H,'caseload data'!$D:$D,"SPO",'caseload data'!$C:$C,'custody caseload'!$T$50,'caseload data'!$B:$B,"custody")</f>
        <v>0</v>
      </c>
      <c r="Y55" s="98">
        <f>SUMIFS('caseload data'!I:I,'caseload data'!$D:$D,"SPO",'caseload data'!$C:$C,'custody caseload'!$T$50,'caseload data'!$B:$B,"custody")</f>
        <v>0</v>
      </c>
      <c r="Z55" s="98">
        <f>SUMIFS('caseload data'!J:J,'caseload data'!$D:$D,"SPO",'caseload data'!$C:$C,'custody caseload'!$T$50,'caseload data'!$B:$B,"custody")</f>
        <v>0</v>
      </c>
      <c r="AA55" s="98">
        <f>SUMIFS('caseload data'!K:K,'caseload data'!$D:$D,"SPO",'caseload data'!$C:$C,'custody caseload'!$T$50,'caseload data'!$B:$B,"custody")</f>
        <v>0</v>
      </c>
      <c r="AB55" s="98">
        <f>SUMIFS('caseload data'!L:L,'caseload data'!$D:$D,"SPO",'caseload data'!$C:$C,'custody caseload'!$T$50,'caseload data'!$B:$B,"custody")</f>
        <v>0</v>
      </c>
      <c r="AC55" s="98">
        <f>SUMIFS('caseload data'!M:M,'caseload data'!$D:$D,"SPO",'caseload data'!$C:$C,'custody caseload'!$T$50,'caseload data'!$B:$B,"custody")</f>
        <v>0</v>
      </c>
      <c r="AD55" s="98">
        <f>SUMIFS('caseload data'!N:N,'caseload data'!$D:$D,"SPO",'caseload data'!$C:$C,'custody caseload'!$T$50,'caseload data'!$B:$B,"custody")</f>
        <v>0</v>
      </c>
      <c r="AE55" s="98">
        <f>SUMIFS('caseload data'!O:O,'caseload data'!$D:$D,"SPO",'caseload data'!$C:$C,'custody caseload'!$T$50,'caseload data'!$B:$B,"custody")</f>
        <v>0</v>
      </c>
      <c r="AF55" s="98">
        <f>SUMIFS('caseload data'!P:P,'caseload data'!$D:$D,"SPO",'caseload data'!$C:$C,'custody caseload'!$T$50,'caseload data'!$B:$B,"custody")</f>
        <v>0</v>
      </c>
      <c r="AG55" s="98">
        <f>SUMIFS('caseload data'!Q:Q,'caseload data'!$D:$D,"SPO",'caseload data'!$C:$C,'custody caseload'!$T$50,'caseload data'!$B:$B,"custody")</f>
        <v>0</v>
      </c>
      <c r="AH55" s="98">
        <f>SUMIFS('caseload data'!R:R,'caseload data'!$D:$D,"SPO",'caseload data'!$C:$C,'custody caseload'!$T$50,'caseload data'!$B:$B,"custody")</f>
        <v>0</v>
      </c>
      <c r="AI55" s="98">
        <f>SUMIFS('caseload data'!S:S,'caseload data'!$D:$D,"SPO",'caseload data'!$C:$C,'custody caseload'!$T$50,'caseload data'!$B:$B,"custody")</f>
        <v>0</v>
      </c>
      <c r="AJ55" s="98">
        <f>SUMIFS('caseload data'!T:T,'caseload data'!$D:$D,"SPO",'caseload data'!$C:$C,'custody caseload'!$T$50,'caseload data'!$B:$B,"custody")</f>
        <v>0</v>
      </c>
    </row>
    <row r="56" spans="2:36" x14ac:dyDescent="0.15">
      <c r="B56" s="95"/>
      <c r="C56" s="68"/>
      <c r="D56" s="68"/>
      <c r="E56" s="68"/>
      <c r="F56" s="68"/>
      <c r="G56" s="68"/>
      <c r="H56" s="68"/>
      <c r="I56" s="68"/>
      <c r="J56" s="68"/>
      <c r="K56" s="68"/>
      <c r="L56" s="68"/>
      <c r="M56" s="68"/>
      <c r="N56" s="68"/>
      <c r="O56" s="68"/>
      <c r="P56" s="68"/>
      <c r="Q56" s="68"/>
      <c r="R56" s="68"/>
      <c r="S56" s="68"/>
      <c r="T56" s="95"/>
      <c r="U56" s="68"/>
      <c r="V56" s="68"/>
      <c r="W56" s="68"/>
      <c r="X56" s="68"/>
      <c r="Y56" s="68"/>
      <c r="Z56" s="68"/>
      <c r="AA56" s="68"/>
      <c r="AB56" s="68"/>
      <c r="AC56" s="68"/>
      <c r="AD56" s="68"/>
      <c r="AE56" s="68"/>
      <c r="AF56" s="68"/>
      <c r="AG56" s="68"/>
      <c r="AH56" s="68"/>
      <c r="AI56" s="68"/>
      <c r="AJ56" s="68"/>
    </row>
    <row r="57" spans="2:36" ht="28.5" customHeight="1" x14ac:dyDescent="0.15">
      <c r="B57" s="150" t="str">
        <f>HLOOKUP($B$5,Region_Table,16,0)</f>
        <v>Lambeth - N07</v>
      </c>
      <c r="C57" s="475" t="s">
        <v>1305</v>
      </c>
      <c r="D57" s="476"/>
      <c r="E57" s="476"/>
      <c r="F57" s="476"/>
      <c r="G57" s="476"/>
      <c r="H57" s="476"/>
      <c r="I57" s="476"/>
      <c r="J57" s="476"/>
      <c r="K57" s="476"/>
      <c r="L57" s="476"/>
      <c r="M57" s="485"/>
      <c r="N57" s="485"/>
      <c r="O57" s="486"/>
      <c r="P57" s="462">
        <f>SUMIFS('caseload data'!V:V,'caseload data'!B:B,"custody",'caseload data'!$C:$C,'custody caseload'!B57)</f>
        <v>0</v>
      </c>
      <c r="Q57" s="479"/>
      <c r="R57" s="480"/>
      <c r="S57" s="68"/>
      <c r="T57" s="150" t="str">
        <f>HLOOKUP($B$5,Region_Table,17,0)</f>
        <v>Lewisham and Bromley</v>
      </c>
      <c r="U57" s="475" t="s">
        <v>1305</v>
      </c>
      <c r="V57" s="476"/>
      <c r="W57" s="476"/>
      <c r="X57" s="476"/>
      <c r="Y57" s="476"/>
      <c r="Z57" s="476"/>
      <c r="AA57" s="476"/>
      <c r="AB57" s="476"/>
      <c r="AC57" s="476"/>
      <c r="AD57" s="476"/>
      <c r="AE57" s="485"/>
      <c r="AF57" s="485"/>
      <c r="AG57" s="486"/>
      <c r="AH57" s="462">
        <f>SUMIFS('caseload data'!V:V,'caseload data'!B:B,"custody",'caseload data'!$C:$C,'custody caseload'!T57)</f>
        <v>0</v>
      </c>
      <c r="AI57" s="479"/>
      <c r="AJ57" s="480"/>
    </row>
    <row r="58" spans="2:36" x14ac:dyDescent="0.15">
      <c r="B58" s="99" t="s">
        <v>1171</v>
      </c>
      <c r="C58" s="40" t="s">
        <v>1022</v>
      </c>
      <c r="D58" s="40" t="s">
        <v>1023</v>
      </c>
      <c r="E58" s="40" t="s">
        <v>1024</v>
      </c>
      <c r="F58" s="40" t="s">
        <v>1025</v>
      </c>
      <c r="G58" s="40" t="s">
        <v>1026</v>
      </c>
      <c r="H58" s="40" t="s">
        <v>1027</v>
      </c>
      <c r="I58" s="40" t="s">
        <v>1028</v>
      </c>
      <c r="J58" s="40" t="s">
        <v>1029</v>
      </c>
      <c r="K58" s="40" t="s">
        <v>1030</v>
      </c>
      <c r="L58" s="40" t="s">
        <v>1031</v>
      </c>
      <c r="M58" s="40" t="s">
        <v>1032</v>
      </c>
      <c r="N58" s="40" t="s">
        <v>1033</v>
      </c>
      <c r="O58" s="40" t="s">
        <v>1034</v>
      </c>
      <c r="P58" s="40" t="s">
        <v>1035</v>
      </c>
      <c r="Q58" s="40" t="s">
        <v>1036</v>
      </c>
      <c r="R58" s="40" t="s">
        <v>1037</v>
      </c>
      <c r="S58" s="68"/>
      <c r="T58" s="99" t="s">
        <v>1171</v>
      </c>
      <c r="U58" s="40" t="s">
        <v>1022</v>
      </c>
      <c r="V58" s="40" t="s">
        <v>1023</v>
      </c>
      <c r="W58" s="40" t="s">
        <v>1024</v>
      </c>
      <c r="X58" s="40" t="s">
        <v>1025</v>
      </c>
      <c r="Y58" s="40" t="s">
        <v>1026</v>
      </c>
      <c r="Z58" s="40" t="s">
        <v>1027</v>
      </c>
      <c r="AA58" s="40" t="s">
        <v>1028</v>
      </c>
      <c r="AB58" s="40" t="s">
        <v>1029</v>
      </c>
      <c r="AC58" s="40" t="s">
        <v>1030</v>
      </c>
      <c r="AD58" s="40" t="s">
        <v>1031</v>
      </c>
      <c r="AE58" s="40" t="s">
        <v>1032</v>
      </c>
      <c r="AF58" s="40" t="s">
        <v>1033</v>
      </c>
      <c r="AG58" s="40" t="s">
        <v>1034</v>
      </c>
      <c r="AH58" s="40" t="s">
        <v>1035</v>
      </c>
      <c r="AI58" s="40" t="s">
        <v>1036</v>
      </c>
      <c r="AJ58" s="40" t="s">
        <v>1037</v>
      </c>
    </row>
    <row r="59" spans="2:36" x14ac:dyDescent="0.15">
      <c r="B59" s="100" t="s">
        <v>1166</v>
      </c>
      <c r="C59" s="98">
        <f>SUMIFS('caseload data'!E:E,'caseload data'!$D:$D,"PO",'caseload data'!$C:$C,'custody caseload'!$B$57,'caseload data'!$B:$B,"custody")</f>
        <v>0</v>
      </c>
      <c r="D59" s="98">
        <f>SUMIFS('caseload data'!F:F,'caseload data'!$D:$D,"PO",'caseload data'!$C:$C,'custody caseload'!$B$57,'caseload data'!$B:$B,"custody")</f>
        <v>0</v>
      </c>
      <c r="E59" s="98">
        <f>SUMIFS('caseload data'!G:G,'caseload data'!$D:$D,"PO",'caseload data'!$C:$C,'custody caseload'!$B$57,'caseload data'!$B:$B,"custody")</f>
        <v>0</v>
      </c>
      <c r="F59" s="98">
        <f>SUMIFS('caseload data'!H:H,'caseload data'!$D:$D,"PO",'caseload data'!$C:$C,'custody caseload'!$B$57,'caseload data'!$B:$B,"custody")</f>
        <v>0</v>
      </c>
      <c r="G59" s="98">
        <f>SUMIFS('caseload data'!I:I,'caseload data'!$D:$D,"PO",'caseload data'!$C:$C,'custody caseload'!$B$57,'caseload data'!$B:$B,"custody")</f>
        <v>0</v>
      </c>
      <c r="H59" s="98">
        <f>SUMIFS('caseload data'!J:J,'caseload data'!$D:$D,"PO",'caseload data'!$C:$C,'custody caseload'!$B$57,'caseload data'!$B:$B,"custody")</f>
        <v>0</v>
      </c>
      <c r="I59" s="98">
        <f>SUMIFS('caseload data'!K:K,'caseload data'!$D:$D,"PO",'caseload data'!$C:$C,'custody caseload'!$B$57,'caseload data'!$B:$B,"custody")</f>
        <v>0</v>
      </c>
      <c r="J59" s="98">
        <f>SUMIFS('caseload data'!L:L,'caseload data'!$D:$D,"PO",'caseload data'!$C:$C,'custody caseload'!$B$57,'caseload data'!$B:$B,"custody")</f>
        <v>0</v>
      </c>
      <c r="K59" s="98">
        <f>SUMIFS('caseload data'!M:M,'caseload data'!$D:$D,"PO",'caseload data'!$C:$C,'custody caseload'!$B$57,'caseload data'!$B:$B,"custody")</f>
        <v>0</v>
      </c>
      <c r="L59" s="98">
        <f>SUMIFS('caseload data'!N:N,'caseload data'!$D:$D,"PO",'caseload data'!$C:$C,'custody caseload'!$B$57,'caseload data'!$B:$B,"custody")</f>
        <v>0</v>
      </c>
      <c r="M59" s="98">
        <f>SUMIFS('caseload data'!O:O,'caseload data'!$D:$D,"PO",'caseload data'!$C:$C,'custody caseload'!$B$57,'caseload data'!$B:$B,"custody")</f>
        <v>0</v>
      </c>
      <c r="N59" s="98">
        <f>SUMIFS('caseload data'!P:P,'caseload data'!$D:$D,"PO",'caseload data'!$C:$C,'custody caseload'!$B$57,'caseload data'!$B:$B,"custody")</f>
        <v>0</v>
      </c>
      <c r="O59" s="98">
        <f>SUMIFS('caseload data'!Q:Q,'caseload data'!$D:$D,"PO",'caseload data'!$C:$C,'custody caseload'!$B$57,'caseload data'!$B:$B,"custody")</f>
        <v>0</v>
      </c>
      <c r="P59" s="98">
        <f>SUMIFS('caseload data'!R:R,'caseload data'!$D:$D,"PO",'caseload data'!$C:$C,'custody caseload'!$B$57,'caseload data'!$B:$B,"custody")</f>
        <v>0</v>
      </c>
      <c r="Q59" s="98">
        <f>SUMIFS('caseload data'!S:S,'caseload data'!$D:$D,"PO",'caseload data'!$C:$C,'custody caseload'!$B$57,'caseload data'!$B:$B,"custody")</f>
        <v>0</v>
      </c>
      <c r="R59" s="98">
        <f>SUMIFS('caseload data'!T:T,'caseload data'!$D:$D,"PO",'caseload data'!$C:$C,'custody caseload'!$B$57,'caseload data'!$B:$B,"custody")</f>
        <v>0</v>
      </c>
      <c r="S59" s="68"/>
      <c r="T59" s="100" t="s">
        <v>1166</v>
      </c>
      <c r="U59" s="98">
        <f>SUMIFS('caseload data'!E:E,'caseload data'!$D:$D,"PO",'caseload data'!$C:$C,'custody caseload'!$T$57,'caseload data'!$B:$B,"custody")</f>
        <v>0</v>
      </c>
      <c r="V59" s="98">
        <f>SUMIFS('caseload data'!F:F,'caseload data'!$D:$D,"PO",'caseload data'!$C:$C,'custody caseload'!$T$57,'caseload data'!$B:$B,"custody")</f>
        <v>0</v>
      </c>
      <c r="W59" s="98">
        <f>SUMIFS('caseload data'!G:G,'caseload data'!$D:$D,"PO",'caseload data'!$C:$C,'custody caseload'!$T$57,'caseload data'!$B:$B,"custody")</f>
        <v>0</v>
      </c>
      <c r="X59" s="98">
        <f>SUMIFS('caseload data'!H:H,'caseload data'!$D:$D,"PO",'caseload data'!$C:$C,'custody caseload'!$T$57,'caseload data'!$B:$B,"custody")</f>
        <v>0</v>
      </c>
      <c r="Y59" s="98">
        <f>SUMIFS('caseload data'!I:I,'caseload data'!$D:$D,"PO",'caseload data'!$C:$C,'custody caseload'!$T$57,'caseload data'!$B:$B,"custody")</f>
        <v>0</v>
      </c>
      <c r="Z59" s="98">
        <f>SUMIFS('caseload data'!J:J,'caseload data'!$D:$D,"PO",'caseload data'!$C:$C,'custody caseload'!$T$57,'caseload data'!$B:$B,"custody")</f>
        <v>0</v>
      </c>
      <c r="AA59" s="98">
        <f>SUMIFS('caseload data'!K:K,'caseload data'!$D:$D,"PO",'caseload data'!$C:$C,'custody caseload'!$T$57,'caseload data'!$B:$B,"custody")</f>
        <v>0</v>
      </c>
      <c r="AB59" s="98">
        <f>SUMIFS('caseload data'!L:L,'caseload data'!$D:$D,"PO",'caseload data'!$C:$C,'custody caseload'!$T$57,'caseload data'!$B:$B,"custody")</f>
        <v>0</v>
      </c>
      <c r="AC59" s="98">
        <f>SUMIFS('caseload data'!M:M,'caseload data'!$D:$D,"PO",'caseload data'!$C:$C,'custody caseload'!$T$57,'caseload data'!$B:$B,"custody")</f>
        <v>0</v>
      </c>
      <c r="AD59" s="98">
        <f>SUMIFS('caseload data'!N:N,'caseload data'!$D:$D,"PO",'caseload data'!$C:$C,'custody caseload'!$T$57,'caseload data'!$B:$B,"custody")</f>
        <v>0</v>
      </c>
      <c r="AE59" s="98">
        <f>SUMIFS('caseload data'!O:O,'caseload data'!$D:$D,"PO",'caseload data'!$C:$C,'custody caseload'!$T$57,'caseload data'!$B:$B,"custody")</f>
        <v>0</v>
      </c>
      <c r="AF59" s="98">
        <f>SUMIFS('caseload data'!P:P,'caseload data'!$D:$D,"PO",'caseload data'!$C:$C,'custody caseload'!$T$57,'caseload data'!$B:$B,"custody")</f>
        <v>0</v>
      </c>
      <c r="AG59" s="98">
        <f>SUMIFS('caseload data'!Q:Q,'caseload data'!$D:$D,"PO",'caseload data'!$C:$C,'custody caseload'!$T$57,'caseload data'!$B:$B,"custody")</f>
        <v>0</v>
      </c>
      <c r="AH59" s="98">
        <f>SUMIFS('caseload data'!R:R,'caseload data'!$D:$D,"PO",'caseload data'!$C:$C,'custody caseload'!$T$57,'caseload data'!$B:$B,"custody")</f>
        <v>0</v>
      </c>
      <c r="AI59" s="98">
        <f>SUMIFS('caseload data'!S:S,'caseload data'!$D:$D,"PO",'caseload data'!$C:$C,'custody caseload'!$T$57,'caseload data'!$B:$B,"custody")</f>
        <v>0</v>
      </c>
      <c r="AJ59" s="98">
        <f>SUMIFS('caseload data'!T:T,'caseload data'!$D:$D,"PO",'caseload data'!$C:$C,'custody caseload'!$T$57,'caseload data'!$B:$B,"custody")</f>
        <v>0</v>
      </c>
    </row>
    <row r="60" spans="2:36" ht="15" x14ac:dyDescent="0.2">
      <c r="B60" s="101" t="s">
        <v>1172</v>
      </c>
      <c r="C60" s="153">
        <f>SUMIFS('caseload data'!E:E,'caseload data'!$D:$D,"PSO",'caseload data'!$C:$C,'custody caseload'!$B$57,'caseload data'!$B:$B,"custody")</f>
        <v>0</v>
      </c>
      <c r="D60" s="153">
        <f>SUMIFS('caseload data'!F:F,'caseload data'!$D:$D,"PSO",'caseload data'!$C:$C,'custody caseload'!$B$57,'caseload data'!$B:$B,"custody")</f>
        <v>0</v>
      </c>
      <c r="E60" s="153">
        <f>SUMIFS('caseload data'!G:G,'caseload data'!$D:$D,"PSO",'caseload data'!$C:$C,'custody caseload'!$B$57,'caseload data'!$B:$B,"custody")</f>
        <v>0</v>
      </c>
      <c r="F60" s="153">
        <f>SUMIFS('caseload data'!H:H,'caseload data'!$D:$D,"PSO",'caseload data'!$C:$C,'custody caseload'!$B$57,'caseload data'!$B:$B,"custody")</f>
        <v>0</v>
      </c>
      <c r="G60" s="153">
        <f>SUMIFS('caseload data'!I:I,'caseload data'!$D:$D,"PSO",'caseload data'!$C:$C,'custody caseload'!$B$57,'caseload data'!$B:$B,"custody")</f>
        <v>0</v>
      </c>
      <c r="H60" s="153">
        <f>SUMIFS('caseload data'!J:J,'caseload data'!$D:$D,"PSO",'caseload data'!$C:$C,'custody caseload'!$B$57,'caseload data'!$B:$B,"custody")</f>
        <v>0</v>
      </c>
      <c r="I60" s="153">
        <f>SUMIFS('caseload data'!K:K,'caseload data'!$D:$D,"PSO",'caseload data'!$C:$C,'custody caseload'!$B$57,'caseload data'!$B:$B,"custody")</f>
        <v>0</v>
      </c>
      <c r="J60" s="153">
        <f>SUMIFS('caseload data'!L:L,'caseload data'!$D:$D,"PSO",'caseload data'!$C:$C,'custody caseload'!$B$57,'caseload data'!$B:$B,"custody")</f>
        <v>0</v>
      </c>
      <c r="K60" s="98">
        <f>SUMIFS('caseload data'!M:M,'caseload data'!$D:$D,"PSO",'caseload data'!$C:$C,'custody caseload'!$B$57,'caseload data'!$B:$B,"custody")</f>
        <v>0</v>
      </c>
      <c r="L60" s="98">
        <f>SUMIFS('caseload data'!N:N,'caseload data'!$D:$D,"PSO",'caseload data'!$C:$C,'custody caseload'!$B$57,'caseload data'!$B:$B,"custody")</f>
        <v>0</v>
      </c>
      <c r="M60" s="98">
        <f>SUMIFS('caseload data'!O:O,'caseload data'!$D:$D,"PSO",'caseload data'!$C:$C,'custody caseload'!$B$57,'caseload data'!$B:$B,"custody")</f>
        <v>0</v>
      </c>
      <c r="N60" s="98">
        <f>SUMIFS('caseload data'!P:P,'caseload data'!$D:$D,"PSO",'caseload data'!$C:$C,'custody caseload'!$B$57,'caseload data'!$B:$B,"custody")</f>
        <v>0</v>
      </c>
      <c r="O60" s="98">
        <f>SUMIFS('caseload data'!Q:Q,'caseload data'!$D:$D,"PSO",'caseload data'!$C:$C,'custody caseload'!$B$57,'caseload data'!$B:$B,"custody")</f>
        <v>0</v>
      </c>
      <c r="P60" s="98">
        <f>SUMIFS('caseload data'!R:R,'caseload data'!$D:$D,"PSO",'caseload data'!$C:$C,'custody caseload'!$B$57,'caseload data'!$B:$B,"custody")</f>
        <v>0</v>
      </c>
      <c r="Q60" s="98">
        <f>SUMIFS('caseload data'!S:S,'caseload data'!$D:$D,"PSO",'caseload data'!$C:$C,'custody caseload'!$B$57,'caseload data'!$B:$B,"custody")</f>
        <v>0</v>
      </c>
      <c r="R60" s="98">
        <f>SUMIFS('caseload data'!T:T,'caseload data'!$D:$D,"PSO",'caseload data'!$C:$C,'custody caseload'!$B$57,'caseload data'!$B:$B,"custody")</f>
        <v>0</v>
      </c>
      <c r="S60" s="68"/>
      <c r="T60" s="101" t="s">
        <v>1172</v>
      </c>
      <c r="U60" s="153">
        <f>SUMIFS('caseload data'!E:E,'caseload data'!$D:$D,"PSO",'caseload data'!$C:$C,'custody caseload'!$T$57,'caseload data'!$B:$B,"custody")</f>
        <v>0</v>
      </c>
      <c r="V60" s="153">
        <f>SUMIFS('caseload data'!F:F,'caseload data'!$D:$D,"PSO",'caseload data'!$C:$C,'custody caseload'!$T$57,'caseload data'!$B:$B,"custody")</f>
        <v>0</v>
      </c>
      <c r="W60" s="153">
        <f>SUMIFS('caseload data'!G:G,'caseload data'!$D:$D,"PSO",'caseload data'!$C:$C,'custody caseload'!$T$57,'caseload data'!$B:$B,"custody")</f>
        <v>0</v>
      </c>
      <c r="X60" s="153">
        <f>SUMIFS('caseload data'!H:H,'caseload data'!$D:$D,"PSO",'caseload data'!$C:$C,'custody caseload'!$T$57,'caseload data'!$B:$B,"custody")</f>
        <v>0</v>
      </c>
      <c r="Y60" s="153">
        <f>SUMIFS('caseload data'!I:I,'caseload data'!$D:$D,"PSO",'caseload data'!$C:$C,'custody caseload'!$T$57,'caseload data'!$B:$B,"custody")</f>
        <v>0</v>
      </c>
      <c r="Z60" s="153">
        <f>SUMIFS('caseload data'!J:J,'caseload data'!$D:$D,"PSO",'caseload data'!$C:$C,'custody caseload'!$T$57,'caseload data'!$B:$B,"custody")</f>
        <v>0</v>
      </c>
      <c r="AA60" s="153">
        <f>SUMIFS('caseload data'!K:K,'caseload data'!$D:$D,"PSO",'caseload data'!$C:$C,'custody caseload'!$T$57,'caseload data'!$B:$B,"custody")</f>
        <v>0</v>
      </c>
      <c r="AB60" s="153">
        <f>SUMIFS('caseload data'!L:L,'caseload data'!$D:$D,"PSO",'caseload data'!$C:$C,'custody caseload'!$T$57,'caseload data'!$B:$B,"custody")</f>
        <v>0</v>
      </c>
      <c r="AC60" s="98">
        <f>SUMIFS('caseload data'!M:M,'caseload data'!$D:$D,"PSO",'caseload data'!$C:$C,'custody caseload'!$T$57,'caseload data'!$B:$B,"custody")</f>
        <v>0</v>
      </c>
      <c r="AD60" s="98">
        <f>SUMIFS('caseload data'!N:N,'caseload data'!$D:$D,"PSO",'caseload data'!$C:$C,'custody caseload'!$T$57,'caseload data'!$B:$B,"custody")</f>
        <v>0</v>
      </c>
      <c r="AE60" s="98">
        <f>SUMIFS('caseload data'!O:O,'caseload data'!$D:$D,"PSO",'caseload data'!$C:$C,'custody caseload'!$T$57,'caseload data'!$B:$B,"custody")</f>
        <v>0</v>
      </c>
      <c r="AF60" s="98">
        <f>SUMIFS('caseload data'!P:P,'caseload data'!$D:$D,"PSO",'caseload data'!$C:$C,'custody caseload'!$T$57,'caseload data'!$B:$B,"custody")</f>
        <v>0</v>
      </c>
      <c r="AG60" s="98">
        <f>SUMIFS('caseload data'!Q:Q,'caseload data'!$D:$D,"PSO",'caseload data'!$C:$C,'custody caseload'!$T$57,'caseload data'!$B:$B,"custody")</f>
        <v>0</v>
      </c>
      <c r="AH60" s="98">
        <f>SUMIFS('caseload data'!R:R,'caseload data'!$D:$D,"PSO",'caseload data'!$C:$C,'custody caseload'!$T$57,'caseload data'!$B:$B,"custody")</f>
        <v>0</v>
      </c>
      <c r="AI60" s="98">
        <f>SUMIFS('caseload data'!S:S,'caseload data'!$D:$D,"PSO",'caseload data'!$C:$C,'custody caseload'!$T$57,'caseload data'!$B:$B,"custody")</f>
        <v>0</v>
      </c>
      <c r="AJ60" s="98">
        <f>SUMIFS('caseload data'!T:T,'caseload data'!$D:$D,"PSO",'caseload data'!$C:$C,'custody caseload'!$T$57,'caseload data'!$B:$B,"custody")</f>
        <v>0</v>
      </c>
    </row>
    <row r="61" spans="2:36" ht="15" x14ac:dyDescent="0.2">
      <c r="B61" s="101" t="s">
        <v>1173</v>
      </c>
      <c r="C61" s="153">
        <f>SUMIFS('caseload data'!E:E,'caseload data'!$D:$D,"TPO",'caseload data'!$C:$C,'custody caseload'!$B$57,'caseload data'!$B:$B,"custody")</f>
        <v>0</v>
      </c>
      <c r="D61" s="153">
        <f>SUMIFS('caseload data'!F:F,'caseload data'!$D:$D,"TPO",'caseload data'!$C:$C,'custody caseload'!$B$57,'caseload data'!$B:$B,"custody")</f>
        <v>0</v>
      </c>
      <c r="E61" s="153">
        <f>SUMIFS('caseload data'!G:G,'caseload data'!$D:$D,"TPO",'caseload data'!$C:$C,'custody caseload'!$B$57,'caseload data'!$B:$B,"custody")</f>
        <v>0</v>
      </c>
      <c r="F61" s="153">
        <f>SUMIFS('caseload data'!H:H,'caseload data'!$D:$D,"TPO",'caseload data'!$C:$C,'custody caseload'!$B$57,'caseload data'!$B:$B,"custody")</f>
        <v>0</v>
      </c>
      <c r="G61" s="153">
        <f>SUMIFS('caseload data'!I:I,'caseload data'!$D:$D,"TPO",'caseload data'!$C:$C,'custody caseload'!$B$57,'caseload data'!$B:$B,"custody")</f>
        <v>0</v>
      </c>
      <c r="H61" s="153">
        <f>SUMIFS('caseload data'!J:J,'caseload data'!$D:$D,"TPO",'caseload data'!$C:$C,'custody caseload'!$B$57,'caseload data'!$B:$B,"custody")</f>
        <v>0</v>
      </c>
      <c r="I61" s="153">
        <f>SUMIFS('caseload data'!K:K,'caseload data'!$D:$D,"TPO",'caseload data'!$C:$C,'custody caseload'!$B$57,'caseload data'!$B:$B,"custody")</f>
        <v>0</v>
      </c>
      <c r="J61" s="153">
        <f>SUMIFS('caseload data'!L:L,'caseload data'!$D:$D,"TPO",'caseload data'!$C:$C,'custody caseload'!$B$57,'caseload data'!$B:$B,"custody")</f>
        <v>0</v>
      </c>
      <c r="K61" s="98">
        <f>SUMIFS('caseload data'!M:M,'caseload data'!$D:$D,"TPO",'caseload data'!$C:$C,'custody caseload'!$B$57,'caseload data'!$B:$B,"custody")</f>
        <v>0</v>
      </c>
      <c r="L61" s="98">
        <f>SUMIFS('caseload data'!N:N,'caseload data'!$D:$D,"TPO",'caseload data'!$C:$C,'custody caseload'!$B$57,'caseload data'!$B:$B,"custody")</f>
        <v>0</v>
      </c>
      <c r="M61" s="98">
        <f>SUMIFS('caseload data'!O:O,'caseload data'!$D:$D,"TPO",'caseload data'!$C:$C,'custody caseload'!$B$57,'caseload data'!$B:$B,"custody")</f>
        <v>0</v>
      </c>
      <c r="N61" s="98">
        <f>SUMIFS('caseload data'!P:P,'caseload data'!$D:$D,"TPO",'caseload data'!$C:$C,'custody caseload'!$B$57,'caseload data'!$B:$B,"custody")</f>
        <v>0</v>
      </c>
      <c r="O61" s="98">
        <f>SUMIFS('caseload data'!Q:Q,'caseload data'!$D:$D,"TPO",'caseload data'!$C:$C,'custody caseload'!$B$57,'caseload data'!$B:$B,"custody")</f>
        <v>0</v>
      </c>
      <c r="P61" s="98">
        <f>SUMIFS('caseload data'!R:R,'caseload data'!$D:$D,"TPO",'caseload data'!$C:$C,'custody caseload'!$B$57,'caseload data'!$B:$B,"custody")</f>
        <v>0</v>
      </c>
      <c r="Q61" s="98">
        <f>SUMIFS('caseload data'!S:S,'caseload data'!$D:$D,"TPO",'caseload data'!$C:$C,'custody caseload'!$B$57,'caseload data'!$B:$B,"custody")</f>
        <v>0</v>
      </c>
      <c r="R61" s="98">
        <f>SUMIFS('caseload data'!T:T,'caseload data'!$D:$D,"TPO",'caseload data'!$C:$C,'custody caseload'!$B$57,'caseload data'!$B:$B,"custody")</f>
        <v>0</v>
      </c>
      <c r="S61" s="68"/>
      <c r="T61" s="101" t="s">
        <v>1173</v>
      </c>
      <c r="U61" s="153">
        <f>SUMIFS('caseload data'!E:E,'caseload data'!$D:$D,"TPO",'caseload data'!$C:$C,'custody caseload'!$T$57,'caseload data'!$B:$B,"custody")</f>
        <v>0</v>
      </c>
      <c r="V61" s="153">
        <f>SUMIFS('caseload data'!F:F,'caseload data'!$D:$D,"TPO",'caseload data'!$C:$C,'custody caseload'!$T$57,'caseload data'!$B:$B,"custody")</f>
        <v>0</v>
      </c>
      <c r="W61" s="153">
        <f>SUMIFS('caseload data'!G:G,'caseload data'!$D:$D,"TPO",'caseload data'!$C:$C,'custody caseload'!$T$57,'caseload data'!$B:$B,"custody")</f>
        <v>0</v>
      </c>
      <c r="X61" s="153">
        <f>SUMIFS('caseload data'!H:H,'caseload data'!$D:$D,"TPO",'caseload data'!$C:$C,'custody caseload'!$T$57,'caseload data'!$B:$B,"custody")</f>
        <v>0</v>
      </c>
      <c r="Y61" s="153">
        <f>SUMIFS('caseload data'!I:I,'caseload data'!$D:$D,"TPO",'caseload data'!$C:$C,'custody caseload'!$T$57,'caseload data'!$B:$B,"custody")</f>
        <v>0</v>
      </c>
      <c r="Z61" s="153">
        <f>SUMIFS('caseload data'!J:J,'caseload data'!$D:$D,"TPO",'caseload data'!$C:$C,'custody caseload'!$T$57,'caseload data'!$B:$B,"custody")</f>
        <v>0</v>
      </c>
      <c r="AA61" s="153">
        <f>SUMIFS('caseload data'!K:K,'caseload data'!$D:$D,"TPO",'caseload data'!$C:$C,'custody caseload'!$T$57,'caseload data'!$B:$B,"custody")</f>
        <v>0</v>
      </c>
      <c r="AB61" s="153">
        <f>SUMIFS('caseload data'!L:L,'caseload data'!$D:$D,"TPO",'caseload data'!$C:$C,'custody caseload'!$T$57,'caseload data'!$B:$B,"custody")</f>
        <v>0</v>
      </c>
      <c r="AC61" s="98">
        <f>SUMIFS('caseload data'!M:M,'caseload data'!$D:$D,"TPO",'caseload data'!$C:$C,'custody caseload'!$T$57,'caseload data'!$B:$B,"custody")</f>
        <v>0</v>
      </c>
      <c r="AD61" s="98">
        <f>SUMIFS('caseload data'!N:N,'caseload data'!$D:$D,"TPO",'caseload data'!$C:$C,'custody caseload'!$T$57,'caseload data'!$B:$B,"custody")</f>
        <v>0</v>
      </c>
      <c r="AE61" s="98">
        <f>SUMIFS('caseload data'!O:O,'caseload data'!$D:$D,"TPO",'caseload data'!$C:$C,'custody caseload'!$T$57,'caseload data'!$B:$B,"custody")</f>
        <v>0</v>
      </c>
      <c r="AF61" s="98">
        <f>SUMIFS('caseload data'!P:P,'caseload data'!$D:$D,"TPO",'caseload data'!$C:$C,'custody caseload'!$T$57,'caseload data'!$B:$B,"custody")</f>
        <v>0</v>
      </c>
      <c r="AG61" s="98">
        <f>SUMIFS('caseload data'!Q:Q,'caseload data'!$D:$D,"TPO",'caseload data'!$C:$C,'custody caseload'!$T$57,'caseload data'!$B:$B,"custody")</f>
        <v>0</v>
      </c>
      <c r="AH61" s="98">
        <f>SUMIFS('caseload data'!R:R,'caseload data'!$D:$D,"TPO",'caseload data'!$C:$C,'custody caseload'!$T$57,'caseload data'!$B:$B,"custody")</f>
        <v>0</v>
      </c>
      <c r="AI61" s="98">
        <f>SUMIFS('caseload data'!S:S,'caseload data'!$D:$D,"TPO",'caseload data'!$C:$C,'custody caseload'!$T$57,'caseload data'!$B:$B,"custody")</f>
        <v>0</v>
      </c>
      <c r="AJ61" s="98">
        <f>SUMIFS('caseload data'!T:T,'caseload data'!$D:$D,"TPO",'caseload data'!$C:$C,'custody caseload'!$T$57,'caseload data'!$B:$B,"custody")</f>
        <v>0</v>
      </c>
    </row>
    <row r="62" spans="2:36" x14ac:dyDescent="0.15">
      <c r="B62" s="102" t="s">
        <v>1174</v>
      </c>
      <c r="C62" s="98">
        <f>SUMIFS('caseload data'!E:E,'caseload data'!$D:$D,"SPO",'caseload data'!$C:$C,'custody caseload'!$B$57,'caseload data'!$B:$B,"custody")</f>
        <v>0</v>
      </c>
      <c r="D62" s="98">
        <f>SUMIFS('caseload data'!F:F,'caseload data'!$D:$D,"SPO",'caseload data'!$C:$C,'custody caseload'!$B$57,'caseload data'!$B:$B,"custody")</f>
        <v>0</v>
      </c>
      <c r="E62" s="98">
        <f>SUMIFS('caseload data'!G:G,'caseload data'!$D:$D,"SPO",'caseload data'!$C:$C,'custody caseload'!$B$57,'caseload data'!$B:$B,"custody")</f>
        <v>0</v>
      </c>
      <c r="F62" s="98">
        <f>SUMIFS('caseload data'!H:H,'caseload data'!$D:$D,"SPO",'caseload data'!$C:$C,'custody caseload'!$B$57,'caseload data'!$B:$B,"custody")</f>
        <v>0</v>
      </c>
      <c r="G62" s="98">
        <f>SUMIFS('caseload data'!I:I,'caseload data'!$D:$D,"SPO",'caseload data'!$C:$C,'custody caseload'!$B$57,'caseload data'!$B:$B,"custody")</f>
        <v>0</v>
      </c>
      <c r="H62" s="98">
        <f>SUMIFS('caseload data'!J:J,'caseload data'!$D:$D,"SPO",'caseload data'!$C:$C,'custody caseload'!$B$57,'caseload data'!$B:$B,"custody")</f>
        <v>0</v>
      </c>
      <c r="I62" s="98">
        <f>SUMIFS('caseload data'!K:K,'caseload data'!$D:$D,"SPO",'caseload data'!$C:$C,'custody caseload'!$B$57,'caseload data'!$B:$B,"custody")</f>
        <v>0</v>
      </c>
      <c r="J62" s="98">
        <f>SUMIFS('caseload data'!L:L,'caseload data'!$D:$D,"SPO",'caseload data'!$C:$C,'custody caseload'!$B$57,'caseload data'!$B:$B,"custody")</f>
        <v>0</v>
      </c>
      <c r="K62" s="98">
        <f>SUMIFS('caseload data'!M:M,'caseload data'!$D:$D,"SPO",'caseload data'!$C:$C,'custody caseload'!$B$57,'caseload data'!$B:$B,"custody")</f>
        <v>0</v>
      </c>
      <c r="L62" s="98">
        <f>SUMIFS('caseload data'!N:N,'caseload data'!$D:$D,"SPO",'caseload data'!$C:$C,'custody caseload'!$B$57,'caseload data'!$B:$B,"custody")</f>
        <v>0</v>
      </c>
      <c r="M62" s="98">
        <f>SUMIFS('caseload data'!O:O,'caseload data'!$D:$D,"SPO",'caseload data'!$C:$C,'custody caseload'!$B$57,'caseload data'!$B:$B,"custody")</f>
        <v>0</v>
      </c>
      <c r="N62" s="98">
        <f>SUMIFS('caseload data'!P:P,'caseload data'!$D:$D,"SPO",'caseload data'!$C:$C,'custody caseload'!$B$57,'caseload data'!$B:$B,"custody")</f>
        <v>0</v>
      </c>
      <c r="O62" s="98">
        <f>SUMIFS('caseload data'!Q:Q,'caseload data'!$D:$D,"SPO",'caseload data'!$C:$C,'custody caseload'!$B$57,'caseload data'!$B:$B,"custody")</f>
        <v>0</v>
      </c>
      <c r="P62" s="98">
        <f>SUMIFS('caseload data'!R:R,'caseload data'!$D:$D,"SPO",'caseload data'!$C:$C,'custody caseload'!$B$57,'caseload data'!$B:$B,"custody")</f>
        <v>0</v>
      </c>
      <c r="Q62" s="98">
        <f>SUMIFS('caseload data'!S:S,'caseload data'!$D:$D,"SPO",'caseload data'!$C:$C,'custody caseload'!$B$57,'caseload data'!$B:$B,"custody")</f>
        <v>0</v>
      </c>
      <c r="R62" s="98">
        <f>SUMIFS('caseload data'!T:T,'caseload data'!$D:$D,"SPO",'caseload data'!$C:$C,'custody caseload'!$B$57,'caseload data'!$B:$B,"custody")</f>
        <v>0</v>
      </c>
      <c r="S62" s="68"/>
      <c r="T62" s="102" t="s">
        <v>1174</v>
      </c>
      <c r="U62" s="98">
        <f>SUMIFS('caseload data'!E:E,'caseload data'!$D:$D,"SPO",'caseload data'!$C:$C,'custody caseload'!$T$57,'caseload data'!$B:$B,"custody")</f>
        <v>0</v>
      </c>
      <c r="V62" s="98">
        <f>SUMIFS('caseload data'!F:F,'caseload data'!$D:$D,"SPO",'caseload data'!$C:$C,'custody caseload'!$T$57,'caseload data'!$B:$B,"custody")</f>
        <v>0</v>
      </c>
      <c r="W62" s="98">
        <f>SUMIFS('caseload data'!G:G,'caseload data'!$D:$D,"SPO",'caseload data'!$C:$C,'custody caseload'!$T$57,'caseload data'!$B:$B,"custody")</f>
        <v>0</v>
      </c>
      <c r="X62" s="98">
        <f>SUMIFS('caseload data'!H:H,'caseload data'!$D:$D,"SPO",'caseload data'!$C:$C,'custody caseload'!$T$57,'caseload data'!$B:$B,"custody")</f>
        <v>0</v>
      </c>
      <c r="Y62" s="98">
        <f>SUMIFS('caseload data'!I:I,'caseload data'!$D:$D,"SPO",'caseload data'!$C:$C,'custody caseload'!$T$57,'caseload data'!$B:$B,"custody")</f>
        <v>0</v>
      </c>
      <c r="Z62" s="98">
        <f>SUMIFS('caseload data'!J:J,'caseload data'!$D:$D,"SPO",'caseload data'!$C:$C,'custody caseload'!$T$57,'caseload data'!$B:$B,"custody")</f>
        <v>0</v>
      </c>
      <c r="AA62" s="98">
        <f>SUMIFS('caseload data'!K:K,'caseload data'!$D:$D,"SPO",'caseload data'!$C:$C,'custody caseload'!$T$57,'caseload data'!$B:$B,"custody")</f>
        <v>0</v>
      </c>
      <c r="AB62" s="98">
        <f>SUMIFS('caseload data'!L:L,'caseload data'!$D:$D,"SPO",'caseload data'!$C:$C,'custody caseload'!$T$57,'caseload data'!$B:$B,"custody")</f>
        <v>0</v>
      </c>
      <c r="AC62" s="98">
        <f>SUMIFS('caseload data'!M:M,'caseload data'!$D:$D,"SPO",'caseload data'!$C:$C,'custody caseload'!$T$57,'caseload data'!$B:$B,"custody")</f>
        <v>0</v>
      </c>
      <c r="AD62" s="98">
        <f>SUMIFS('caseload data'!N:N,'caseload data'!$D:$D,"SPO",'caseload data'!$C:$C,'custody caseload'!$T$57,'caseload data'!$B:$B,"custody")</f>
        <v>0</v>
      </c>
      <c r="AE62" s="98">
        <f>SUMIFS('caseload data'!O:O,'caseload data'!$D:$D,"SPO",'caseload data'!$C:$C,'custody caseload'!$T$57,'caseload data'!$B:$B,"custody")</f>
        <v>0</v>
      </c>
      <c r="AF62" s="98">
        <f>SUMIFS('caseload data'!P:P,'caseload data'!$D:$D,"SPO",'caseload data'!$C:$C,'custody caseload'!$T$57,'caseload data'!$B:$B,"custody")</f>
        <v>0</v>
      </c>
      <c r="AG62" s="98">
        <f>SUMIFS('caseload data'!Q:Q,'caseload data'!$D:$D,"SPO",'caseload data'!$C:$C,'custody caseload'!$T$57,'caseload data'!$B:$B,"custody")</f>
        <v>0</v>
      </c>
      <c r="AH62" s="98">
        <f>SUMIFS('caseload data'!R:R,'caseload data'!$D:$D,"SPO",'caseload data'!$C:$C,'custody caseload'!$T$57,'caseload data'!$B:$B,"custody")</f>
        <v>0</v>
      </c>
      <c r="AI62" s="98">
        <f>SUMIFS('caseload data'!S:S,'caseload data'!$D:$D,"SPO",'caseload data'!$C:$C,'custody caseload'!$T$57,'caseload data'!$B:$B,"custody")</f>
        <v>0</v>
      </c>
      <c r="AJ62" s="98">
        <f>SUMIFS('caseload data'!T:T,'caseload data'!$D:$D,"SPO",'caseload data'!$C:$C,'custody caseload'!$T$57,'caseload data'!$B:$B,"custody")</f>
        <v>0</v>
      </c>
    </row>
    <row r="64" spans="2:36" ht="21" customHeight="1" x14ac:dyDescent="0.15">
      <c r="B64" s="150" t="str">
        <f>HLOOKUP($B$5,Region_Table,18,0)</f>
        <v>Newham - N07</v>
      </c>
      <c r="C64" s="475" t="s">
        <v>1305</v>
      </c>
      <c r="D64" s="476"/>
      <c r="E64" s="476"/>
      <c r="F64" s="476"/>
      <c r="G64" s="476"/>
      <c r="H64" s="476"/>
      <c r="I64" s="476"/>
      <c r="J64" s="476"/>
      <c r="K64" s="476"/>
      <c r="L64" s="476"/>
      <c r="M64" s="485"/>
      <c r="N64" s="485"/>
      <c r="O64" s="486"/>
      <c r="P64" s="462">
        <f>SUMIFS('caseload data'!V:V,'caseload data'!B:B,"custody",'caseload data'!$C:$C,'custody caseload'!B64)</f>
        <v>0</v>
      </c>
      <c r="Q64" s="479"/>
      <c r="R64" s="480"/>
      <c r="S64" s="68"/>
      <c r="T64" s="150" t="str">
        <f>HLOOKUP($B$5,Region_Table,19,0)</f>
        <v>Public Protection London</v>
      </c>
      <c r="U64" s="475" t="s">
        <v>1305</v>
      </c>
      <c r="V64" s="476"/>
      <c r="W64" s="476"/>
      <c r="X64" s="476"/>
      <c r="Y64" s="476"/>
      <c r="Z64" s="476"/>
      <c r="AA64" s="476"/>
      <c r="AB64" s="476"/>
      <c r="AC64" s="476"/>
      <c r="AD64" s="476"/>
      <c r="AE64" s="485"/>
      <c r="AF64" s="485"/>
      <c r="AG64" s="486"/>
      <c r="AH64" s="462">
        <f>SUMIFS('caseload data'!V:V,'caseload data'!B:B,"custody",'caseload data'!$C:$C,'custody caseload'!T64)</f>
        <v>0</v>
      </c>
      <c r="AI64" s="479"/>
      <c r="AJ64" s="480"/>
    </row>
    <row r="65" spans="2:36" x14ac:dyDescent="0.15">
      <c r="B65" s="99" t="s">
        <v>1171</v>
      </c>
      <c r="C65" s="40" t="s">
        <v>1022</v>
      </c>
      <c r="D65" s="40" t="s">
        <v>1023</v>
      </c>
      <c r="E65" s="40" t="s">
        <v>1024</v>
      </c>
      <c r="F65" s="40" t="s">
        <v>1025</v>
      </c>
      <c r="G65" s="40" t="s">
        <v>1026</v>
      </c>
      <c r="H65" s="40" t="s">
        <v>1027</v>
      </c>
      <c r="I65" s="40" t="s">
        <v>1028</v>
      </c>
      <c r="J65" s="40" t="s">
        <v>1029</v>
      </c>
      <c r="K65" s="40" t="s">
        <v>1030</v>
      </c>
      <c r="L65" s="40" t="s">
        <v>1031</v>
      </c>
      <c r="M65" s="40" t="s">
        <v>1032</v>
      </c>
      <c r="N65" s="40" t="s">
        <v>1033</v>
      </c>
      <c r="O65" s="40" t="s">
        <v>1034</v>
      </c>
      <c r="P65" s="40" t="s">
        <v>1035</v>
      </c>
      <c r="Q65" s="40" t="s">
        <v>1036</v>
      </c>
      <c r="R65" s="40" t="s">
        <v>1037</v>
      </c>
      <c r="S65" s="68"/>
      <c r="T65" s="99" t="s">
        <v>1171</v>
      </c>
      <c r="U65" s="40" t="s">
        <v>1022</v>
      </c>
      <c r="V65" s="40" t="s">
        <v>1023</v>
      </c>
      <c r="W65" s="40" t="s">
        <v>1024</v>
      </c>
      <c r="X65" s="40" t="s">
        <v>1025</v>
      </c>
      <c r="Y65" s="40" t="s">
        <v>1026</v>
      </c>
      <c r="Z65" s="40" t="s">
        <v>1027</v>
      </c>
      <c r="AA65" s="40" t="s">
        <v>1028</v>
      </c>
      <c r="AB65" s="40" t="s">
        <v>1029</v>
      </c>
      <c r="AC65" s="40" t="s">
        <v>1030</v>
      </c>
      <c r="AD65" s="40" t="s">
        <v>1031</v>
      </c>
      <c r="AE65" s="40" t="s">
        <v>1032</v>
      </c>
      <c r="AF65" s="40" t="s">
        <v>1033</v>
      </c>
      <c r="AG65" s="40" t="s">
        <v>1034</v>
      </c>
      <c r="AH65" s="40" t="s">
        <v>1035</v>
      </c>
      <c r="AI65" s="40" t="s">
        <v>1036</v>
      </c>
      <c r="AJ65" s="40" t="s">
        <v>1037</v>
      </c>
    </row>
    <row r="66" spans="2:36" x14ac:dyDescent="0.15">
      <c r="B66" s="100" t="s">
        <v>1166</v>
      </c>
      <c r="C66" s="98">
        <f>SUMIFS('caseload data'!E:E,'caseload data'!$D:$D,"PO",'caseload data'!$C:$C,'custody caseload'!$B$64,'caseload data'!$B:$B,"custody")</f>
        <v>0</v>
      </c>
      <c r="D66" s="98">
        <f>SUMIFS('caseload data'!F:F,'caseload data'!$D:$D,"PO",'caseload data'!$C:$C,'custody caseload'!$B$64,'caseload data'!$B:$B,"custody")</f>
        <v>0</v>
      </c>
      <c r="E66" s="98">
        <f>SUMIFS('caseload data'!G:G,'caseload data'!$D:$D,"PO",'caseload data'!$C:$C,'custody caseload'!$B$64,'caseload data'!$B:$B,"custody")</f>
        <v>0</v>
      </c>
      <c r="F66" s="98">
        <f>SUMIFS('caseload data'!H:H,'caseload data'!$D:$D,"PO",'caseload data'!$C:$C,'custody caseload'!$B$64,'caseload data'!$B:$B,"custody")</f>
        <v>0</v>
      </c>
      <c r="G66" s="98">
        <f>SUMIFS('caseload data'!I:I,'caseload data'!$D:$D,"PO",'caseload data'!$C:$C,'custody caseload'!$B$64,'caseload data'!$B:$B,"custody")</f>
        <v>0</v>
      </c>
      <c r="H66" s="98">
        <f>SUMIFS('caseload data'!J:J,'caseload data'!$D:$D,"PO",'caseload data'!$C:$C,'custody caseload'!$B$64,'caseload data'!$B:$B,"custody")</f>
        <v>0</v>
      </c>
      <c r="I66" s="98">
        <f>SUMIFS('caseload data'!K:K,'caseload data'!$D:$D,"PO",'caseload data'!$C:$C,'custody caseload'!$B$64,'caseload data'!$B:$B,"custody")</f>
        <v>0</v>
      </c>
      <c r="J66" s="98">
        <f>SUMIFS('caseload data'!L:L,'caseload data'!$D:$D,"PO",'caseload data'!$C:$C,'custody caseload'!$B$64,'caseload data'!$B:$B,"custody")</f>
        <v>0</v>
      </c>
      <c r="K66" s="98">
        <f>SUMIFS('caseload data'!M:M,'caseload data'!$D:$D,"PO",'caseload data'!$C:$C,'custody caseload'!$B$64,'caseload data'!$B:$B,"custody")</f>
        <v>0</v>
      </c>
      <c r="L66" s="98">
        <f>SUMIFS('caseload data'!N:N,'caseload data'!$D:$D,"PO",'caseload data'!$C:$C,'custody caseload'!$B$64,'caseload data'!$B:$B,"custody")</f>
        <v>0</v>
      </c>
      <c r="M66" s="98">
        <f>SUMIFS('caseload data'!O:O,'caseload data'!$D:$D,"PO",'caseload data'!$C:$C,'custody caseload'!$B$64,'caseload data'!$B:$B,"custody")</f>
        <v>0</v>
      </c>
      <c r="N66" s="98">
        <f>SUMIFS('caseload data'!P:P,'caseload data'!$D:$D,"PO",'caseload data'!$C:$C,'custody caseload'!$B$64,'caseload data'!$B:$B,"custody")</f>
        <v>0</v>
      </c>
      <c r="O66" s="98">
        <f>SUMIFS('caseload data'!Q:Q,'caseload data'!$D:$D,"PO",'caseload data'!$C:$C,'custody caseload'!$B$64,'caseload data'!$B:$B,"custody")</f>
        <v>0</v>
      </c>
      <c r="P66" s="98">
        <f>SUMIFS('caseload data'!R:R,'caseload data'!$D:$D,"PO",'caseload data'!$C:$C,'custody caseload'!$B$64,'caseload data'!$B:$B,"custody")</f>
        <v>0</v>
      </c>
      <c r="Q66" s="98">
        <f>SUMIFS('caseload data'!S:S,'caseload data'!$D:$D,"PO",'caseload data'!$C:$C,'custody caseload'!$B$64,'caseload data'!$B:$B,"custody")</f>
        <v>0</v>
      </c>
      <c r="R66" s="98">
        <f>SUMIFS('caseload data'!T:T,'caseload data'!$D:$D,"PO",'caseload data'!$C:$C,'custody caseload'!$B$64,'caseload data'!$B:$B,"custody")</f>
        <v>0</v>
      </c>
      <c r="S66" s="68"/>
      <c r="T66" s="100" t="s">
        <v>1166</v>
      </c>
      <c r="U66" s="98">
        <f>SUMIFS('caseload data'!E:E,'caseload data'!$D:$D,"PO",'caseload data'!$C:$C,'custody caseload'!$T$64,'caseload data'!$B:$B,"custody")</f>
        <v>0</v>
      </c>
      <c r="V66" s="98">
        <f>SUMIFS('caseload data'!F:F,'caseload data'!$D:$D,"PO",'caseload data'!$C:$C,'custody caseload'!$T$64,'caseload data'!$B:$B,"custody")</f>
        <v>0</v>
      </c>
      <c r="W66" s="98">
        <f>SUMIFS('caseload data'!G:G,'caseload data'!$D:$D,"PO",'caseload data'!$C:$C,'custody caseload'!$T$64,'caseload data'!$B:$B,"custody")</f>
        <v>0</v>
      </c>
      <c r="X66" s="98">
        <f>SUMIFS('caseload data'!H:H,'caseload data'!$D:$D,"PO",'caseload data'!$C:$C,'custody caseload'!$T$64,'caseload data'!$B:$B,"custody")</f>
        <v>0</v>
      </c>
      <c r="Y66" s="98">
        <f>SUMIFS('caseload data'!I:I,'caseload data'!$D:$D,"PO",'caseload data'!$C:$C,'custody caseload'!$T$64,'caseload data'!$B:$B,"custody")</f>
        <v>0</v>
      </c>
      <c r="Z66" s="98">
        <f>SUMIFS('caseload data'!J:J,'caseload data'!$D:$D,"PO",'caseload data'!$C:$C,'custody caseload'!$T$64,'caseload data'!$B:$B,"custody")</f>
        <v>0</v>
      </c>
      <c r="AA66" s="98">
        <f>SUMIFS('caseload data'!K:K,'caseload data'!$D:$D,"PO",'caseload data'!$C:$C,'custody caseload'!$T$64,'caseload data'!$B:$B,"custody")</f>
        <v>0</v>
      </c>
      <c r="AB66" s="98">
        <f>SUMIFS('caseload data'!L:L,'caseload data'!$D:$D,"PO",'caseload data'!$C:$C,'custody caseload'!$T$64,'caseload data'!$B:$B,"custody")</f>
        <v>0</v>
      </c>
      <c r="AC66" s="98">
        <f>SUMIFS('caseload data'!M:M,'caseload data'!$D:$D,"PO",'caseload data'!$C:$C,'custody caseload'!$T$64,'caseload data'!$B:$B,"custody")</f>
        <v>0</v>
      </c>
      <c r="AD66" s="98">
        <f>SUMIFS('caseload data'!N:N,'caseload data'!$D:$D,"PO",'caseload data'!$C:$C,'custody caseload'!$T$64,'caseload data'!$B:$B,"custody")</f>
        <v>0</v>
      </c>
      <c r="AE66" s="98">
        <f>SUMIFS('caseload data'!O:O,'caseload data'!$D:$D,"PO",'caseload data'!$C:$C,'custody caseload'!$T$64,'caseload data'!$B:$B,"custody")</f>
        <v>0</v>
      </c>
      <c r="AF66" s="98">
        <f>SUMIFS('caseload data'!P:P,'caseload data'!$D:$D,"PO",'caseload data'!$C:$C,'custody caseload'!$T$64,'caseload data'!$B:$B,"custody")</f>
        <v>0</v>
      </c>
      <c r="AG66" s="98">
        <f>SUMIFS('caseload data'!Q:Q,'caseload data'!$D:$D,"PO",'caseload data'!$C:$C,'custody caseload'!$T$64,'caseload data'!$B:$B,"custody")</f>
        <v>0</v>
      </c>
      <c r="AH66" s="98">
        <f>SUMIFS('caseload data'!R:R,'caseload data'!$D:$D,"PO",'caseload data'!$C:$C,'custody caseload'!$T$64,'caseload data'!$B:$B,"custody")</f>
        <v>0</v>
      </c>
      <c r="AI66" s="98">
        <f>SUMIFS('caseload data'!S:S,'caseload data'!$D:$D,"PO",'caseload data'!$C:$C,'custody caseload'!$T$64,'caseload data'!$B:$B,"custody")</f>
        <v>0</v>
      </c>
      <c r="AJ66" s="98">
        <f>SUMIFS('caseload data'!T:T,'caseload data'!$D:$D,"PO",'caseload data'!$C:$C,'custody caseload'!$T$64,'caseload data'!$B:$B,"custody")</f>
        <v>0</v>
      </c>
    </row>
    <row r="67" spans="2:36" ht="15" x14ac:dyDescent="0.2">
      <c r="B67" s="101" t="s">
        <v>1172</v>
      </c>
      <c r="C67" s="153">
        <f>SUMIFS('caseload data'!E:E,'caseload data'!$D:$D,"PSO",'caseload data'!$C:$C,'custody caseload'!$B$64,'caseload data'!$B:$B,"custody")</f>
        <v>0</v>
      </c>
      <c r="D67" s="153">
        <f>SUMIFS('caseload data'!F:F,'caseload data'!$D:$D,"PSO",'caseload data'!$C:$C,'custody caseload'!$B$64,'caseload data'!$B:$B,"custody")</f>
        <v>0</v>
      </c>
      <c r="E67" s="153">
        <f>SUMIFS('caseload data'!G:G,'caseload data'!$D:$D,"PSO",'caseload data'!$C:$C,'custody caseload'!$B$64,'caseload data'!$B:$B,"custody")</f>
        <v>0</v>
      </c>
      <c r="F67" s="153">
        <f>SUMIFS('caseload data'!H:H,'caseload data'!$D:$D,"PSO",'caseload data'!$C:$C,'custody caseload'!$B$64,'caseload data'!$B:$B,"custody")</f>
        <v>0</v>
      </c>
      <c r="G67" s="153">
        <f>SUMIFS('caseload data'!I:I,'caseload data'!$D:$D,"PSO",'caseload data'!$C:$C,'custody caseload'!$B$64,'caseload data'!$B:$B,"custody")</f>
        <v>0</v>
      </c>
      <c r="H67" s="153">
        <f>SUMIFS('caseload data'!J:J,'caseload data'!$D:$D,"PSO",'caseload data'!$C:$C,'custody caseload'!$B$64,'caseload data'!$B:$B,"custody")</f>
        <v>0</v>
      </c>
      <c r="I67" s="153">
        <f>SUMIFS('caseload data'!K:K,'caseload data'!$D:$D,"PSO",'caseload data'!$C:$C,'custody caseload'!$B$64,'caseload data'!$B:$B,"custody")</f>
        <v>0</v>
      </c>
      <c r="J67" s="153">
        <f>SUMIFS('caseload data'!L:L,'caseload data'!$D:$D,"PSO",'caseload data'!$C:$C,'custody caseload'!$B$64,'caseload data'!$B:$B,"custody")</f>
        <v>0</v>
      </c>
      <c r="K67" s="98">
        <f>SUMIFS('caseload data'!M:M,'caseload data'!$D:$D,"PSO",'caseload data'!$C:$C,'custody caseload'!$B$64,'caseload data'!$B:$B,"custody")</f>
        <v>0</v>
      </c>
      <c r="L67" s="98">
        <f>SUMIFS('caseload data'!N:N,'caseload data'!$D:$D,"PSO",'caseload data'!$C:$C,'custody caseload'!$B$64,'caseload data'!$B:$B,"custody")</f>
        <v>0</v>
      </c>
      <c r="M67" s="98">
        <f>SUMIFS('caseload data'!O:O,'caseload data'!$D:$D,"PSO",'caseload data'!$C:$C,'custody caseload'!$B$64,'caseload data'!$B:$B,"custody")</f>
        <v>0</v>
      </c>
      <c r="N67" s="98">
        <f>SUMIFS('caseload data'!P:P,'caseload data'!$D:$D,"PSO",'caseload data'!$C:$C,'custody caseload'!$B$64,'caseload data'!$B:$B,"custody")</f>
        <v>0</v>
      </c>
      <c r="O67" s="98">
        <f>SUMIFS('caseload data'!Q:Q,'caseload data'!$D:$D,"PSO",'caseload data'!$C:$C,'custody caseload'!$B$64,'caseload data'!$B:$B,"custody")</f>
        <v>0</v>
      </c>
      <c r="P67" s="98">
        <f>SUMIFS('caseload data'!R:R,'caseload data'!$D:$D,"PSO",'caseload data'!$C:$C,'custody caseload'!$B$64,'caseload data'!$B:$B,"custody")</f>
        <v>0</v>
      </c>
      <c r="Q67" s="98">
        <f>SUMIFS('caseload data'!S:S,'caseload data'!$D:$D,"PSO",'caseload data'!$C:$C,'custody caseload'!$B$64,'caseload data'!$B:$B,"custody")</f>
        <v>0</v>
      </c>
      <c r="R67" s="98">
        <f>SUMIFS('caseload data'!T:T,'caseload data'!$D:$D,"PSO",'caseload data'!$C:$C,'custody caseload'!$B$64,'caseload data'!$B:$B,"custody")</f>
        <v>0</v>
      </c>
      <c r="S67" s="68"/>
      <c r="T67" s="101" t="s">
        <v>1172</v>
      </c>
      <c r="U67" s="153">
        <f>SUMIFS('caseload data'!E:E,'caseload data'!$D:$D,"PSO",'caseload data'!$C:$C,'custody caseload'!$T$64,'caseload data'!$B:$B,"custody")</f>
        <v>0</v>
      </c>
      <c r="V67" s="153">
        <f>SUMIFS('caseload data'!F:F,'caseload data'!$D:$D,"PSO",'caseload data'!$C:$C,'custody caseload'!$T$64,'caseload data'!$B:$B,"custody")</f>
        <v>0</v>
      </c>
      <c r="W67" s="153">
        <f>SUMIFS('caseload data'!G:G,'caseload data'!$D:$D,"PSO",'caseload data'!$C:$C,'custody caseload'!$T$64,'caseload data'!$B:$B,"custody")</f>
        <v>0</v>
      </c>
      <c r="X67" s="153">
        <f>SUMIFS('caseload data'!H:H,'caseload data'!$D:$D,"PSO",'caseload data'!$C:$C,'custody caseload'!$T$64,'caseload data'!$B:$B,"custody")</f>
        <v>0</v>
      </c>
      <c r="Y67" s="153">
        <f>SUMIFS('caseload data'!I:I,'caseload data'!$D:$D,"PSO",'caseload data'!$C:$C,'custody caseload'!$T$64,'caseload data'!$B:$B,"custody")</f>
        <v>0</v>
      </c>
      <c r="Z67" s="153">
        <f>SUMIFS('caseload data'!J:J,'caseload data'!$D:$D,"PSO",'caseload data'!$C:$C,'custody caseload'!$T$64,'caseload data'!$B:$B,"custody")</f>
        <v>0</v>
      </c>
      <c r="AA67" s="153">
        <f>SUMIFS('caseload data'!K:K,'caseload data'!$D:$D,"PSO",'caseload data'!$C:$C,'custody caseload'!$T$64,'caseload data'!$B:$B,"custody")</f>
        <v>0</v>
      </c>
      <c r="AB67" s="153">
        <f>SUMIFS('caseload data'!L:L,'caseload data'!$D:$D,"PSO",'caseload data'!$C:$C,'custody caseload'!$T$64,'caseload data'!$B:$B,"custody")</f>
        <v>0</v>
      </c>
      <c r="AC67" s="98">
        <f>SUMIFS('caseload data'!M:M,'caseload data'!$D:$D,"PSO",'caseload data'!$C:$C,'custody caseload'!$T$64,'caseload data'!$B:$B,"custody")</f>
        <v>0</v>
      </c>
      <c r="AD67" s="98">
        <f>SUMIFS('caseload data'!N:N,'caseload data'!$D:$D,"PSO",'caseload data'!$C:$C,'custody caseload'!$T$64,'caseload data'!$B:$B,"custody")</f>
        <v>0</v>
      </c>
      <c r="AE67" s="98">
        <f>SUMIFS('caseload data'!O:O,'caseload data'!$D:$D,"PSO",'caseload data'!$C:$C,'custody caseload'!$T$64,'caseload data'!$B:$B,"custody")</f>
        <v>0</v>
      </c>
      <c r="AF67" s="98">
        <f>SUMIFS('caseload data'!P:P,'caseload data'!$D:$D,"PSO",'caseload data'!$C:$C,'custody caseload'!$T$64,'caseload data'!$B:$B,"custody")</f>
        <v>0</v>
      </c>
      <c r="AG67" s="98">
        <f>SUMIFS('caseload data'!Q:Q,'caseload data'!$D:$D,"PSO",'caseload data'!$C:$C,'custody caseload'!$T$64,'caseload data'!$B:$B,"custody")</f>
        <v>0</v>
      </c>
      <c r="AH67" s="98">
        <f>SUMIFS('caseload data'!R:R,'caseload data'!$D:$D,"PSO",'caseload data'!$C:$C,'custody caseload'!$T$64,'caseload data'!$B:$B,"custody")</f>
        <v>0</v>
      </c>
      <c r="AI67" s="98">
        <f>SUMIFS('caseload data'!S:S,'caseload data'!$D:$D,"PSO",'caseload data'!$C:$C,'custody caseload'!$T$64,'caseload data'!$B:$B,"custody")</f>
        <v>0</v>
      </c>
      <c r="AJ67" s="98">
        <f>SUMIFS('caseload data'!T:T,'caseload data'!$D:$D,"PSO",'caseload data'!$C:$C,'custody caseload'!$T$64,'caseload data'!$B:$B,"custody")</f>
        <v>0</v>
      </c>
    </row>
    <row r="68" spans="2:36" ht="15" x14ac:dyDescent="0.2">
      <c r="B68" s="101" t="s">
        <v>1173</v>
      </c>
      <c r="C68" s="153">
        <f>SUMIFS('caseload data'!E:E,'caseload data'!$D:$D,"TPO",'caseload data'!$C:$C,'custody caseload'!$B$64,'caseload data'!$B:$B,"custody")</f>
        <v>0</v>
      </c>
      <c r="D68" s="153">
        <f>SUMIFS('caseload data'!F:F,'caseload data'!$D:$D,"TPO",'caseload data'!$C:$C,'custody caseload'!$B$64,'caseload data'!$B:$B,"custody")</f>
        <v>0</v>
      </c>
      <c r="E68" s="153">
        <f>SUMIFS('caseload data'!G:G,'caseload data'!$D:$D,"TPO",'caseload data'!$C:$C,'custody caseload'!$B$64,'caseload data'!$B:$B,"custody")</f>
        <v>0</v>
      </c>
      <c r="F68" s="153">
        <f>SUMIFS('caseload data'!H:H,'caseload data'!$D:$D,"TPO",'caseload data'!$C:$C,'custody caseload'!$B$64,'caseload data'!$B:$B,"custody")</f>
        <v>0</v>
      </c>
      <c r="G68" s="153">
        <f>SUMIFS('caseload data'!I:I,'caseload data'!$D:$D,"TPO",'caseload data'!$C:$C,'custody caseload'!$B$64,'caseload data'!$B:$B,"custody")</f>
        <v>0</v>
      </c>
      <c r="H68" s="153">
        <f>SUMIFS('caseload data'!J:J,'caseload data'!$D:$D,"TPO",'caseload data'!$C:$C,'custody caseload'!$B$64,'caseload data'!$B:$B,"custody")</f>
        <v>0</v>
      </c>
      <c r="I68" s="153">
        <f>SUMIFS('caseload data'!K:K,'caseload data'!$D:$D,"TPO",'caseload data'!$C:$C,'custody caseload'!$B$64,'caseload data'!$B:$B,"custody")</f>
        <v>0</v>
      </c>
      <c r="J68" s="153">
        <f>SUMIFS('caseload data'!L:L,'caseload data'!$D:$D,"TPO",'caseload data'!$C:$C,'custody caseload'!$B$64,'caseload data'!$B:$B,"custody")</f>
        <v>0</v>
      </c>
      <c r="K68" s="98">
        <f>SUMIFS('caseload data'!M:M,'caseload data'!$D:$D,"TPO",'caseload data'!$C:$C,'custody caseload'!$B$64,'caseload data'!$B:$B,"custody")</f>
        <v>0</v>
      </c>
      <c r="L68" s="98">
        <f>SUMIFS('caseload data'!N:N,'caseload data'!$D:$D,"TPO",'caseload data'!$C:$C,'custody caseload'!$B$64,'caseload data'!$B:$B,"custody")</f>
        <v>0</v>
      </c>
      <c r="M68" s="98">
        <f>SUMIFS('caseload data'!O:O,'caseload data'!$D:$D,"TPO",'caseload data'!$C:$C,'custody caseload'!$B$64,'caseload data'!$B:$B,"custody")</f>
        <v>0</v>
      </c>
      <c r="N68" s="98">
        <f>SUMIFS('caseload data'!P:P,'caseload data'!$D:$D,"TPO",'caseload data'!$C:$C,'custody caseload'!$B$64,'caseload data'!$B:$B,"custody")</f>
        <v>0</v>
      </c>
      <c r="O68" s="98">
        <f>SUMIFS('caseload data'!Q:Q,'caseload data'!$D:$D,"TPO",'caseload data'!$C:$C,'custody caseload'!$B$64,'caseload data'!$B:$B,"custody")</f>
        <v>0</v>
      </c>
      <c r="P68" s="98">
        <f>SUMIFS('caseload data'!R:R,'caseload data'!$D:$D,"TPO",'caseload data'!$C:$C,'custody caseload'!$B$64,'caseload data'!$B:$B,"custody")</f>
        <v>0</v>
      </c>
      <c r="Q68" s="98">
        <f>SUMIFS('caseload data'!S:S,'caseload data'!$D:$D,"TPO",'caseload data'!$C:$C,'custody caseload'!$B$64,'caseload data'!$B:$B,"custody")</f>
        <v>0</v>
      </c>
      <c r="R68" s="98">
        <f>SUMIFS('caseload data'!T:T,'caseload data'!$D:$D,"TPO",'caseload data'!$C:$C,'custody caseload'!$B$64,'caseload data'!$B:$B,"custody")</f>
        <v>0</v>
      </c>
      <c r="S68" s="68"/>
      <c r="T68" s="101" t="s">
        <v>1173</v>
      </c>
      <c r="U68" s="153">
        <f>SUMIFS('caseload data'!E:E,'caseload data'!$D:$D,"TPO",'caseload data'!$C:$C,'custody caseload'!$T$64,'caseload data'!$B:$B,"custody")</f>
        <v>0</v>
      </c>
      <c r="V68" s="153">
        <f>SUMIFS('caseload data'!F:F,'caseload data'!$D:$D,"TPO",'caseload data'!$C:$C,'custody caseload'!$T$64,'caseload data'!$B:$B,"custody")</f>
        <v>0</v>
      </c>
      <c r="W68" s="153">
        <f>SUMIFS('caseload data'!G:G,'caseload data'!$D:$D,"TPO",'caseload data'!$C:$C,'custody caseload'!$T$64,'caseload data'!$B:$B,"custody")</f>
        <v>0</v>
      </c>
      <c r="X68" s="153">
        <f>SUMIFS('caseload data'!H:H,'caseload data'!$D:$D,"TPO",'caseload data'!$C:$C,'custody caseload'!$T$64,'caseload data'!$B:$B,"custody")</f>
        <v>0</v>
      </c>
      <c r="Y68" s="153">
        <f>SUMIFS('caseload data'!I:I,'caseload data'!$D:$D,"TPO",'caseload data'!$C:$C,'custody caseload'!$T$64,'caseload data'!$B:$B,"custody")</f>
        <v>0</v>
      </c>
      <c r="Z68" s="153">
        <f>SUMIFS('caseload data'!J:J,'caseload data'!$D:$D,"TPO",'caseload data'!$C:$C,'custody caseload'!$T$64,'caseload data'!$B:$B,"custody")</f>
        <v>0</v>
      </c>
      <c r="AA68" s="153">
        <f>SUMIFS('caseload data'!K:K,'caseload data'!$D:$D,"TPO",'caseload data'!$C:$C,'custody caseload'!$T$64,'caseload data'!$B:$B,"custody")</f>
        <v>0</v>
      </c>
      <c r="AB68" s="153">
        <f>SUMIFS('caseload data'!L:L,'caseload data'!$D:$D,"TPO",'caseload data'!$C:$C,'custody caseload'!$T$64,'caseload data'!$B:$B,"custody")</f>
        <v>0</v>
      </c>
      <c r="AC68" s="98">
        <f>SUMIFS('caseload data'!M:M,'caseload data'!$D:$D,"TPO",'caseload data'!$C:$C,'custody caseload'!$T$64,'caseload data'!$B:$B,"custody")</f>
        <v>0</v>
      </c>
      <c r="AD68" s="98">
        <f>SUMIFS('caseload data'!N:N,'caseload data'!$D:$D,"TPO",'caseload data'!$C:$C,'custody caseload'!$T$64,'caseload data'!$B:$B,"custody")</f>
        <v>0</v>
      </c>
      <c r="AE68" s="98">
        <f>SUMIFS('caseload data'!O:O,'caseload data'!$D:$D,"TPO",'caseload data'!$C:$C,'custody caseload'!$T$64,'caseload data'!$B:$B,"custody")</f>
        <v>0</v>
      </c>
      <c r="AF68" s="98">
        <f>SUMIFS('caseload data'!P:P,'caseload data'!$D:$D,"TPO",'caseload data'!$C:$C,'custody caseload'!$T$64,'caseload data'!$B:$B,"custody")</f>
        <v>0</v>
      </c>
      <c r="AG68" s="98">
        <f>SUMIFS('caseload data'!Q:Q,'caseload data'!$D:$D,"TPO",'caseload data'!$C:$C,'custody caseload'!$T$64,'caseload data'!$B:$B,"custody")</f>
        <v>0</v>
      </c>
      <c r="AH68" s="98">
        <f>SUMIFS('caseload data'!R:R,'caseload data'!$D:$D,"TPO",'caseload data'!$C:$C,'custody caseload'!$T$64,'caseload data'!$B:$B,"custody")</f>
        <v>0</v>
      </c>
      <c r="AI68" s="98">
        <f>SUMIFS('caseload data'!S:S,'caseload data'!$D:$D,"TPO",'caseload data'!$C:$C,'custody caseload'!$T$64,'caseload data'!$B:$B,"custody")</f>
        <v>0</v>
      </c>
      <c r="AJ68" s="98">
        <f>SUMIFS('caseload data'!T:T,'caseload data'!$D:$D,"TPO",'caseload data'!$C:$C,'custody caseload'!$T$64,'caseload data'!$B:$B,"custody")</f>
        <v>0</v>
      </c>
    </row>
    <row r="69" spans="2:36" x14ac:dyDescent="0.15">
      <c r="B69" s="102" t="s">
        <v>1174</v>
      </c>
      <c r="C69" s="98">
        <f>SUMIFS('caseload data'!E:E,'caseload data'!$D:$D,"SPO",'caseload data'!$C:$C,'custody caseload'!$B$64,'caseload data'!$B:$B,"custody")</f>
        <v>0</v>
      </c>
      <c r="D69" s="98">
        <f>SUMIFS('caseload data'!F:F,'caseload data'!$D:$D,"SPO",'caseload data'!$C:$C,'custody caseload'!$B$64,'caseload data'!$B:$B,"custody")</f>
        <v>0</v>
      </c>
      <c r="E69" s="98">
        <f>SUMIFS('caseload data'!G:G,'caseload data'!$D:$D,"SPO",'caseload data'!$C:$C,'custody caseload'!$B$64,'caseload data'!$B:$B,"custody")</f>
        <v>0</v>
      </c>
      <c r="F69" s="98">
        <f>SUMIFS('caseload data'!H:H,'caseload data'!$D:$D,"SPO",'caseload data'!$C:$C,'custody caseload'!$B$64,'caseload data'!$B:$B,"custody")</f>
        <v>0</v>
      </c>
      <c r="G69" s="98">
        <f>SUMIFS('caseload data'!I:I,'caseload data'!$D:$D,"SPO",'caseload data'!$C:$C,'custody caseload'!$B$64,'caseload data'!$B:$B,"custody")</f>
        <v>0</v>
      </c>
      <c r="H69" s="98">
        <f>SUMIFS('caseload data'!J:J,'caseload data'!$D:$D,"SPO",'caseload data'!$C:$C,'custody caseload'!$B$64,'caseload data'!$B:$B,"custody")</f>
        <v>0</v>
      </c>
      <c r="I69" s="98">
        <f>SUMIFS('caseload data'!K:K,'caseload data'!$D:$D,"SPO",'caseload data'!$C:$C,'custody caseload'!$B$64,'caseload data'!$B:$B,"custody")</f>
        <v>0</v>
      </c>
      <c r="J69" s="98">
        <f>SUMIFS('caseload data'!L:L,'caseload data'!$D:$D,"SPO",'caseload data'!$C:$C,'custody caseload'!$B$64,'caseload data'!$B:$B,"custody")</f>
        <v>0</v>
      </c>
      <c r="K69" s="98">
        <f>SUMIFS('caseload data'!M:M,'caseload data'!$D:$D,"SPO",'caseload data'!$C:$C,'custody caseload'!$B$64,'caseload data'!$B:$B,"custody")</f>
        <v>0</v>
      </c>
      <c r="L69" s="98">
        <f>SUMIFS('caseload data'!N:N,'caseload data'!$D:$D,"SPO",'caseload data'!$C:$C,'custody caseload'!$B$64,'caseload data'!$B:$B,"custody")</f>
        <v>0</v>
      </c>
      <c r="M69" s="98">
        <f>SUMIFS('caseload data'!O:O,'caseload data'!$D:$D,"SPO",'caseload data'!$C:$C,'custody caseload'!$B$64,'caseload data'!$B:$B,"custody")</f>
        <v>0</v>
      </c>
      <c r="N69" s="98">
        <f>SUMIFS('caseload data'!P:P,'caseload data'!$D:$D,"SPO",'caseload data'!$C:$C,'custody caseload'!$B$64,'caseload data'!$B:$B,"custody")</f>
        <v>0</v>
      </c>
      <c r="O69" s="98">
        <f>SUMIFS('caseload data'!Q:Q,'caseload data'!$D:$D,"SPO",'caseload data'!$C:$C,'custody caseload'!$B$64,'caseload data'!$B:$B,"custody")</f>
        <v>0</v>
      </c>
      <c r="P69" s="98">
        <f>SUMIFS('caseload data'!R:R,'caseload data'!$D:$D,"SPO",'caseload data'!$C:$C,'custody caseload'!$B$64,'caseload data'!$B:$B,"custody")</f>
        <v>0</v>
      </c>
      <c r="Q69" s="98">
        <f>SUMIFS('caseload data'!S:S,'caseload data'!$D:$D,"SPO",'caseload data'!$C:$C,'custody caseload'!$B$64,'caseload data'!$B:$B,"custody")</f>
        <v>0</v>
      </c>
      <c r="R69" s="98">
        <f>SUMIFS('caseload data'!T:T,'caseload data'!$D:$D,"SPO",'caseload data'!$C:$C,'custody caseload'!$B$64,'caseload data'!$B:$B,"custody")</f>
        <v>0</v>
      </c>
      <c r="S69" s="68"/>
      <c r="T69" s="102" t="s">
        <v>1174</v>
      </c>
      <c r="U69" s="98">
        <f>SUMIFS('caseload data'!E:E,'caseload data'!$D:$D,"SPO",'caseload data'!$C:$C,'custody caseload'!$T$64,'caseload data'!$B:$B,"custody")</f>
        <v>0</v>
      </c>
      <c r="V69" s="98">
        <f>SUMIFS('caseload data'!F:F,'caseload data'!$D:$D,"SPO",'caseload data'!$C:$C,'custody caseload'!$T$64,'caseload data'!$B:$B,"custody")</f>
        <v>0</v>
      </c>
      <c r="W69" s="98">
        <f>SUMIFS('caseload data'!G:G,'caseload data'!$D:$D,"SPO",'caseload data'!$C:$C,'custody caseload'!$T$64,'caseload data'!$B:$B,"custody")</f>
        <v>0</v>
      </c>
      <c r="X69" s="98">
        <f>SUMIFS('caseload data'!H:H,'caseload data'!$D:$D,"SPO",'caseload data'!$C:$C,'custody caseload'!$T$64,'caseload data'!$B:$B,"custody")</f>
        <v>0</v>
      </c>
      <c r="Y69" s="98">
        <f>SUMIFS('caseload data'!I:I,'caseload data'!$D:$D,"SPO",'caseload data'!$C:$C,'custody caseload'!$T$64,'caseload data'!$B:$B,"custody")</f>
        <v>0</v>
      </c>
      <c r="Z69" s="98">
        <f>SUMIFS('caseload data'!J:J,'caseload data'!$D:$D,"SPO",'caseload data'!$C:$C,'custody caseload'!$T$64,'caseload data'!$B:$B,"custody")</f>
        <v>0</v>
      </c>
      <c r="AA69" s="98">
        <f>SUMIFS('caseload data'!K:K,'caseload data'!$D:$D,"SPO",'caseload data'!$C:$C,'custody caseload'!$T$64,'caseload data'!$B:$B,"custody")</f>
        <v>0</v>
      </c>
      <c r="AB69" s="98">
        <f>SUMIFS('caseload data'!L:L,'caseload data'!$D:$D,"SPO",'caseload data'!$C:$C,'custody caseload'!$T$64,'caseload data'!$B:$B,"custody")</f>
        <v>0</v>
      </c>
      <c r="AC69" s="98">
        <f>SUMIFS('caseload data'!M:M,'caseload data'!$D:$D,"SPO",'caseload data'!$C:$C,'custody caseload'!$T$64,'caseload data'!$B:$B,"custody")</f>
        <v>0</v>
      </c>
      <c r="AD69" s="98">
        <f>SUMIFS('caseload data'!N:N,'caseload data'!$D:$D,"SPO",'caseload data'!$C:$C,'custody caseload'!$T$64,'caseload data'!$B:$B,"custody")</f>
        <v>0</v>
      </c>
      <c r="AE69" s="98">
        <f>SUMIFS('caseload data'!O:O,'caseload data'!$D:$D,"SPO",'caseload data'!$C:$C,'custody caseload'!$T$64,'caseload data'!$B:$B,"custody")</f>
        <v>0</v>
      </c>
      <c r="AF69" s="98">
        <f>SUMIFS('caseload data'!P:P,'caseload data'!$D:$D,"SPO",'caseload data'!$C:$C,'custody caseload'!$T$64,'caseload data'!$B:$B,"custody")</f>
        <v>0</v>
      </c>
      <c r="AG69" s="98">
        <f>SUMIFS('caseload data'!Q:Q,'caseload data'!$D:$D,"SPO",'caseload data'!$C:$C,'custody caseload'!$T$64,'caseload data'!$B:$B,"custody")</f>
        <v>0</v>
      </c>
      <c r="AH69" s="98">
        <f>SUMIFS('caseload data'!R:R,'caseload data'!$D:$D,"SPO",'caseload data'!$C:$C,'custody caseload'!$T$64,'caseload data'!$B:$B,"custody")</f>
        <v>0</v>
      </c>
      <c r="AI69" s="98">
        <f>SUMIFS('caseload data'!S:S,'caseload data'!$D:$D,"SPO",'caseload data'!$C:$C,'custody caseload'!$T$64,'caseload data'!$B:$B,"custody")</f>
        <v>0</v>
      </c>
      <c r="AJ69" s="98">
        <f>SUMIFS('caseload data'!T:T,'caseload data'!$D:$D,"SPO",'caseload data'!$C:$C,'custody caseload'!$T$64,'caseload data'!$B:$B,"custody")</f>
        <v>0</v>
      </c>
    </row>
    <row r="71" spans="2:36" ht="22.5" customHeight="1" x14ac:dyDescent="0.15">
      <c r="B71" s="150" t="str">
        <f>HLOOKUP($B$5,Region_Table,20,0)</f>
        <v>Redbridge and Waltham Forest</v>
      </c>
      <c r="C71" s="475" t="s">
        <v>1305</v>
      </c>
      <c r="D71" s="476"/>
      <c r="E71" s="476"/>
      <c r="F71" s="476"/>
      <c r="G71" s="476"/>
      <c r="H71" s="476"/>
      <c r="I71" s="476"/>
      <c r="J71" s="476"/>
      <c r="K71" s="476"/>
      <c r="L71" s="476"/>
      <c r="M71" s="485"/>
      <c r="N71" s="485"/>
      <c r="O71" s="486"/>
      <c r="P71" s="462">
        <f>SUMIFS('caseload data'!V:V,'caseload data'!B:B,"custody",'caseload data'!$C:$C,'custody caseload'!B71)</f>
        <v>0</v>
      </c>
      <c r="Q71" s="479"/>
      <c r="R71" s="480"/>
      <c r="T71" s="150" t="str">
        <f>HLOOKUP($B$5,Region_Table,21,0)</f>
        <v>Southwark - N07</v>
      </c>
      <c r="U71" s="475" t="s">
        <v>1305</v>
      </c>
      <c r="V71" s="476"/>
      <c r="W71" s="476"/>
      <c r="X71" s="476"/>
      <c r="Y71" s="476"/>
      <c r="Z71" s="476"/>
      <c r="AA71" s="476"/>
      <c r="AB71" s="476"/>
      <c r="AC71" s="476"/>
      <c r="AD71" s="476"/>
      <c r="AE71" s="485"/>
      <c r="AF71" s="485"/>
      <c r="AG71" s="486"/>
      <c r="AH71" s="462">
        <f>SUMIFS('caseload data'!V:V,'caseload data'!B:B,"custody",'caseload data'!$C:$C,'custody caseload'!T71)</f>
        <v>0</v>
      </c>
      <c r="AI71" s="479"/>
      <c r="AJ71" s="480"/>
    </row>
    <row r="72" spans="2:36" x14ac:dyDescent="0.15">
      <c r="B72" s="99" t="s">
        <v>1171</v>
      </c>
      <c r="C72" s="40" t="s">
        <v>1022</v>
      </c>
      <c r="D72" s="40" t="s">
        <v>1023</v>
      </c>
      <c r="E72" s="40" t="s">
        <v>1024</v>
      </c>
      <c r="F72" s="40" t="s">
        <v>1025</v>
      </c>
      <c r="G72" s="40" t="s">
        <v>1026</v>
      </c>
      <c r="H72" s="40" t="s">
        <v>1027</v>
      </c>
      <c r="I72" s="40" t="s">
        <v>1028</v>
      </c>
      <c r="J72" s="40" t="s">
        <v>1029</v>
      </c>
      <c r="K72" s="40" t="s">
        <v>1030</v>
      </c>
      <c r="L72" s="40" t="s">
        <v>1031</v>
      </c>
      <c r="M72" s="40" t="s">
        <v>1032</v>
      </c>
      <c r="N72" s="40" t="s">
        <v>1033</v>
      </c>
      <c r="O72" s="40" t="s">
        <v>1034</v>
      </c>
      <c r="P72" s="40" t="s">
        <v>1035</v>
      </c>
      <c r="Q72" s="40" t="s">
        <v>1036</v>
      </c>
      <c r="R72" s="40" t="s">
        <v>1037</v>
      </c>
      <c r="T72" s="99" t="s">
        <v>1171</v>
      </c>
      <c r="U72" s="40" t="s">
        <v>1022</v>
      </c>
      <c r="V72" s="40" t="s">
        <v>1023</v>
      </c>
      <c r="W72" s="40" t="s">
        <v>1024</v>
      </c>
      <c r="X72" s="40" t="s">
        <v>1025</v>
      </c>
      <c r="Y72" s="40" t="s">
        <v>1026</v>
      </c>
      <c r="Z72" s="40" t="s">
        <v>1027</v>
      </c>
      <c r="AA72" s="40" t="s">
        <v>1028</v>
      </c>
      <c r="AB72" s="40" t="s">
        <v>1029</v>
      </c>
      <c r="AC72" s="40" t="s">
        <v>1030</v>
      </c>
      <c r="AD72" s="40" t="s">
        <v>1031</v>
      </c>
      <c r="AE72" s="40" t="s">
        <v>1032</v>
      </c>
      <c r="AF72" s="40" t="s">
        <v>1033</v>
      </c>
      <c r="AG72" s="40" t="s">
        <v>1034</v>
      </c>
      <c r="AH72" s="40" t="s">
        <v>1035</v>
      </c>
      <c r="AI72" s="40" t="s">
        <v>1036</v>
      </c>
      <c r="AJ72" s="40" t="s">
        <v>1037</v>
      </c>
    </row>
    <row r="73" spans="2:36" x14ac:dyDescent="0.15">
      <c r="B73" s="100" t="s">
        <v>1166</v>
      </c>
      <c r="C73" s="98">
        <f>SUMIFS('caseload data'!E:E,'caseload data'!$D:$D,"PO",'caseload data'!$C:$C,'custody caseload'!$B$71,'caseload data'!$B:$B,"custody")</f>
        <v>0</v>
      </c>
      <c r="D73" s="98">
        <f>SUMIFS('caseload data'!F:F,'caseload data'!$D:$D,"PO",'caseload data'!$C:$C,'custody caseload'!$B$71,'caseload data'!$B:$B,"custody")</f>
        <v>0</v>
      </c>
      <c r="E73" s="98">
        <f>SUMIFS('caseload data'!G:G,'caseload data'!$D:$D,"PO",'caseload data'!$C:$C,'custody caseload'!$B$71,'caseload data'!$B:$B,"custody")</f>
        <v>0</v>
      </c>
      <c r="F73" s="98">
        <f>SUMIFS('caseload data'!H:H,'caseload data'!$D:$D,"PO",'caseload data'!$C:$C,'custody caseload'!$B$71,'caseload data'!$B:$B,"custody")</f>
        <v>0</v>
      </c>
      <c r="G73" s="98">
        <f>SUMIFS('caseload data'!I:I,'caseload data'!$D:$D,"PO",'caseload data'!$C:$C,'custody caseload'!$B$71,'caseload data'!$B:$B,"custody")</f>
        <v>0</v>
      </c>
      <c r="H73" s="98">
        <f>SUMIFS('caseload data'!J:J,'caseload data'!$D:$D,"PO",'caseload data'!$C:$C,'custody caseload'!$B$71,'caseload data'!$B:$B,"custody")</f>
        <v>0</v>
      </c>
      <c r="I73" s="98">
        <f>SUMIFS('caseload data'!K:K,'caseload data'!$D:$D,"PO",'caseload data'!$C:$C,'custody caseload'!$B$71,'caseload data'!$B:$B,"custody")</f>
        <v>0</v>
      </c>
      <c r="J73" s="98">
        <f>SUMIFS('caseload data'!L:L,'caseload data'!$D:$D,"PO",'caseload data'!$C:$C,'custody caseload'!$B$71,'caseload data'!$B:$B,"custody")</f>
        <v>0</v>
      </c>
      <c r="K73" s="98">
        <f>SUMIFS('caseload data'!M:M,'caseload data'!$D:$D,"PO",'caseload data'!$C:$C,'custody caseload'!$B$71,'caseload data'!$B:$B,"custody")</f>
        <v>0</v>
      </c>
      <c r="L73" s="98">
        <f>SUMIFS('caseload data'!N:N,'caseload data'!$D:$D,"PO",'caseload data'!$C:$C,'custody caseload'!$B$71,'caseload data'!$B:$B,"custody")</f>
        <v>0</v>
      </c>
      <c r="M73" s="98">
        <f>SUMIFS('caseload data'!O:O,'caseload data'!$D:$D,"PO",'caseload data'!$C:$C,'custody caseload'!$B$71,'caseload data'!$B:$B,"custody")</f>
        <v>0</v>
      </c>
      <c r="N73" s="98">
        <f>SUMIFS('caseload data'!P:P,'caseload data'!$D:$D,"PO",'caseload data'!$C:$C,'custody caseload'!$B$71,'caseload data'!$B:$B,"custody")</f>
        <v>0</v>
      </c>
      <c r="O73" s="98">
        <f>SUMIFS('caseload data'!Q:Q,'caseload data'!$D:$D,"PO",'caseload data'!$C:$C,'custody caseload'!$B$71,'caseload data'!$B:$B,"custody")</f>
        <v>0</v>
      </c>
      <c r="P73" s="98">
        <f>SUMIFS('caseload data'!R:R,'caseload data'!$D:$D,"PO",'caseload data'!$C:$C,'custody caseload'!$B$71,'caseload data'!$B:$B,"custody")</f>
        <v>0</v>
      </c>
      <c r="Q73" s="98">
        <f>SUMIFS('caseload data'!S:S,'caseload data'!$D:$D,"PO",'caseload data'!$C:$C,'custody caseload'!$B$71,'caseload data'!$B:$B,"custody")</f>
        <v>0</v>
      </c>
      <c r="R73" s="98">
        <f>SUMIFS('caseload data'!T:T,'caseload data'!$D:$D,"PO",'caseload data'!$C:$C,'custody caseload'!$B$71,'caseload data'!$B:$B,"custody")</f>
        <v>0</v>
      </c>
      <c r="T73" s="100" t="s">
        <v>1166</v>
      </c>
      <c r="U73" s="98">
        <f>SUMIFS('caseload data'!E:E,'caseload data'!$D:$D,"PO",'caseload data'!$C:$C,'custody caseload'!$T$71,'caseload data'!$B:$B,"custody")</f>
        <v>0</v>
      </c>
      <c r="V73" s="98">
        <f>SUMIFS('caseload data'!F:F,'caseload data'!$D:$D,"PO",'caseload data'!$C:$C,'custody caseload'!$T$71,'caseload data'!$B:$B,"custody")</f>
        <v>0</v>
      </c>
      <c r="W73" s="98">
        <f>SUMIFS('caseload data'!G:G,'caseload data'!$D:$D,"PO",'caseload data'!$C:$C,'custody caseload'!$T$71,'caseload data'!$B:$B,"custody")</f>
        <v>0</v>
      </c>
      <c r="X73" s="98">
        <f>SUMIFS('caseload data'!H:H,'caseload data'!$D:$D,"PO",'caseload data'!$C:$C,'custody caseload'!$T$71,'caseload data'!$B:$B,"custody")</f>
        <v>0</v>
      </c>
      <c r="Y73" s="98">
        <f>SUMIFS('caseload data'!I:I,'caseload data'!$D:$D,"PO",'caseload data'!$C:$C,'custody caseload'!$T$71,'caseload data'!$B:$B,"custody")</f>
        <v>0</v>
      </c>
      <c r="Z73" s="98">
        <f>SUMIFS('caseload data'!J:J,'caseload data'!$D:$D,"PO",'caseload data'!$C:$C,'custody caseload'!$T$71,'caseload data'!$B:$B,"custody")</f>
        <v>0</v>
      </c>
      <c r="AA73" s="98">
        <f>SUMIFS('caseload data'!K:K,'caseload data'!$D:$D,"PO",'caseload data'!$C:$C,'custody caseload'!$T$71,'caseload data'!$B:$B,"custody")</f>
        <v>0</v>
      </c>
      <c r="AB73" s="98">
        <f>SUMIFS('caseload data'!L:L,'caseload data'!$D:$D,"PO",'caseload data'!$C:$C,'custody caseload'!$T$71,'caseload data'!$B:$B,"custody")</f>
        <v>0</v>
      </c>
      <c r="AC73" s="98">
        <f>SUMIFS('caseload data'!M:M,'caseload data'!$D:$D,"PO",'caseload data'!$C:$C,'custody caseload'!$T$71,'caseload data'!$B:$B,"custody")</f>
        <v>0</v>
      </c>
      <c r="AD73" s="98">
        <f>SUMIFS('caseload data'!N:N,'caseload data'!$D:$D,"PO",'caseload data'!$C:$C,'custody caseload'!$T$71,'caseload data'!$B:$B,"custody")</f>
        <v>0</v>
      </c>
      <c r="AE73" s="98">
        <f>SUMIFS('caseload data'!O:O,'caseload data'!$D:$D,"PO",'caseload data'!$C:$C,'custody caseload'!$T$71,'caseload data'!$B:$B,"custody")</f>
        <v>0</v>
      </c>
      <c r="AF73" s="98">
        <f>SUMIFS('caseload data'!P:P,'caseload data'!$D:$D,"PO",'caseload data'!$C:$C,'custody caseload'!$T$71,'caseload data'!$B:$B,"custody")</f>
        <v>0</v>
      </c>
      <c r="AG73" s="98">
        <f>SUMIFS('caseload data'!Q:Q,'caseload data'!$D:$D,"PO",'caseload data'!$C:$C,'custody caseload'!$T$71,'caseload data'!$B:$B,"custody")</f>
        <v>0</v>
      </c>
      <c r="AH73" s="98">
        <f>SUMIFS('caseload data'!R:R,'caseload data'!$D:$D,"PO",'caseload data'!$C:$C,'custody caseload'!$T$71,'caseload data'!$B:$B,"custody")</f>
        <v>0</v>
      </c>
      <c r="AI73" s="98">
        <f>SUMIFS('caseload data'!S:S,'caseload data'!$D:$D,"PO",'caseload data'!$C:$C,'custody caseload'!$T$71,'caseload data'!$B:$B,"custody")</f>
        <v>0</v>
      </c>
      <c r="AJ73" s="98">
        <f>SUMIFS('caseload data'!T:T,'caseload data'!$D:$D,"PO",'caseload data'!$C:$C,'custody caseload'!$T$71,'caseload data'!$B:$B,"custody")</f>
        <v>0</v>
      </c>
    </row>
    <row r="74" spans="2:36" ht="15" x14ac:dyDescent="0.2">
      <c r="B74" s="101" t="s">
        <v>1172</v>
      </c>
      <c r="C74" s="153">
        <f>SUMIFS('caseload data'!E:E,'caseload data'!$D:$D,"PSO",'caseload data'!$C:$C,'custody caseload'!$B$71,'caseload data'!$B:$B,"custody")</f>
        <v>0</v>
      </c>
      <c r="D74" s="153">
        <f>SUMIFS('caseload data'!F:F,'caseload data'!$D:$D,"PSO",'caseload data'!$C:$C,'custody caseload'!$B$71,'caseload data'!$B:$B,"custody")</f>
        <v>0</v>
      </c>
      <c r="E74" s="153">
        <f>SUMIFS('caseload data'!G:G,'caseload data'!$D:$D,"PSO",'caseload data'!$C:$C,'custody caseload'!$B$71,'caseload data'!$B:$B,"custody")</f>
        <v>0</v>
      </c>
      <c r="F74" s="153">
        <f>SUMIFS('caseload data'!H:H,'caseload data'!$D:$D,"PSO",'caseload data'!$C:$C,'custody caseload'!$B$71,'caseload data'!$B:$B,"custody")</f>
        <v>0</v>
      </c>
      <c r="G74" s="153">
        <f>SUMIFS('caseload data'!I:I,'caseload data'!$D:$D,"PSO",'caseload data'!$C:$C,'custody caseload'!$B$71,'caseload data'!$B:$B,"custody")</f>
        <v>0</v>
      </c>
      <c r="H74" s="153">
        <f>SUMIFS('caseload data'!J:J,'caseload data'!$D:$D,"PSO",'caseload data'!$C:$C,'custody caseload'!$B$71,'caseload data'!$B:$B,"custody")</f>
        <v>0</v>
      </c>
      <c r="I74" s="153">
        <f>SUMIFS('caseload data'!K:K,'caseload data'!$D:$D,"PSO",'caseload data'!$C:$C,'custody caseload'!$B$71,'caseload data'!$B:$B,"custody")</f>
        <v>0</v>
      </c>
      <c r="J74" s="153">
        <f>SUMIFS('caseload data'!L:L,'caseload data'!$D:$D,"PSO",'caseload data'!$C:$C,'custody caseload'!$B$71,'caseload data'!$B:$B,"custody")</f>
        <v>0</v>
      </c>
      <c r="K74" s="98">
        <f>SUMIFS('caseload data'!M:M,'caseload data'!$D:$D,"PSO",'caseload data'!$C:$C,'custody caseload'!$B$71,'caseload data'!$B:$B,"custody")</f>
        <v>0</v>
      </c>
      <c r="L74" s="98">
        <f>SUMIFS('caseload data'!N:N,'caseload data'!$D:$D,"PSO",'caseload data'!$C:$C,'custody caseload'!$B$71,'caseload data'!$B:$B,"custody")</f>
        <v>0</v>
      </c>
      <c r="M74" s="98">
        <f>SUMIFS('caseload data'!O:O,'caseload data'!$D:$D,"PSO",'caseload data'!$C:$C,'custody caseload'!$B$71,'caseload data'!$B:$B,"custody")</f>
        <v>0</v>
      </c>
      <c r="N74" s="98">
        <f>SUMIFS('caseload data'!P:P,'caseload data'!$D:$D,"PSO",'caseload data'!$C:$C,'custody caseload'!$B$71,'caseload data'!$B:$B,"custody")</f>
        <v>0</v>
      </c>
      <c r="O74" s="98">
        <f>SUMIFS('caseload data'!Q:Q,'caseload data'!$D:$D,"PSO",'caseload data'!$C:$C,'custody caseload'!$B$71,'caseload data'!$B:$B,"custody")</f>
        <v>0</v>
      </c>
      <c r="P74" s="98">
        <f>SUMIFS('caseload data'!R:R,'caseload data'!$D:$D,"PSO",'caseload data'!$C:$C,'custody caseload'!$B$71,'caseload data'!$B:$B,"custody")</f>
        <v>0</v>
      </c>
      <c r="Q74" s="98">
        <f>SUMIFS('caseload data'!S:S,'caseload data'!$D:$D,"PSO",'caseload data'!$C:$C,'custody caseload'!$B$71,'caseload data'!$B:$B,"custody")</f>
        <v>0</v>
      </c>
      <c r="R74" s="98">
        <f>SUMIFS('caseload data'!T:T,'caseload data'!$D:$D,"PSO",'caseload data'!$C:$C,'custody caseload'!$B$71,'caseload data'!$B:$B,"custody")</f>
        <v>0</v>
      </c>
      <c r="T74" s="101" t="s">
        <v>1172</v>
      </c>
      <c r="U74" s="153">
        <f>SUMIFS('caseload data'!E:E,'caseload data'!$D:$D,"PSO",'caseload data'!$C:$C,'custody caseload'!$T$71,'caseload data'!$B:$B,"custody")</f>
        <v>0</v>
      </c>
      <c r="V74" s="153">
        <f>SUMIFS('caseload data'!F:F,'caseload data'!$D:$D,"PSO",'caseload data'!$C:$C,'custody caseload'!$T$71,'caseload data'!$B:$B,"custody")</f>
        <v>0</v>
      </c>
      <c r="W74" s="153">
        <f>SUMIFS('caseload data'!G:G,'caseload data'!$D:$D,"PSO",'caseload data'!$C:$C,'custody caseload'!$T$71,'caseload data'!$B:$B,"custody")</f>
        <v>0</v>
      </c>
      <c r="X74" s="153">
        <f>SUMIFS('caseload data'!H:H,'caseload data'!$D:$D,"PSO",'caseload data'!$C:$C,'custody caseload'!$T$71,'caseload data'!$B:$B,"custody")</f>
        <v>0</v>
      </c>
      <c r="Y74" s="153">
        <f>SUMIFS('caseload data'!I:I,'caseload data'!$D:$D,"PSO",'caseload data'!$C:$C,'custody caseload'!$T$71,'caseload data'!$B:$B,"custody")</f>
        <v>0</v>
      </c>
      <c r="Z74" s="153">
        <f>SUMIFS('caseload data'!J:J,'caseload data'!$D:$D,"PSO",'caseload data'!$C:$C,'custody caseload'!$T$71,'caseload data'!$B:$B,"custody")</f>
        <v>0</v>
      </c>
      <c r="AA74" s="153">
        <f>SUMIFS('caseload data'!K:K,'caseload data'!$D:$D,"PSO",'caseload data'!$C:$C,'custody caseload'!$T$71,'caseload data'!$B:$B,"custody")</f>
        <v>0</v>
      </c>
      <c r="AB74" s="153">
        <f>SUMIFS('caseload data'!L:L,'caseload data'!$D:$D,"PSO",'caseload data'!$C:$C,'custody caseload'!$T$71,'caseload data'!$B:$B,"custody")</f>
        <v>0</v>
      </c>
      <c r="AC74" s="98">
        <f>SUMIFS('caseload data'!M:M,'caseload data'!$D:$D,"PSO",'caseload data'!$C:$C,'custody caseload'!$T$71,'caseload data'!$B:$B,"custody")</f>
        <v>0</v>
      </c>
      <c r="AD74" s="98">
        <f>SUMIFS('caseload data'!N:N,'caseload data'!$D:$D,"PSO",'caseload data'!$C:$C,'custody caseload'!$T$71,'caseload data'!$B:$B,"custody")</f>
        <v>0</v>
      </c>
      <c r="AE74" s="98">
        <f>SUMIFS('caseload data'!O:O,'caseload data'!$D:$D,"PSO",'caseload data'!$C:$C,'custody caseload'!$T$71,'caseload data'!$B:$B,"custody")</f>
        <v>0</v>
      </c>
      <c r="AF74" s="98">
        <f>SUMIFS('caseload data'!P:P,'caseload data'!$D:$D,"PSO",'caseload data'!$C:$C,'custody caseload'!$T$71,'caseload data'!$B:$B,"custody")</f>
        <v>0</v>
      </c>
      <c r="AG74" s="98">
        <f>SUMIFS('caseload data'!Q:Q,'caseload data'!$D:$D,"PSO",'caseload data'!$C:$C,'custody caseload'!$T$71,'caseload data'!$B:$B,"custody")</f>
        <v>0</v>
      </c>
      <c r="AH74" s="98">
        <f>SUMIFS('caseload data'!R:R,'caseload data'!$D:$D,"PSO",'caseload data'!$C:$C,'custody caseload'!$T$71,'caseload data'!$B:$B,"custody")</f>
        <v>0</v>
      </c>
      <c r="AI74" s="98">
        <f>SUMIFS('caseload data'!S:S,'caseload data'!$D:$D,"PSO",'caseload data'!$C:$C,'custody caseload'!$T$71,'caseload data'!$B:$B,"custody")</f>
        <v>0</v>
      </c>
      <c r="AJ74" s="98">
        <f>SUMIFS('caseload data'!T:T,'caseload data'!$D:$D,"PSO",'caseload data'!$C:$C,'custody caseload'!$T$71,'caseload data'!$B:$B,"custody")</f>
        <v>0</v>
      </c>
    </row>
    <row r="75" spans="2:36" ht="15" x14ac:dyDescent="0.2">
      <c r="B75" s="101" t="s">
        <v>1173</v>
      </c>
      <c r="C75" s="153">
        <f>SUMIFS('caseload data'!E:E,'caseload data'!$D:$D,"TPO",'caseload data'!$C:$C,'custody caseload'!$B$71,'caseload data'!$B:$B,"custody")</f>
        <v>0</v>
      </c>
      <c r="D75" s="153">
        <f>SUMIFS('caseload data'!F:F,'caseload data'!$D:$D,"TPO",'caseload data'!$C:$C,'custody caseload'!$B$71,'caseload data'!$B:$B,"custody")</f>
        <v>0</v>
      </c>
      <c r="E75" s="153">
        <f>SUMIFS('caseload data'!G:G,'caseload data'!$D:$D,"TPO",'caseload data'!$C:$C,'custody caseload'!$B$71,'caseload data'!$B:$B,"custody")</f>
        <v>0</v>
      </c>
      <c r="F75" s="153">
        <f>SUMIFS('caseload data'!H:H,'caseload data'!$D:$D,"TPO",'caseload data'!$C:$C,'custody caseload'!$B$71,'caseload data'!$B:$B,"custody")</f>
        <v>0</v>
      </c>
      <c r="G75" s="153">
        <f>SUMIFS('caseload data'!I:I,'caseload data'!$D:$D,"TPO",'caseload data'!$C:$C,'custody caseload'!$B$71,'caseload data'!$B:$B,"custody")</f>
        <v>0</v>
      </c>
      <c r="H75" s="153">
        <f>SUMIFS('caseload data'!J:J,'caseload data'!$D:$D,"TPO",'caseload data'!$C:$C,'custody caseload'!$B$71,'caseload data'!$B:$B,"custody")</f>
        <v>0</v>
      </c>
      <c r="I75" s="153">
        <f>SUMIFS('caseload data'!K:K,'caseload data'!$D:$D,"TPO",'caseload data'!$C:$C,'custody caseload'!$B$71,'caseload data'!$B:$B,"custody")</f>
        <v>0</v>
      </c>
      <c r="J75" s="153">
        <f>SUMIFS('caseload data'!L:L,'caseload data'!$D:$D,"TPO",'caseload data'!$C:$C,'custody caseload'!$B$71,'caseload data'!$B:$B,"custody")</f>
        <v>0</v>
      </c>
      <c r="K75" s="98">
        <f>SUMIFS('caseload data'!M:M,'caseload data'!$D:$D,"TPO",'caseload data'!$C:$C,'custody caseload'!$B$71,'caseload data'!$B:$B,"custody")</f>
        <v>0</v>
      </c>
      <c r="L75" s="98">
        <f>SUMIFS('caseload data'!N:N,'caseload data'!$D:$D,"TPO",'caseload data'!$C:$C,'custody caseload'!$B$71,'caseload data'!$B:$B,"custody")</f>
        <v>0</v>
      </c>
      <c r="M75" s="98">
        <f>SUMIFS('caseload data'!O:O,'caseload data'!$D:$D,"TPO",'caseload data'!$C:$C,'custody caseload'!$B$71,'caseload data'!$B:$B,"custody")</f>
        <v>0</v>
      </c>
      <c r="N75" s="98">
        <f>SUMIFS('caseload data'!P:P,'caseload data'!$D:$D,"TPO",'caseload data'!$C:$C,'custody caseload'!$B$71,'caseload data'!$B:$B,"custody")</f>
        <v>0</v>
      </c>
      <c r="O75" s="98">
        <f>SUMIFS('caseload data'!Q:Q,'caseload data'!$D:$D,"TPO",'caseload data'!$C:$C,'custody caseload'!$B$71,'caseload data'!$B:$B,"custody")</f>
        <v>0</v>
      </c>
      <c r="P75" s="98">
        <f>SUMIFS('caseload data'!R:R,'caseload data'!$D:$D,"TPO",'caseload data'!$C:$C,'custody caseload'!$B$71,'caseload data'!$B:$B,"custody")</f>
        <v>0</v>
      </c>
      <c r="Q75" s="98">
        <f>SUMIFS('caseload data'!S:S,'caseload data'!$D:$D,"TPO",'caseload data'!$C:$C,'custody caseload'!$B$71,'caseload data'!$B:$B,"custody")</f>
        <v>0</v>
      </c>
      <c r="R75" s="98">
        <f>SUMIFS('caseload data'!T:T,'caseload data'!$D:$D,"TPO",'caseload data'!$C:$C,'custody caseload'!$B$71,'caseload data'!$B:$B,"custody")</f>
        <v>0</v>
      </c>
      <c r="T75" s="101" t="s">
        <v>1173</v>
      </c>
      <c r="U75" s="153">
        <f>SUMIFS('caseload data'!E:E,'caseload data'!$D:$D,"TPO",'caseload data'!$C:$C,'custody caseload'!$T$71,'caseload data'!$B:$B,"custody")</f>
        <v>0</v>
      </c>
      <c r="V75" s="153">
        <f>SUMIFS('caseload data'!F:F,'caseload data'!$D:$D,"TPO",'caseload data'!$C:$C,'custody caseload'!$T$71,'caseload data'!$B:$B,"custody")</f>
        <v>0</v>
      </c>
      <c r="W75" s="153">
        <f>SUMIFS('caseload data'!G:G,'caseload data'!$D:$D,"TPO",'caseload data'!$C:$C,'custody caseload'!$T$71,'caseload data'!$B:$B,"custody")</f>
        <v>0</v>
      </c>
      <c r="X75" s="153">
        <f>SUMIFS('caseload data'!H:H,'caseload data'!$D:$D,"TPO",'caseload data'!$C:$C,'custody caseload'!$T$71,'caseload data'!$B:$B,"custody")</f>
        <v>0</v>
      </c>
      <c r="Y75" s="153">
        <f>SUMIFS('caseload data'!I:I,'caseload data'!$D:$D,"TPO",'caseload data'!$C:$C,'custody caseload'!$T$71,'caseload data'!$B:$B,"custody")</f>
        <v>0</v>
      </c>
      <c r="Z75" s="153">
        <f>SUMIFS('caseload data'!J:J,'caseload data'!$D:$D,"TPO",'caseload data'!$C:$C,'custody caseload'!$T$71,'caseload data'!$B:$B,"custody")</f>
        <v>0</v>
      </c>
      <c r="AA75" s="153">
        <f>SUMIFS('caseload data'!K:K,'caseload data'!$D:$D,"TPO",'caseload data'!$C:$C,'custody caseload'!$T$71,'caseload data'!$B:$B,"custody")</f>
        <v>0</v>
      </c>
      <c r="AB75" s="153">
        <f>SUMIFS('caseload data'!L:L,'caseload data'!$D:$D,"TPO",'caseload data'!$C:$C,'custody caseload'!$T$71,'caseload data'!$B:$B,"custody")</f>
        <v>0</v>
      </c>
      <c r="AC75" s="98">
        <f>SUMIFS('caseload data'!M:M,'caseload data'!$D:$D,"TPO",'caseload data'!$C:$C,'custody caseload'!$T$71,'caseload data'!$B:$B,"custody")</f>
        <v>0</v>
      </c>
      <c r="AD75" s="98">
        <f>SUMIFS('caseload data'!N:N,'caseload data'!$D:$D,"TPO",'caseload data'!$C:$C,'custody caseload'!$T$71,'caseload data'!$B:$B,"custody")</f>
        <v>0</v>
      </c>
      <c r="AE75" s="98">
        <f>SUMIFS('caseload data'!O:O,'caseload data'!$D:$D,"TPO",'caseload data'!$C:$C,'custody caseload'!$T$71,'caseload data'!$B:$B,"custody")</f>
        <v>0</v>
      </c>
      <c r="AF75" s="98">
        <f>SUMIFS('caseload data'!P:P,'caseload data'!$D:$D,"TPO",'caseload data'!$C:$C,'custody caseload'!$T$71,'caseload data'!$B:$B,"custody")</f>
        <v>0</v>
      </c>
      <c r="AG75" s="98">
        <f>SUMIFS('caseload data'!Q:Q,'caseload data'!$D:$D,"TPO",'caseload data'!$C:$C,'custody caseload'!$T$71,'caseload data'!$B:$B,"custody")</f>
        <v>0</v>
      </c>
      <c r="AH75" s="98">
        <f>SUMIFS('caseload data'!R:R,'caseload data'!$D:$D,"TPO",'caseload data'!$C:$C,'custody caseload'!$T$71,'caseload data'!$B:$B,"custody")</f>
        <v>0</v>
      </c>
      <c r="AI75" s="98">
        <f>SUMIFS('caseload data'!S:S,'caseload data'!$D:$D,"TPO",'caseload data'!$C:$C,'custody caseload'!$T$71,'caseload data'!$B:$B,"custody")</f>
        <v>0</v>
      </c>
      <c r="AJ75" s="98">
        <f>SUMIFS('caseload data'!T:T,'caseload data'!$D:$D,"TPO",'caseload data'!$C:$C,'custody caseload'!$T$71,'caseload data'!$B:$B,"custody")</f>
        <v>0</v>
      </c>
    </row>
    <row r="76" spans="2:36" x14ac:dyDescent="0.15">
      <c r="B76" s="102" t="s">
        <v>1174</v>
      </c>
      <c r="C76" s="98">
        <f>SUMIFS('caseload data'!E:E,'caseload data'!$D:$D,"SPO",'caseload data'!$C:$C,'custody caseload'!$B$71,'caseload data'!$B:$B,"custody")</f>
        <v>0</v>
      </c>
      <c r="D76" s="98">
        <f>SUMIFS('caseload data'!F:F,'caseload data'!$D:$D,"SPO",'caseload data'!$C:$C,'custody caseload'!$B$71,'caseload data'!$B:$B,"custody")</f>
        <v>0</v>
      </c>
      <c r="E76" s="98">
        <f>SUMIFS('caseload data'!G:G,'caseload data'!$D:$D,"SPO",'caseload data'!$C:$C,'custody caseload'!$B$71,'caseload data'!$B:$B,"custody")</f>
        <v>0</v>
      </c>
      <c r="F76" s="98">
        <f>SUMIFS('caseload data'!H:H,'caseload data'!$D:$D,"SPO",'caseload data'!$C:$C,'custody caseload'!$B$71,'caseload data'!$B:$B,"custody")</f>
        <v>0</v>
      </c>
      <c r="G76" s="98">
        <f>SUMIFS('caseload data'!I:I,'caseload data'!$D:$D,"SPO",'caseload data'!$C:$C,'custody caseload'!$B$71,'caseload data'!$B:$B,"custody")</f>
        <v>0</v>
      </c>
      <c r="H76" s="98">
        <f>SUMIFS('caseload data'!J:J,'caseload data'!$D:$D,"SPO",'caseload data'!$C:$C,'custody caseload'!$B$71,'caseload data'!$B:$B,"custody")</f>
        <v>0</v>
      </c>
      <c r="I76" s="98">
        <f>SUMIFS('caseload data'!K:K,'caseload data'!$D:$D,"SPO",'caseload data'!$C:$C,'custody caseload'!$B$71,'caseload data'!$B:$B,"custody")</f>
        <v>0</v>
      </c>
      <c r="J76" s="98">
        <f>SUMIFS('caseload data'!L:L,'caseload data'!$D:$D,"SPO",'caseload data'!$C:$C,'custody caseload'!$B$71,'caseload data'!$B:$B,"custody")</f>
        <v>0</v>
      </c>
      <c r="K76" s="98">
        <f>SUMIFS('caseload data'!M:M,'caseload data'!$D:$D,"SPO",'caseload data'!$C:$C,'custody caseload'!$B$71,'caseload data'!$B:$B,"custody")</f>
        <v>0</v>
      </c>
      <c r="L76" s="98">
        <f>SUMIFS('caseload data'!N:N,'caseload data'!$D:$D,"SPO",'caseload data'!$C:$C,'custody caseload'!$B$71,'caseload data'!$B:$B,"custody")</f>
        <v>0</v>
      </c>
      <c r="M76" s="98">
        <f>SUMIFS('caseload data'!O:O,'caseload data'!$D:$D,"SPO",'caseload data'!$C:$C,'custody caseload'!$B$71,'caseload data'!$B:$B,"custody")</f>
        <v>0</v>
      </c>
      <c r="N76" s="98">
        <f>SUMIFS('caseload data'!P:P,'caseload data'!$D:$D,"SPO",'caseload data'!$C:$C,'custody caseload'!$B$71,'caseload data'!$B:$B,"custody")</f>
        <v>0</v>
      </c>
      <c r="O76" s="98">
        <f>SUMIFS('caseload data'!Q:Q,'caseload data'!$D:$D,"SPO",'caseload data'!$C:$C,'custody caseload'!$B$71,'caseload data'!$B:$B,"custody")</f>
        <v>0</v>
      </c>
      <c r="P76" s="98">
        <f>SUMIFS('caseload data'!R:R,'caseload data'!$D:$D,"SPO",'caseload data'!$C:$C,'custody caseload'!$B$71,'caseload data'!$B:$B,"custody")</f>
        <v>0</v>
      </c>
      <c r="Q76" s="98">
        <f>SUMIFS('caseload data'!S:S,'caseload data'!$D:$D,"SPO",'caseload data'!$C:$C,'custody caseload'!$B$71,'caseload data'!$B:$B,"custody")</f>
        <v>0</v>
      </c>
      <c r="R76" s="98">
        <f>SUMIFS('caseload data'!T:T,'caseload data'!$D:$D,"SPO",'caseload data'!$C:$C,'custody caseload'!$B$71,'caseload data'!$B:$B,"custody")</f>
        <v>0</v>
      </c>
      <c r="T76" s="102" t="s">
        <v>1174</v>
      </c>
      <c r="U76" s="98">
        <f>SUMIFS('caseload data'!E:E,'caseload data'!$D:$D,"SPO",'caseload data'!$C:$C,'custody caseload'!$T$71,'caseload data'!$B:$B,"custody")</f>
        <v>0</v>
      </c>
      <c r="V76" s="98">
        <f>SUMIFS('caseload data'!F:F,'caseload data'!$D:$D,"SPO",'caseload data'!$C:$C,'custody caseload'!$T$71,'caseload data'!$B:$B,"custody")</f>
        <v>0</v>
      </c>
      <c r="W76" s="98">
        <f>SUMIFS('caseload data'!G:G,'caseload data'!$D:$D,"SPO",'caseload data'!$C:$C,'custody caseload'!$T$71,'caseload data'!$B:$B,"custody")</f>
        <v>0</v>
      </c>
      <c r="X76" s="98">
        <f>SUMIFS('caseload data'!H:H,'caseload data'!$D:$D,"SPO",'caseload data'!$C:$C,'custody caseload'!$T$71,'caseload data'!$B:$B,"custody")</f>
        <v>0</v>
      </c>
      <c r="Y76" s="98">
        <f>SUMIFS('caseload data'!I:I,'caseload data'!$D:$D,"SPO",'caseload data'!$C:$C,'custody caseload'!$T$71,'caseload data'!$B:$B,"custody")</f>
        <v>0</v>
      </c>
      <c r="Z76" s="98">
        <f>SUMIFS('caseload data'!J:J,'caseload data'!$D:$D,"SPO",'caseload data'!$C:$C,'custody caseload'!$T$71,'caseload data'!$B:$B,"custody")</f>
        <v>0</v>
      </c>
      <c r="AA76" s="98">
        <f>SUMIFS('caseload data'!K:K,'caseload data'!$D:$D,"SPO",'caseload data'!$C:$C,'custody caseload'!$T$71,'caseload data'!$B:$B,"custody")</f>
        <v>0</v>
      </c>
      <c r="AB76" s="98">
        <f>SUMIFS('caseload data'!L:L,'caseload data'!$D:$D,"SPO",'caseload data'!$C:$C,'custody caseload'!$T$71,'caseload data'!$B:$B,"custody")</f>
        <v>0</v>
      </c>
      <c r="AC76" s="98">
        <f>SUMIFS('caseload data'!M:M,'caseload data'!$D:$D,"SPO",'caseload data'!$C:$C,'custody caseload'!$T$71,'caseload data'!$B:$B,"custody")</f>
        <v>0</v>
      </c>
      <c r="AD76" s="98">
        <f>SUMIFS('caseload data'!N:N,'caseload data'!$D:$D,"SPO",'caseload data'!$C:$C,'custody caseload'!$T$71,'caseload data'!$B:$B,"custody")</f>
        <v>0</v>
      </c>
      <c r="AE76" s="98">
        <f>SUMIFS('caseload data'!O:O,'caseload data'!$D:$D,"SPO",'caseload data'!$C:$C,'custody caseload'!$T$71,'caseload data'!$B:$B,"custody")</f>
        <v>0</v>
      </c>
      <c r="AF76" s="98">
        <f>SUMIFS('caseload data'!P:P,'caseload data'!$D:$D,"SPO",'caseload data'!$C:$C,'custody caseload'!$T$71,'caseload data'!$B:$B,"custody")</f>
        <v>0</v>
      </c>
      <c r="AG76" s="98">
        <f>SUMIFS('caseload data'!Q:Q,'caseload data'!$D:$D,"SPO",'caseload data'!$C:$C,'custody caseload'!$T$71,'caseload data'!$B:$B,"custody")</f>
        <v>0</v>
      </c>
      <c r="AH76" s="98">
        <f>SUMIFS('caseload data'!R:R,'caseload data'!$D:$D,"SPO",'caseload data'!$C:$C,'custody caseload'!$T$71,'caseload data'!$B:$B,"custody")</f>
        <v>0</v>
      </c>
      <c r="AI76" s="98">
        <f>SUMIFS('caseload data'!S:S,'caseload data'!$D:$D,"SPO",'caseload data'!$C:$C,'custody caseload'!$T$71,'caseload data'!$B:$B,"custody")</f>
        <v>0</v>
      </c>
      <c r="AJ76" s="98">
        <f>SUMIFS('caseload data'!T:T,'caseload data'!$D:$D,"SPO",'caseload data'!$C:$C,'custody caseload'!$T$71,'caseload data'!$B:$B,"custody")</f>
        <v>0</v>
      </c>
    </row>
    <row r="78" spans="2:36" ht="21.75" customHeight="1" x14ac:dyDescent="0.15">
      <c r="B78" s="150" t="str">
        <f>HLOOKUP($B$5,Region_Table,22,0)</f>
        <v>Tower Hamlets</v>
      </c>
      <c r="C78" s="475" t="s">
        <v>1305</v>
      </c>
      <c r="D78" s="476"/>
      <c r="E78" s="476"/>
      <c r="F78" s="476"/>
      <c r="G78" s="476"/>
      <c r="H78" s="476"/>
      <c r="I78" s="476"/>
      <c r="J78" s="476"/>
      <c r="K78" s="476"/>
      <c r="L78" s="476"/>
      <c r="M78" s="485"/>
      <c r="N78" s="485"/>
      <c r="O78" s="486"/>
      <c r="P78" s="462">
        <f>SUMIFS('caseload data'!V:V,'caseload data'!B:B,"custody",'caseload data'!$C:$C,'custody caseload'!B78)</f>
        <v>0</v>
      </c>
      <c r="Q78" s="479"/>
      <c r="R78" s="480"/>
      <c r="T78" s="150" t="str">
        <f>HLOOKUP($B$5,Region_Table,23,0)</f>
        <v>Unallocated Level 2(N07)</v>
      </c>
      <c r="U78" s="475" t="s">
        <v>1305</v>
      </c>
      <c r="V78" s="476"/>
      <c r="W78" s="476"/>
      <c r="X78" s="476"/>
      <c r="Y78" s="476"/>
      <c r="Z78" s="476"/>
      <c r="AA78" s="476"/>
      <c r="AB78" s="476"/>
      <c r="AC78" s="476"/>
      <c r="AD78" s="476"/>
      <c r="AE78" s="485"/>
      <c r="AF78" s="485"/>
      <c r="AG78" s="486"/>
      <c r="AH78" s="462">
        <f>SUMIFS('caseload data'!V:V,'caseload data'!B:B,"custody",'caseload data'!$C:$C,'custody caseload'!T78)</f>
        <v>0</v>
      </c>
      <c r="AI78" s="479"/>
      <c r="AJ78" s="480"/>
    </row>
    <row r="79" spans="2:36" x14ac:dyDescent="0.15">
      <c r="B79" s="99" t="s">
        <v>1171</v>
      </c>
      <c r="C79" s="40" t="s">
        <v>1022</v>
      </c>
      <c r="D79" s="40" t="s">
        <v>1023</v>
      </c>
      <c r="E79" s="40" t="s">
        <v>1024</v>
      </c>
      <c r="F79" s="40" t="s">
        <v>1025</v>
      </c>
      <c r="G79" s="40" t="s">
        <v>1026</v>
      </c>
      <c r="H79" s="40" t="s">
        <v>1027</v>
      </c>
      <c r="I79" s="40" t="s">
        <v>1028</v>
      </c>
      <c r="J79" s="40" t="s">
        <v>1029</v>
      </c>
      <c r="K79" s="40" t="s">
        <v>1030</v>
      </c>
      <c r="L79" s="40" t="s">
        <v>1031</v>
      </c>
      <c r="M79" s="40" t="s">
        <v>1032</v>
      </c>
      <c r="N79" s="40" t="s">
        <v>1033</v>
      </c>
      <c r="O79" s="40" t="s">
        <v>1034</v>
      </c>
      <c r="P79" s="40" t="s">
        <v>1035</v>
      </c>
      <c r="Q79" s="40" t="s">
        <v>1036</v>
      </c>
      <c r="R79" s="40" t="s">
        <v>1037</v>
      </c>
      <c r="T79" s="99" t="s">
        <v>1171</v>
      </c>
      <c r="U79" s="40" t="s">
        <v>1022</v>
      </c>
      <c r="V79" s="40" t="s">
        <v>1023</v>
      </c>
      <c r="W79" s="40" t="s">
        <v>1024</v>
      </c>
      <c r="X79" s="40" t="s">
        <v>1025</v>
      </c>
      <c r="Y79" s="40" t="s">
        <v>1026</v>
      </c>
      <c r="Z79" s="40" t="s">
        <v>1027</v>
      </c>
      <c r="AA79" s="40" t="s">
        <v>1028</v>
      </c>
      <c r="AB79" s="40" t="s">
        <v>1029</v>
      </c>
      <c r="AC79" s="40" t="s">
        <v>1030</v>
      </c>
      <c r="AD79" s="40" t="s">
        <v>1031</v>
      </c>
      <c r="AE79" s="40" t="s">
        <v>1032</v>
      </c>
      <c r="AF79" s="40" t="s">
        <v>1033</v>
      </c>
      <c r="AG79" s="40" t="s">
        <v>1034</v>
      </c>
      <c r="AH79" s="40" t="s">
        <v>1035</v>
      </c>
      <c r="AI79" s="40" t="s">
        <v>1036</v>
      </c>
      <c r="AJ79" s="40" t="s">
        <v>1037</v>
      </c>
    </row>
    <row r="80" spans="2:36" x14ac:dyDescent="0.15">
      <c r="B80" s="100" t="s">
        <v>1166</v>
      </c>
      <c r="C80" s="98">
        <f>SUMIFS('caseload data'!E:E,'caseload data'!$D:$D,"PO",'caseload data'!$C:$C,'custody caseload'!$B$78,'caseload data'!$B:$B,"custody")</f>
        <v>0</v>
      </c>
      <c r="D80" s="98">
        <f>SUMIFS('caseload data'!F:F,'caseload data'!$D:$D,"PO",'caseload data'!$C:$C,'custody caseload'!$B$78,'caseload data'!$B:$B,"custody")</f>
        <v>0</v>
      </c>
      <c r="E80" s="98">
        <f>SUMIFS('caseload data'!G:G,'caseload data'!$D:$D,"PO",'caseload data'!$C:$C,'custody caseload'!$B$78,'caseload data'!$B:$B,"custody")</f>
        <v>0</v>
      </c>
      <c r="F80" s="98">
        <f>SUMIFS('caseload data'!H:H,'caseload data'!$D:$D,"PO",'caseload data'!$C:$C,'custody caseload'!$B$78,'caseload data'!$B:$B,"custody")</f>
        <v>0</v>
      </c>
      <c r="G80" s="98">
        <f>SUMIFS('caseload data'!I:I,'caseload data'!$D:$D,"PO",'caseload data'!$C:$C,'custody caseload'!$B$78,'caseload data'!$B:$B,"custody")</f>
        <v>0</v>
      </c>
      <c r="H80" s="98">
        <f>SUMIFS('caseload data'!J:J,'caseload data'!$D:$D,"PO",'caseload data'!$C:$C,'custody caseload'!$B$78,'caseload data'!$B:$B,"custody")</f>
        <v>0</v>
      </c>
      <c r="I80" s="98">
        <f>SUMIFS('caseload data'!K:K,'caseload data'!$D:$D,"PO",'caseload data'!$C:$C,'custody caseload'!$B$78,'caseload data'!$B:$B,"custody")</f>
        <v>0</v>
      </c>
      <c r="J80" s="98">
        <f>SUMIFS('caseload data'!L:L,'caseload data'!$D:$D,"PO",'caseload data'!$C:$C,'custody caseload'!$B$78,'caseload data'!$B:$B,"custody")</f>
        <v>0</v>
      </c>
      <c r="K80" s="98">
        <f>SUMIFS('caseload data'!M:M,'caseload data'!$D:$D,"PO",'caseload data'!$C:$C,'custody caseload'!$B$78,'caseload data'!$B:$B,"custody")</f>
        <v>0</v>
      </c>
      <c r="L80" s="98">
        <f>SUMIFS('caseload data'!N:N,'caseload data'!$D:$D,"PO",'caseload data'!$C:$C,'custody caseload'!$B$78,'caseload data'!$B:$B,"custody")</f>
        <v>0</v>
      </c>
      <c r="M80" s="98">
        <f>SUMIFS('caseload data'!O:O,'caseload data'!$D:$D,"PO",'caseload data'!$C:$C,'custody caseload'!$B$78,'caseload data'!$B:$B,"custody")</f>
        <v>0</v>
      </c>
      <c r="N80" s="98">
        <f>SUMIFS('caseload data'!P:P,'caseload data'!$D:$D,"PO",'caseload data'!$C:$C,'custody caseload'!$B$78,'caseload data'!$B:$B,"custody")</f>
        <v>0</v>
      </c>
      <c r="O80" s="98">
        <f>SUMIFS('caseload data'!Q:Q,'caseload data'!$D:$D,"PO",'caseload data'!$C:$C,'custody caseload'!$B$78,'caseload data'!$B:$B,"custody")</f>
        <v>0</v>
      </c>
      <c r="P80" s="98">
        <f>SUMIFS('caseload data'!R:R,'caseload data'!$D:$D,"PO",'caseload data'!$C:$C,'custody caseload'!$B$78,'caseload data'!$B:$B,"custody")</f>
        <v>0</v>
      </c>
      <c r="Q80" s="98">
        <f>SUMIFS('caseload data'!S:S,'caseload data'!$D:$D,"PO",'caseload data'!$C:$C,'custody caseload'!$B$78,'caseload data'!$B:$B,"custody")</f>
        <v>0</v>
      </c>
      <c r="R80" s="98">
        <f>SUMIFS('caseload data'!T:T,'caseload data'!$D:$D,"PO",'caseload data'!$C:$C,'custody caseload'!$B$78,'caseload data'!$B:$B,"custody")</f>
        <v>0</v>
      </c>
      <c r="T80" s="100" t="s">
        <v>1166</v>
      </c>
      <c r="U80" s="98">
        <f>SUMIFS('caseload data'!E:E,'caseload data'!$D:$D,"PO",'caseload data'!$C:$C,'custody caseload'!$T$78,'caseload data'!$B:$B,"custody")</f>
        <v>0</v>
      </c>
      <c r="V80" s="98">
        <f>SUMIFS('caseload data'!F:F,'caseload data'!$D:$D,"PO",'caseload data'!$C:$C,'custody caseload'!$T$78,'caseload data'!$B:$B,"custody")</f>
        <v>0</v>
      </c>
      <c r="W80" s="98">
        <f>SUMIFS('caseload data'!G:G,'caseload data'!$D:$D,"PO",'caseload data'!$C:$C,'custody caseload'!$T$78,'caseload data'!$B:$B,"custody")</f>
        <v>0</v>
      </c>
      <c r="X80" s="98">
        <f>SUMIFS('caseload data'!H:H,'caseload data'!$D:$D,"PO",'caseload data'!$C:$C,'custody caseload'!$T$78,'caseload data'!$B:$B,"custody")</f>
        <v>0</v>
      </c>
      <c r="Y80" s="98">
        <f>SUMIFS('caseload data'!I:I,'caseload data'!$D:$D,"PO",'caseload data'!$C:$C,'custody caseload'!$T$78,'caseload data'!$B:$B,"custody")</f>
        <v>0</v>
      </c>
      <c r="Z80" s="98">
        <f>SUMIFS('caseload data'!J:J,'caseload data'!$D:$D,"PO",'caseload data'!$C:$C,'custody caseload'!$T$78,'caseload data'!$B:$B,"custody")</f>
        <v>0</v>
      </c>
      <c r="AA80" s="98">
        <f>SUMIFS('caseload data'!K:K,'caseload data'!$D:$D,"PO",'caseload data'!$C:$C,'custody caseload'!$T$78,'caseload data'!$B:$B,"custody")</f>
        <v>0</v>
      </c>
      <c r="AB80" s="98">
        <f>SUMIFS('caseload data'!L:L,'caseload data'!$D:$D,"PO",'caseload data'!$C:$C,'custody caseload'!$T$78,'caseload data'!$B:$B,"custody")</f>
        <v>0</v>
      </c>
      <c r="AC80" s="98">
        <f>SUMIFS('caseload data'!M:M,'caseload data'!$D:$D,"PO",'caseload data'!$C:$C,'custody caseload'!$T$78,'caseload data'!$B:$B,"custody")</f>
        <v>0</v>
      </c>
      <c r="AD80" s="98">
        <f>SUMIFS('caseload data'!N:N,'caseload data'!$D:$D,"PO",'caseload data'!$C:$C,'custody caseload'!$T$78,'caseload data'!$B:$B,"custody")</f>
        <v>0</v>
      </c>
      <c r="AE80" s="98">
        <f>SUMIFS('caseload data'!O:O,'caseload data'!$D:$D,"PO",'caseload data'!$C:$C,'custody caseload'!$T$78,'caseload data'!$B:$B,"custody")</f>
        <v>0</v>
      </c>
      <c r="AF80" s="98">
        <f>SUMIFS('caseload data'!P:P,'caseload data'!$D:$D,"PO",'caseload data'!$C:$C,'custody caseload'!$T$78,'caseload data'!$B:$B,"custody")</f>
        <v>0</v>
      </c>
      <c r="AG80" s="98">
        <f>SUMIFS('caseload data'!Q:Q,'caseload data'!$D:$D,"PO",'caseload data'!$C:$C,'custody caseload'!$T$78,'caseload data'!$B:$B,"custody")</f>
        <v>0</v>
      </c>
      <c r="AH80" s="98">
        <f>SUMIFS('caseload data'!R:R,'caseload data'!$D:$D,"PO",'caseload data'!$C:$C,'custody caseload'!$T$78,'caseload data'!$B:$B,"custody")</f>
        <v>0</v>
      </c>
      <c r="AI80" s="98">
        <f>SUMIFS('caseload data'!S:S,'caseload data'!$D:$D,"PO",'caseload data'!$C:$C,'custody caseload'!$T$78,'caseload data'!$B:$B,"custody")</f>
        <v>0</v>
      </c>
      <c r="AJ80" s="98">
        <f>SUMIFS('caseload data'!T:T,'caseload data'!$D:$D,"PO",'caseload data'!$C:$C,'custody caseload'!$T$78,'caseload data'!$B:$B,"custody")</f>
        <v>0</v>
      </c>
    </row>
    <row r="81" spans="2:36" ht="15" x14ac:dyDescent="0.2">
      <c r="B81" s="101" t="s">
        <v>1172</v>
      </c>
      <c r="C81" s="153">
        <f>SUMIFS('caseload data'!E:E,'caseload data'!$D:$D,"PSO",'caseload data'!$C:$C,'custody caseload'!$B$78,'caseload data'!$B:$B,"custody")</f>
        <v>0</v>
      </c>
      <c r="D81" s="153">
        <f>SUMIFS('caseload data'!F:F,'caseload data'!$D:$D,"PSO",'caseload data'!$C:$C,'custody caseload'!$B$78,'caseload data'!$B:$B,"custody")</f>
        <v>0</v>
      </c>
      <c r="E81" s="153">
        <f>SUMIFS('caseload data'!G:G,'caseload data'!$D:$D,"PSO",'caseload data'!$C:$C,'custody caseload'!$B$78,'caseload data'!$B:$B,"custody")</f>
        <v>0</v>
      </c>
      <c r="F81" s="153">
        <f>SUMIFS('caseload data'!H:H,'caseload data'!$D:$D,"PSO",'caseload data'!$C:$C,'custody caseload'!$B$78,'caseload data'!$B:$B,"custody")</f>
        <v>0</v>
      </c>
      <c r="G81" s="153">
        <f>SUMIFS('caseload data'!I:I,'caseload data'!$D:$D,"PSO",'caseload data'!$C:$C,'custody caseload'!$B$78,'caseload data'!$B:$B,"custody")</f>
        <v>0</v>
      </c>
      <c r="H81" s="153">
        <f>SUMIFS('caseload data'!J:J,'caseload data'!$D:$D,"PSO",'caseload data'!$C:$C,'custody caseload'!$B$78,'caseload data'!$B:$B,"custody")</f>
        <v>0</v>
      </c>
      <c r="I81" s="153">
        <f>SUMIFS('caseload data'!K:K,'caseload data'!$D:$D,"PSO",'caseload data'!$C:$C,'custody caseload'!$B$78,'caseload data'!$B:$B,"custody")</f>
        <v>0</v>
      </c>
      <c r="J81" s="153">
        <f>SUMIFS('caseload data'!L:L,'caseload data'!$D:$D,"PSO",'caseload data'!$C:$C,'custody caseload'!$B$78,'caseload data'!$B:$B,"custody")</f>
        <v>0</v>
      </c>
      <c r="K81" s="98">
        <f>SUMIFS('caseload data'!M:M,'caseload data'!$D:$D,"PSO",'caseload data'!$C:$C,'custody caseload'!$B$78,'caseload data'!$B:$B,"custody")</f>
        <v>0</v>
      </c>
      <c r="L81" s="98">
        <f>SUMIFS('caseload data'!N:N,'caseload data'!$D:$D,"PSO",'caseload data'!$C:$C,'custody caseload'!$B$78,'caseload data'!$B:$B,"custody")</f>
        <v>0</v>
      </c>
      <c r="M81" s="98">
        <f>SUMIFS('caseload data'!O:O,'caseload data'!$D:$D,"PSO",'caseload data'!$C:$C,'custody caseload'!$B$78,'caseload data'!$B:$B,"custody")</f>
        <v>0</v>
      </c>
      <c r="N81" s="98">
        <f>SUMIFS('caseload data'!P:P,'caseload data'!$D:$D,"PSO",'caseload data'!$C:$C,'custody caseload'!$B$78,'caseload data'!$B:$B,"custody")</f>
        <v>0</v>
      </c>
      <c r="O81" s="98">
        <f>SUMIFS('caseload data'!Q:Q,'caseload data'!$D:$D,"PSO",'caseload data'!$C:$C,'custody caseload'!$B$78,'caseload data'!$B:$B,"custody")</f>
        <v>0</v>
      </c>
      <c r="P81" s="98">
        <f>SUMIFS('caseload data'!R:R,'caseload data'!$D:$D,"PSO",'caseload data'!$C:$C,'custody caseload'!$B$78,'caseload data'!$B:$B,"custody")</f>
        <v>0</v>
      </c>
      <c r="Q81" s="98">
        <f>SUMIFS('caseload data'!S:S,'caseload data'!$D:$D,"PSO",'caseload data'!$C:$C,'custody caseload'!$B$78,'caseload data'!$B:$B,"custody")</f>
        <v>0</v>
      </c>
      <c r="R81" s="98">
        <f>SUMIFS('caseload data'!T:T,'caseload data'!$D:$D,"PSO",'caseload data'!$C:$C,'custody caseload'!$B$78,'caseload data'!$B:$B,"custody")</f>
        <v>0</v>
      </c>
      <c r="T81" s="101" t="s">
        <v>1172</v>
      </c>
      <c r="U81" s="153">
        <f>SUMIFS('caseload data'!E:E,'caseload data'!$D:$D,"PSO",'caseload data'!$C:$C,'custody caseload'!$T$78,'caseload data'!$B:$B,"custody")</f>
        <v>0</v>
      </c>
      <c r="V81" s="153">
        <f>SUMIFS('caseload data'!F:F,'caseload data'!$D:$D,"PSO",'caseload data'!$C:$C,'custody caseload'!$T$78,'caseload data'!$B:$B,"custody")</f>
        <v>0</v>
      </c>
      <c r="W81" s="153">
        <f>SUMIFS('caseload data'!G:G,'caseload data'!$D:$D,"PSO",'caseload data'!$C:$C,'custody caseload'!$T$78,'caseload data'!$B:$B,"custody")</f>
        <v>0</v>
      </c>
      <c r="X81" s="153">
        <f>SUMIFS('caseload data'!H:H,'caseload data'!$D:$D,"PSO",'caseload data'!$C:$C,'custody caseload'!$T$78,'caseload data'!$B:$B,"custody")</f>
        <v>0</v>
      </c>
      <c r="Y81" s="153">
        <f>SUMIFS('caseload data'!I:I,'caseload data'!$D:$D,"PSO",'caseload data'!$C:$C,'custody caseload'!$T$78,'caseload data'!$B:$B,"custody")</f>
        <v>0</v>
      </c>
      <c r="Z81" s="153">
        <f>SUMIFS('caseload data'!J:J,'caseload data'!$D:$D,"PSO",'caseload data'!$C:$C,'custody caseload'!$T$78,'caseload data'!$B:$B,"custody")</f>
        <v>0</v>
      </c>
      <c r="AA81" s="153">
        <f>SUMIFS('caseload data'!K:K,'caseload data'!$D:$D,"PSO",'caseload data'!$C:$C,'custody caseload'!$T$78,'caseload data'!$B:$B,"custody")</f>
        <v>0</v>
      </c>
      <c r="AB81" s="153">
        <f>SUMIFS('caseload data'!L:L,'caseload data'!$D:$D,"PSO",'caseload data'!$C:$C,'custody caseload'!$T$78,'caseload data'!$B:$B,"custody")</f>
        <v>0</v>
      </c>
      <c r="AC81" s="98">
        <f>SUMIFS('caseload data'!M:M,'caseload data'!$D:$D,"PSO",'caseload data'!$C:$C,'custody caseload'!$T$78,'caseload data'!$B:$B,"custody")</f>
        <v>0</v>
      </c>
      <c r="AD81" s="98">
        <f>SUMIFS('caseload data'!N:N,'caseload data'!$D:$D,"PSO",'caseload data'!$C:$C,'custody caseload'!$T$78,'caseload data'!$B:$B,"custody")</f>
        <v>0</v>
      </c>
      <c r="AE81" s="98">
        <f>SUMIFS('caseload data'!O:O,'caseload data'!$D:$D,"PSO",'caseload data'!$C:$C,'custody caseload'!$T$78,'caseload data'!$B:$B,"custody")</f>
        <v>0</v>
      </c>
      <c r="AF81" s="98">
        <f>SUMIFS('caseload data'!P:P,'caseload data'!$D:$D,"PSO",'caseload data'!$C:$C,'custody caseload'!$T$78,'caseload data'!$B:$B,"custody")</f>
        <v>0</v>
      </c>
      <c r="AG81" s="98">
        <f>SUMIFS('caseload data'!Q:Q,'caseload data'!$D:$D,"PSO",'caseload data'!$C:$C,'custody caseload'!$T$78,'caseload data'!$B:$B,"custody")</f>
        <v>0</v>
      </c>
      <c r="AH81" s="98">
        <f>SUMIFS('caseload data'!R:R,'caseload data'!$D:$D,"PSO",'caseload data'!$C:$C,'custody caseload'!$T$78,'caseload data'!$B:$B,"custody")</f>
        <v>0</v>
      </c>
      <c r="AI81" s="98">
        <f>SUMIFS('caseload data'!S:S,'caseload data'!$D:$D,"PSO",'caseload data'!$C:$C,'custody caseload'!$T$78,'caseload data'!$B:$B,"custody")</f>
        <v>0</v>
      </c>
      <c r="AJ81" s="98">
        <f>SUMIFS('caseload data'!T:T,'caseload data'!$D:$D,"PSO",'caseload data'!$C:$C,'custody caseload'!$T$78,'caseload data'!$B:$B,"custody")</f>
        <v>0</v>
      </c>
    </row>
    <row r="82" spans="2:36" ht="15" x14ac:dyDescent="0.2">
      <c r="B82" s="101" t="s">
        <v>1173</v>
      </c>
      <c r="C82" s="153">
        <f>SUMIFS('caseload data'!E:E,'caseload data'!$D:$D,"TPO",'caseload data'!$C:$C,'custody caseload'!$B$78,'caseload data'!$B:$B,"custody")</f>
        <v>0</v>
      </c>
      <c r="D82" s="153">
        <f>SUMIFS('caseload data'!F:F,'caseload data'!$D:$D,"TPO",'caseload data'!$C:$C,'custody caseload'!$B$78,'caseload data'!$B:$B,"custody")</f>
        <v>0</v>
      </c>
      <c r="E82" s="153">
        <f>SUMIFS('caseload data'!G:G,'caseload data'!$D:$D,"TPO",'caseload data'!$C:$C,'custody caseload'!$B$78,'caseload data'!$B:$B,"custody")</f>
        <v>0</v>
      </c>
      <c r="F82" s="153">
        <f>SUMIFS('caseload data'!H:H,'caseload data'!$D:$D,"TPO",'caseload data'!$C:$C,'custody caseload'!$B$78,'caseload data'!$B:$B,"custody")</f>
        <v>0</v>
      </c>
      <c r="G82" s="153">
        <f>SUMIFS('caseload data'!I:I,'caseload data'!$D:$D,"TPO",'caseload data'!$C:$C,'custody caseload'!$B$78,'caseload data'!$B:$B,"custody")</f>
        <v>0</v>
      </c>
      <c r="H82" s="153">
        <f>SUMIFS('caseload data'!J:J,'caseload data'!$D:$D,"TPO",'caseload data'!$C:$C,'custody caseload'!$B$78,'caseload data'!$B:$B,"custody")</f>
        <v>0</v>
      </c>
      <c r="I82" s="153">
        <f>SUMIFS('caseload data'!K:K,'caseload data'!$D:$D,"TPO",'caseload data'!$C:$C,'custody caseload'!$B$78,'caseload data'!$B:$B,"custody")</f>
        <v>0</v>
      </c>
      <c r="J82" s="153">
        <f>SUMIFS('caseload data'!L:L,'caseload data'!$D:$D,"TPO",'caseload data'!$C:$C,'custody caseload'!$B$78,'caseload data'!$B:$B,"custody")</f>
        <v>0</v>
      </c>
      <c r="K82" s="98">
        <f>SUMIFS('caseload data'!M:M,'caseload data'!$D:$D,"TPO",'caseload data'!$C:$C,'custody caseload'!$B$78,'caseload data'!$B:$B,"custody")</f>
        <v>0</v>
      </c>
      <c r="L82" s="98">
        <f>SUMIFS('caseload data'!N:N,'caseload data'!$D:$D,"TPO",'caseload data'!$C:$C,'custody caseload'!$B$78,'caseload data'!$B:$B,"custody")</f>
        <v>0</v>
      </c>
      <c r="M82" s="98">
        <f>SUMIFS('caseload data'!O:O,'caseload data'!$D:$D,"TPO",'caseload data'!$C:$C,'custody caseload'!$B$78,'caseload data'!$B:$B,"custody")</f>
        <v>0</v>
      </c>
      <c r="N82" s="98">
        <f>SUMIFS('caseload data'!P:P,'caseload data'!$D:$D,"TPO",'caseload data'!$C:$C,'custody caseload'!$B$78,'caseload data'!$B:$B,"custody")</f>
        <v>0</v>
      </c>
      <c r="O82" s="98">
        <f>SUMIFS('caseload data'!Q:Q,'caseload data'!$D:$D,"TPO",'caseload data'!$C:$C,'custody caseload'!$B$78,'caseload data'!$B:$B,"custody")</f>
        <v>0</v>
      </c>
      <c r="P82" s="98">
        <f>SUMIFS('caseload data'!R:R,'caseload data'!$D:$D,"TPO",'caseload data'!$C:$C,'custody caseload'!$B$78,'caseload data'!$B:$B,"custody")</f>
        <v>0</v>
      </c>
      <c r="Q82" s="98">
        <f>SUMIFS('caseload data'!S:S,'caseload data'!$D:$D,"TPO",'caseload data'!$C:$C,'custody caseload'!$B$78,'caseload data'!$B:$B,"custody")</f>
        <v>0</v>
      </c>
      <c r="R82" s="98">
        <f>SUMIFS('caseload data'!T:T,'caseload data'!$D:$D,"TPO",'caseload data'!$C:$C,'custody caseload'!$B$78,'caseload data'!$B:$B,"custody")</f>
        <v>0</v>
      </c>
      <c r="T82" s="101" t="s">
        <v>1173</v>
      </c>
      <c r="U82" s="153">
        <f>SUMIFS('caseload data'!E:E,'caseload data'!$D:$D,"TPO",'caseload data'!$C:$C,'custody caseload'!$T$78,'caseload data'!$B:$B,"custody")</f>
        <v>0</v>
      </c>
      <c r="V82" s="153">
        <f>SUMIFS('caseload data'!F:F,'caseload data'!$D:$D,"TPO",'caseload data'!$C:$C,'custody caseload'!$T$78,'caseload data'!$B:$B,"custody")</f>
        <v>0</v>
      </c>
      <c r="W82" s="153">
        <f>SUMIFS('caseload data'!G:G,'caseload data'!$D:$D,"TPO",'caseload data'!$C:$C,'custody caseload'!$T$78,'caseload data'!$B:$B,"custody")</f>
        <v>0</v>
      </c>
      <c r="X82" s="153">
        <f>SUMIFS('caseload data'!H:H,'caseload data'!$D:$D,"TPO",'caseload data'!$C:$C,'custody caseload'!$T$78,'caseload data'!$B:$B,"custody")</f>
        <v>0</v>
      </c>
      <c r="Y82" s="153">
        <f>SUMIFS('caseload data'!I:I,'caseload data'!$D:$D,"TPO",'caseload data'!$C:$C,'custody caseload'!$T$78,'caseload data'!$B:$B,"custody")</f>
        <v>0</v>
      </c>
      <c r="Z82" s="153">
        <f>SUMIFS('caseload data'!J:J,'caseload data'!$D:$D,"TPO",'caseload data'!$C:$C,'custody caseload'!$T$78,'caseload data'!$B:$B,"custody")</f>
        <v>0</v>
      </c>
      <c r="AA82" s="153">
        <f>SUMIFS('caseload data'!K:K,'caseload data'!$D:$D,"TPO",'caseload data'!$C:$C,'custody caseload'!$T$78,'caseload data'!$B:$B,"custody")</f>
        <v>0</v>
      </c>
      <c r="AB82" s="153">
        <f>SUMIFS('caseload data'!L:L,'caseload data'!$D:$D,"TPO",'caseload data'!$C:$C,'custody caseload'!$T$78,'caseload data'!$B:$B,"custody")</f>
        <v>0</v>
      </c>
      <c r="AC82" s="98">
        <f>SUMIFS('caseload data'!M:M,'caseload data'!$D:$D,"TPO",'caseload data'!$C:$C,'custody caseload'!$T$78,'caseload data'!$B:$B,"custody")</f>
        <v>0</v>
      </c>
      <c r="AD82" s="98">
        <f>SUMIFS('caseload data'!N:N,'caseload data'!$D:$D,"TPO",'caseload data'!$C:$C,'custody caseload'!$T$78,'caseload data'!$B:$B,"custody")</f>
        <v>0</v>
      </c>
      <c r="AE82" s="98">
        <f>SUMIFS('caseload data'!O:O,'caseload data'!$D:$D,"TPO",'caseload data'!$C:$C,'custody caseload'!$T$78,'caseload data'!$B:$B,"custody")</f>
        <v>0</v>
      </c>
      <c r="AF82" s="98">
        <f>SUMIFS('caseload data'!P:P,'caseload data'!$D:$D,"TPO",'caseload data'!$C:$C,'custody caseload'!$T$78,'caseload data'!$B:$B,"custody")</f>
        <v>0</v>
      </c>
      <c r="AG82" s="98">
        <f>SUMIFS('caseload data'!Q:Q,'caseload data'!$D:$D,"TPO",'caseload data'!$C:$C,'custody caseload'!$T$78,'caseload data'!$B:$B,"custody")</f>
        <v>0</v>
      </c>
      <c r="AH82" s="98">
        <f>SUMIFS('caseload data'!R:R,'caseload data'!$D:$D,"TPO",'caseload data'!$C:$C,'custody caseload'!$T$78,'caseload data'!$B:$B,"custody")</f>
        <v>0</v>
      </c>
      <c r="AI82" s="98">
        <f>SUMIFS('caseload data'!S:S,'caseload data'!$D:$D,"TPO",'caseload data'!$C:$C,'custody caseload'!$T$78,'caseload data'!$B:$B,"custody")</f>
        <v>0</v>
      </c>
      <c r="AJ82" s="98">
        <f>SUMIFS('caseload data'!T:T,'caseload data'!$D:$D,"TPO",'caseload data'!$C:$C,'custody caseload'!$T$78,'caseload data'!$B:$B,"custody")</f>
        <v>0</v>
      </c>
    </row>
    <row r="83" spans="2:36" x14ac:dyDescent="0.15">
      <c r="B83" s="102" t="s">
        <v>1174</v>
      </c>
      <c r="C83" s="98">
        <f>SUMIFS('caseload data'!E:E,'caseload data'!$D:$D,"SPO",'caseload data'!$C:$C,'custody caseload'!$B$78,'caseload data'!$B:$B,"custody")</f>
        <v>0</v>
      </c>
      <c r="D83" s="98">
        <f>SUMIFS('caseload data'!F:F,'caseload data'!$D:$D,"SPO",'caseload data'!$C:$C,'custody caseload'!$B$78,'caseload data'!$B:$B,"custody")</f>
        <v>0</v>
      </c>
      <c r="E83" s="98">
        <f>SUMIFS('caseload data'!G:G,'caseload data'!$D:$D,"SPO",'caseload data'!$C:$C,'custody caseload'!$B$78,'caseload data'!$B:$B,"custody")</f>
        <v>0</v>
      </c>
      <c r="F83" s="98">
        <f>SUMIFS('caseload data'!H:H,'caseload data'!$D:$D,"SPO",'caseload data'!$C:$C,'custody caseload'!$B$78,'caseload data'!$B:$B,"custody")</f>
        <v>0</v>
      </c>
      <c r="G83" s="98">
        <f>SUMIFS('caseload data'!I:I,'caseload data'!$D:$D,"SPO",'caseload data'!$C:$C,'custody caseload'!$B$78,'caseload data'!$B:$B,"custody")</f>
        <v>0</v>
      </c>
      <c r="H83" s="98">
        <f>SUMIFS('caseload data'!J:J,'caseload data'!$D:$D,"SPO",'caseload data'!$C:$C,'custody caseload'!$B$78,'caseload data'!$B:$B,"custody")</f>
        <v>0</v>
      </c>
      <c r="I83" s="98">
        <f>SUMIFS('caseload data'!K:K,'caseload data'!$D:$D,"SPO",'caseload data'!$C:$C,'custody caseload'!$B$78,'caseload data'!$B:$B,"custody")</f>
        <v>0</v>
      </c>
      <c r="J83" s="98">
        <f>SUMIFS('caseload data'!L:L,'caseload data'!$D:$D,"SPO",'caseload data'!$C:$C,'custody caseload'!$B$78,'caseload data'!$B:$B,"custody")</f>
        <v>0</v>
      </c>
      <c r="K83" s="98">
        <f>SUMIFS('caseload data'!M:M,'caseload data'!$D:$D,"SPO",'caseload data'!$C:$C,'custody caseload'!$B$78,'caseload data'!$B:$B,"custody")</f>
        <v>0</v>
      </c>
      <c r="L83" s="98">
        <f>SUMIFS('caseload data'!N:N,'caseload data'!$D:$D,"SPO",'caseload data'!$C:$C,'custody caseload'!$B$78,'caseload data'!$B:$B,"custody")</f>
        <v>0</v>
      </c>
      <c r="M83" s="98">
        <f>SUMIFS('caseload data'!O:O,'caseload data'!$D:$D,"SPO",'caseload data'!$C:$C,'custody caseload'!$B$78,'caseload data'!$B:$B,"custody")</f>
        <v>0</v>
      </c>
      <c r="N83" s="98">
        <f>SUMIFS('caseload data'!P:P,'caseload data'!$D:$D,"SPO",'caseload data'!$C:$C,'custody caseload'!$B$78,'caseload data'!$B:$B,"custody")</f>
        <v>0</v>
      </c>
      <c r="O83" s="98">
        <f>SUMIFS('caseload data'!Q:Q,'caseload data'!$D:$D,"SPO",'caseload data'!$C:$C,'custody caseload'!$B$78,'caseload data'!$B:$B,"custody")</f>
        <v>0</v>
      </c>
      <c r="P83" s="98">
        <f>SUMIFS('caseload data'!R:R,'caseload data'!$D:$D,"SPO",'caseload data'!$C:$C,'custody caseload'!$B$78,'caseload data'!$B:$B,"custody")</f>
        <v>0</v>
      </c>
      <c r="Q83" s="98">
        <f>SUMIFS('caseload data'!S:S,'caseload data'!$D:$D,"SPO",'caseload data'!$C:$C,'custody caseload'!$B$78,'caseload data'!$B:$B,"custody")</f>
        <v>0</v>
      </c>
      <c r="R83" s="98">
        <f>SUMIFS('caseload data'!T:T,'caseload data'!$D:$D,"SPO",'caseload data'!$C:$C,'custody caseload'!$B$78,'caseload data'!$B:$B,"custody")</f>
        <v>0</v>
      </c>
      <c r="T83" s="102" t="s">
        <v>1174</v>
      </c>
      <c r="U83" s="98">
        <f>SUMIFS('caseload data'!E:E,'caseload data'!$D:$D,"SPO",'caseload data'!$C:$C,'custody caseload'!$T$78,'caseload data'!$B:$B,"custody")</f>
        <v>0</v>
      </c>
      <c r="V83" s="98">
        <f>SUMIFS('caseload data'!F:F,'caseload data'!$D:$D,"SPO",'caseload data'!$C:$C,'custody caseload'!$T$78,'caseload data'!$B:$B,"custody")</f>
        <v>0</v>
      </c>
      <c r="W83" s="98">
        <f>SUMIFS('caseload data'!G:G,'caseload data'!$D:$D,"SPO",'caseload data'!$C:$C,'custody caseload'!$T$78,'caseload data'!$B:$B,"custody")</f>
        <v>0</v>
      </c>
      <c r="X83" s="98">
        <f>SUMIFS('caseload data'!H:H,'caseload data'!$D:$D,"SPO",'caseload data'!$C:$C,'custody caseload'!$T$78,'caseload data'!$B:$B,"custody")</f>
        <v>0</v>
      </c>
      <c r="Y83" s="98">
        <f>SUMIFS('caseload data'!I:I,'caseload data'!$D:$D,"SPO",'caseload data'!$C:$C,'custody caseload'!$T$78,'caseload data'!$B:$B,"custody")</f>
        <v>0</v>
      </c>
      <c r="Z83" s="98">
        <f>SUMIFS('caseload data'!J:J,'caseload data'!$D:$D,"SPO",'caseload data'!$C:$C,'custody caseload'!$T$78,'caseload data'!$B:$B,"custody")</f>
        <v>0</v>
      </c>
      <c r="AA83" s="98">
        <f>SUMIFS('caseload data'!K:K,'caseload data'!$D:$D,"SPO",'caseload data'!$C:$C,'custody caseload'!$T$78,'caseload data'!$B:$B,"custody")</f>
        <v>0</v>
      </c>
      <c r="AB83" s="98">
        <f>SUMIFS('caseload data'!L:L,'caseload data'!$D:$D,"SPO",'caseload data'!$C:$C,'custody caseload'!$T$78,'caseload data'!$B:$B,"custody")</f>
        <v>0</v>
      </c>
      <c r="AC83" s="98">
        <f>SUMIFS('caseload data'!M:M,'caseload data'!$D:$D,"SPO",'caseload data'!$C:$C,'custody caseload'!$T$78,'caseload data'!$B:$B,"custody")</f>
        <v>0</v>
      </c>
      <c r="AD83" s="98">
        <f>SUMIFS('caseload data'!N:N,'caseload data'!$D:$D,"SPO",'caseload data'!$C:$C,'custody caseload'!$T$78,'caseload data'!$B:$B,"custody")</f>
        <v>0</v>
      </c>
      <c r="AE83" s="98">
        <f>SUMIFS('caseload data'!O:O,'caseload data'!$D:$D,"SPO",'caseload data'!$C:$C,'custody caseload'!$T$78,'caseload data'!$B:$B,"custody")</f>
        <v>0</v>
      </c>
      <c r="AF83" s="98">
        <f>SUMIFS('caseload data'!P:P,'caseload data'!$D:$D,"SPO",'caseload data'!$C:$C,'custody caseload'!$T$78,'caseload data'!$B:$B,"custody")</f>
        <v>0</v>
      </c>
      <c r="AG83" s="98">
        <f>SUMIFS('caseload data'!Q:Q,'caseload data'!$D:$D,"SPO",'caseload data'!$C:$C,'custody caseload'!$T$78,'caseload data'!$B:$B,"custody")</f>
        <v>0</v>
      </c>
      <c r="AH83" s="98">
        <f>SUMIFS('caseload data'!R:R,'caseload data'!$D:$D,"SPO",'caseload data'!$C:$C,'custody caseload'!$T$78,'caseload data'!$B:$B,"custody")</f>
        <v>0</v>
      </c>
      <c r="AI83" s="98">
        <f>SUMIFS('caseload data'!S:S,'caseload data'!$D:$D,"SPO",'caseload data'!$C:$C,'custody caseload'!$T$78,'caseload data'!$B:$B,"custody")</f>
        <v>0</v>
      </c>
      <c r="AJ83" s="98">
        <f>SUMIFS('caseload data'!T:T,'caseload data'!$D:$D,"SPO",'caseload data'!$C:$C,'custody caseload'!$T$78,'caseload data'!$B:$B,"custody")</f>
        <v>0</v>
      </c>
    </row>
    <row r="85" spans="2:36" ht="21.75" customHeight="1" x14ac:dyDescent="0.15">
      <c r="B85" s="150" t="str">
        <f>HLOOKUP($B$5,Region_Table,24,0)</f>
        <v>Unpaid Work and Attendance Centres - N07</v>
      </c>
      <c r="C85" s="475" t="s">
        <v>1305</v>
      </c>
      <c r="D85" s="476"/>
      <c r="E85" s="476"/>
      <c r="F85" s="476"/>
      <c r="G85" s="476"/>
      <c r="H85" s="476"/>
      <c r="I85" s="476"/>
      <c r="J85" s="476"/>
      <c r="K85" s="476"/>
      <c r="L85" s="476"/>
      <c r="M85" s="485"/>
      <c r="N85" s="485"/>
      <c r="O85" s="486"/>
      <c r="P85" s="462">
        <f>SUMIFS('caseload data'!V:V,'caseload data'!B:B,"custody",'caseload data'!$C:$C,'custody caseload'!B85)</f>
        <v>0</v>
      </c>
      <c r="Q85" s="479"/>
      <c r="R85" s="480"/>
      <c r="T85" s="150" t="str">
        <f>HLOOKUP($B$5,Region_Table,25,0)</f>
        <v>Wandsworth, Merton and Sutton</v>
      </c>
      <c r="U85" s="475" t="s">
        <v>1305</v>
      </c>
      <c r="V85" s="476"/>
      <c r="W85" s="476"/>
      <c r="X85" s="476"/>
      <c r="Y85" s="476"/>
      <c r="Z85" s="476"/>
      <c r="AA85" s="476"/>
      <c r="AB85" s="476"/>
      <c r="AC85" s="476"/>
      <c r="AD85" s="476"/>
      <c r="AE85" s="485"/>
      <c r="AF85" s="485"/>
      <c r="AG85" s="486"/>
      <c r="AH85" s="462">
        <f>SUMIFS('caseload data'!V:V,'caseload data'!B:B,"custody",'caseload data'!$C:$C,'custody caseload'!T85)</f>
        <v>0</v>
      </c>
      <c r="AI85" s="479"/>
      <c r="AJ85" s="480"/>
    </row>
    <row r="86" spans="2:36" x14ac:dyDescent="0.15">
      <c r="B86" s="99" t="s">
        <v>1171</v>
      </c>
      <c r="C86" s="40" t="s">
        <v>1022</v>
      </c>
      <c r="D86" s="40" t="s">
        <v>1023</v>
      </c>
      <c r="E86" s="40" t="s">
        <v>1024</v>
      </c>
      <c r="F86" s="40" t="s">
        <v>1025</v>
      </c>
      <c r="G86" s="40" t="s">
        <v>1026</v>
      </c>
      <c r="H86" s="40" t="s">
        <v>1027</v>
      </c>
      <c r="I86" s="40" t="s">
        <v>1028</v>
      </c>
      <c r="J86" s="40" t="s">
        <v>1029</v>
      </c>
      <c r="K86" s="40" t="s">
        <v>1030</v>
      </c>
      <c r="L86" s="40" t="s">
        <v>1031</v>
      </c>
      <c r="M86" s="40" t="s">
        <v>1032</v>
      </c>
      <c r="N86" s="40" t="s">
        <v>1033</v>
      </c>
      <c r="O86" s="40" t="s">
        <v>1034</v>
      </c>
      <c r="P86" s="40" t="s">
        <v>1035</v>
      </c>
      <c r="Q86" s="40" t="s">
        <v>1036</v>
      </c>
      <c r="R86" s="40" t="s">
        <v>1037</v>
      </c>
      <c r="T86" s="99" t="s">
        <v>1171</v>
      </c>
      <c r="U86" s="40" t="s">
        <v>1022</v>
      </c>
      <c r="V86" s="40" t="s">
        <v>1023</v>
      </c>
      <c r="W86" s="40" t="s">
        <v>1024</v>
      </c>
      <c r="X86" s="40" t="s">
        <v>1025</v>
      </c>
      <c r="Y86" s="40" t="s">
        <v>1026</v>
      </c>
      <c r="Z86" s="40" t="s">
        <v>1027</v>
      </c>
      <c r="AA86" s="40" t="s">
        <v>1028</v>
      </c>
      <c r="AB86" s="40" t="s">
        <v>1029</v>
      </c>
      <c r="AC86" s="40" t="s">
        <v>1030</v>
      </c>
      <c r="AD86" s="40" t="s">
        <v>1031</v>
      </c>
      <c r="AE86" s="40" t="s">
        <v>1032</v>
      </c>
      <c r="AF86" s="40" t="s">
        <v>1033</v>
      </c>
      <c r="AG86" s="40" t="s">
        <v>1034</v>
      </c>
      <c r="AH86" s="40" t="s">
        <v>1035</v>
      </c>
      <c r="AI86" s="40" t="s">
        <v>1036</v>
      </c>
      <c r="AJ86" s="40" t="s">
        <v>1037</v>
      </c>
    </row>
    <row r="87" spans="2:36" x14ac:dyDescent="0.15">
      <c r="B87" s="100" t="s">
        <v>1166</v>
      </c>
      <c r="C87" s="98">
        <f>SUMIFS('caseload data'!E:E,'caseload data'!$D:$D,"PO",'caseload data'!$C:$C,'custody caseload'!$B$85,'caseload data'!$B:$B,"custody")</f>
        <v>0</v>
      </c>
      <c r="D87" s="98">
        <f>SUMIFS('caseload data'!F:F,'caseload data'!$D:$D,"PO",'caseload data'!$C:$C,'custody caseload'!$B$85,'caseload data'!$B:$B,"custody")</f>
        <v>0</v>
      </c>
      <c r="E87" s="98">
        <f>SUMIFS('caseload data'!G:G,'caseload data'!$D:$D,"PO",'caseload data'!$C:$C,'custody caseload'!$B$85,'caseload data'!$B:$B,"custody")</f>
        <v>0</v>
      </c>
      <c r="F87" s="98">
        <f>SUMIFS('caseload data'!H:H,'caseload data'!$D:$D,"PO",'caseload data'!$C:$C,'custody caseload'!$B$85,'caseload data'!$B:$B,"custody")</f>
        <v>0</v>
      </c>
      <c r="G87" s="98">
        <f>SUMIFS('caseload data'!I:I,'caseload data'!$D:$D,"PO",'caseload data'!$C:$C,'custody caseload'!$B$85,'caseload data'!$B:$B,"custody")</f>
        <v>0</v>
      </c>
      <c r="H87" s="98">
        <f>SUMIFS('caseload data'!J:J,'caseload data'!$D:$D,"PO",'caseload data'!$C:$C,'custody caseload'!$B$85,'caseload data'!$B:$B,"custody")</f>
        <v>0</v>
      </c>
      <c r="I87" s="98">
        <f>SUMIFS('caseload data'!K:K,'caseload data'!$D:$D,"PO",'caseload data'!$C:$C,'custody caseload'!$B$85,'caseload data'!$B:$B,"custody")</f>
        <v>0</v>
      </c>
      <c r="J87" s="98">
        <f>SUMIFS('caseload data'!L:L,'caseload data'!$D:$D,"PO",'caseload data'!$C:$C,'custody caseload'!$B$85,'caseload data'!$B:$B,"custody")</f>
        <v>0</v>
      </c>
      <c r="K87" s="98">
        <f>SUMIFS('caseload data'!M:M,'caseload data'!$D:$D,"PO",'caseload data'!$C:$C,'custody caseload'!$B$85,'caseload data'!$B:$B,"custody")</f>
        <v>0</v>
      </c>
      <c r="L87" s="98">
        <f>SUMIFS('caseload data'!N:N,'caseload data'!$D:$D,"PO",'caseload data'!$C:$C,'custody caseload'!$B$85,'caseload data'!$B:$B,"custody")</f>
        <v>0</v>
      </c>
      <c r="M87" s="98">
        <f>SUMIFS('caseload data'!O:O,'caseload data'!$D:$D,"PO",'caseload data'!$C:$C,'custody caseload'!$B$85,'caseload data'!$B:$B,"custody")</f>
        <v>0</v>
      </c>
      <c r="N87" s="98">
        <f>SUMIFS('caseload data'!P:P,'caseload data'!$D:$D,"PO",'caseload data'!$C:$C,'custody caseload'!$B$85,'caseload data'!$B:$B,"custody")</f>
        <v>0</v>
      </c>
      <c r="O87" s="98">
        <f>SUMIFS('caseload data'!Q:Q,'caseload data'!$D:$D,"PO",'caseload data'!$C:$C,'custody caseload'!$B$85,'caseload data'!$B:$B,"custody")</f>
        <v>0</v>
      </c>
      <c r="P87" s="98">
        <f>SUMIFS('caseload data'!R:R,'caseload data'!$D:$D,"PO",'caseload data'!$C:$C,'custody caseload'!$B$85,'caseload data'!$B:$B,"custody")</f>
        <v>0</v>
      </c>
      <c r="Q87" s="98">
        <f>SUMIFS('caseload data'!S:S,'caseload data'!$D:$D,"PO",'caseload data'!$C:$C,'custody caseload'!$B$85,'caseload data'!$B:$B,"custody")</f>
        <v>0</v>
      </c>
      <c r="R87" s="98">
        <f>SUMIFS('caseload data'!T:T,'caseload data'!$D:$D,"PO",'caseload data'!$C:$C,'custody caseload'!$B$85,'caseload data'!$B:$B,"custody")</f>
        <v>0</v>
      </c>
      <c r="T87" s="100" t="s">
        <v>1166</v>
      </c>
      <c r="U87" s="98">
        <f>SUMIFS('caseload data'!E:E,'caseload data'!$D:$D,"PO",'caseload data'!$C:$C,'custody caseload'!$T$85,'caseload data'!$B:$B,"custody")</f>
        <v>0</v>
      </c>
      <c r="V87" s="98">
        <f>SUMIFS('caseload data'!F:F,'caseload data'!$D:$D,"PO",'caseload data'!$C:$C,'custody caseload'!$T$85,'caseload data'!$B:$B,"custody")</f>
        <v>0</v>
      </c>
      <c r="W87" s="98">
        <f>SUMIFS('caseload data'!G:G,'caseload data'!$D:$D,"PO",'caseload data'!$C:$C,'custody caseload'!$T$85,'caseload data'!$B:$B,"custody")</f>
        <v>0</v>
      </c>
      <c r="X87" s="98">
        <f>SUMIFS('caseload data'!H:H,'caseload data'!$D:$D,"PO",'caseload data'!$C:$C,'custody caseload'!$T$85,'caseload data'!$B:$B,"custody")</f>
        <v>0</v>
      </c>
      <c r="Y87" s="98">
        <f>SUMIFS('caseload data'!I:I,'caseload data'!$D:$D,"PO",'caseload data'!$C:$C,'custody caseload'!$T$85,'caseload data'!$B:$B,"custody")</f>
        <v>0</v>
      </c>
      <c r="Z87" s="98">
        <f>SUMIFS('caseload data'!J:J,'caseload data'!$D:$D,"PO",'caseload data'!$C:$C,'custody caseload'!$T$85,'caseload data'!$B:$B,"custody")</f>
        <v>0</v>
      </c>
      <c r="AA87" s="98">
        <f>SUMIFS('caseload data'!K:K,'caseload data'!$D:$D,"PO",'caseload data'!$C:$C,'custody caseload'!$T$85,'caseload data'!$B:$B,"custody")</f>
        <v>0</v>
      </c>
      <c r="AB87" s="98">
        <f>SUMIFS('caseload data'!L:L,'caseload data'!$D:$D,"PO",'caseload data'!$C:$C,'custody caseload'!$T$85,'caseload data'!$B:$B,"custody")</f>
        <v>0</v>
      </c>
      <c r="AC87" s="98">
        <f>SUMIFS('caseload data'!M:M,'caseload data'!$D:$D,"PO",'caseload data'!$C:$C,'custody caseload'!$T$85,'caseload data'!$B:$B,"custody")</f>
        <v>0</v>
      </c>
      <c r="AD87" s="98">
        <f>SUMIFS('caseload data'!N:N,'caseload data'!$D:$D,"PO",'caseload data'!$C:$C,'custody caseload'!$T$85,'caseload data'!$B:$B,"custody")</f>
        <v>0</v>
      </c>
      <c r="AE87" s="98">
        <f>SUMIFS('caseload data'!O:O,'caseload data'!$D:$D,"PO",'caseload data'!$C:$C,'custody caseload'!$T$85,'caseload data'!$B:$B,"custody")</f>
        <v>0</v>
      </c>
      <c r="AF87" s="98">
        <f>SUMIFS('caseload data'!P:P,'caseload data'!$D:$D,"PO",'caseload data'!$C:$C,'custody caseload'!$T$85,'caseload data'!$B:$B,"custody")</f>
        <v>0</v>
      </c>
      <c r="AG87" s="98">
        <f>SUMIFS('caseload data'!Q:Q,'caseload data'!$D:$D,"PO",'caseload data'!$C:$C,'custody caseload'!$T$85,'caseload data'!$B:$B,"custody")</f>
        <v>0</v>
      </c>
      <c r="AH87" s="98">
        <f>SUMIFS('caseload data'!R:R,'caseload data'!$D:$D,"PO",'caseload data'!$C:$C,'custody caseload'!$T$85,'caseload data'!$B:$B,"custody")</f>
        <v>0</v>
      </c>
      <c r="AI87" s="98">
        <f>SUMIFS('caseload data'!S:S,'caseload data'!$D:$D,"PO",'caseload data'!$C:$C,'custody caseload'!$T$85,'caseload data'!$B:$B,"custody")</f>
        <v>0</v>
      </c>
      <c r="AJ87" s="98">
        <f>SUMIFS('caseload data'!T:T,'caseload data'!$D:$D,"PO",'caseload data'!$C:$C,'custody caseload'!$T$85,'caseload data'!$B:$B,"custody")</f>
        <v>0</v>
      </c>
    </row>
    <row r="88" spans="2:36" ht="15" x14ac:dyDescent="0.2">
      <c r="B88" s="101" t="s">
        <v>1172</v>
      </c>
      <c r="C88" s="153">
        <f>SUMIFS('caseload data'!E:E,'caseload data'!$D:$D,"PSO",'caseload data'!$C:$C,'custody caseload'!$B$85,'caseload data'!$B:$B,"custody")</f>
        <v>0</v>
      </c>
      <c r="D88" s="153">
        <f>SUMIFS('caseload data'!F:F,'caseload data'!$D:$D,"PSO",'caseload data'!$C:$C,'custody caseload'!$B$85,'caseload data'!$B:$B,"custody")</f>
        <v>0</v>
      </c>
      <c r="E88" s="153">
        <f>SUMIFS('caseload data'!G:G,'caseload data'!$D:$D,"PSO",'caseload data'!$C:$C,'custody caseload'!$B$85,'caseload data'!$B:$B,"custody")</f>
        <v>0</v>
      </c>
      <c r="F88" s="153">
        <f>SUMIFS('caseload data'!H:H,'caseload data'!$D:$D,"PSO",'caseload data'!$C:$C,'custody caseload'!$B$85,'caseload data'!$B:$B,"custody")</f>
        <v>0</v>
      </c>
      <c r="G88" s="153">
        <f>SUMIFS('caseload data'!I:I,'caseload data'!$D:$D,"PSO",'caseload data'!$C:$C,'custody caseload'!$B$85,'caseload data'!$B:$B,"custody")</f>
        <v>0</v>
      </c>
      <c r="H88" s="153">
        <f>SUMIFS('caseload data'!J:J,'caseload data'!$D:$D,"PSO",'caseload data'!$C:$C,'custody caseload'!$B$85,'caseload data'!$B:$B,"custody")</f>
        <v>0</v>
      </c>
      <c r="I88" s="153">
        <f>SUMIFS('caseload data'!K:K,'caseload data'!$D:$D,"PSO",'caseload data'!$C:$C,'custody caseload'!$B$85,'caseload data'!$B:$B,"custody")</f>
        <v>0</v>
      </c>
      <c r="J88" s="153">
        <f>SUMIFS('caseload data'!L:L,'caseload data'!$D:$D,"PSO",'caseload data'!$C:$C,'custody caseload'!$B$85,'caseload data'!$B:$B,"custody")</f>
        <v>0</v>
      </c>
      <c r="K88" s="98">
        <f>SUMIFS('caseload data'!M:M,'caseload data'!$D:$D,"PSO",'caseload data'!$C:$C,'custody caseload'!$B$85,'caseload data'!$B:$B,"custody")</f>
        <v>0</v>
      </c>
      <c r="L88" s="98">
        <f>SUMIFS('caseload data'!N:N,'caseload data'!$D:$D,"PSO",'caseload data'!$C:$C,'custody caseload'!$B$85,'caseload data'!$B:$B,"custody")</f>
        <v>0</v>
      </c>
      <c r="M88" s="98">
        <f>SUMIFS('caseload data'!O:O,'caseload data'!$D:$D,"PSO",'caseload data'!$C:$C,'custody caseload'!$B$85,'caseload data'!$B:$B,"custody")</f>
        <v>0</v>
      </c>
      <c r="N88" s="98">
        <f>SUMIFS('caseload data'!P:P,'caseload data'!$D:$D,"PSO",'caseload data'!$C:$C,'custody caseload'!$B$85,'caseload data'!$B:$B,"custody")</f>
        <v>0</v>
      </c>
      <c r="O88" s="98">
        <f>SUMIFS('caseload data'!Q:Q,'caseload data'!$D:$D,"PSO",'caseload data'!$C:$C,'custody caseload'!$B$85,'caseload data'!$B:$B,"custody")</f>
        <v>0</v>
      </c>
      <c r="P88" s="98">
        <f>SUMIFS('caseload data'!R:R,'caseload data'!$D:$D,"PSO",'caseload data'!$C:$C,'custody caseload'!$B$85,'caseload data'!$B:$B,"custody")</f>
        <v>0</v>
      </c>
      <c r="Q88" s="98">
        <f>SUMIFS('caseload data'!S:S,'caseload data'!$D:$D,"PSO",'caseload data'!$C:$C,'custody caseload'!$B$85,'caseload data'!$B:$B,"custody")</f>
        <v>0</v>
      </c>
      <c r="R88" s="98">
        <f>SUMIFS('caseload data'!T:T,'caseload data'!$D:$D,"PSO",'caseload data'!$C:$C,'custody caseload'!$B$85,'caseload data'!$B:$B,"custody")</f>
        <v>0</v>
      </c>
      <c r="T88" s="101" t="s">
        <v>1172</v>
      </c>
      <c r="U88" s="153">
        <f>SUMIFS('caseload data'!E:E,'caseload data'!$D:$D,"PSO",'caseload data'!$C:$C,'custody caseload'!$T$85,'caseload data'!$B:$B,"custody")</f>
        <v>0</v>
      </c>
      <c r="V88" s="153">
        <f>SUMIFS('caseload data'!F:F,'caseload data'!$D:$D,"PSO",'caseload data'!$C:$C,'custody caseload'!$T$85,'caseload data'!$B:$B,"custody")</f>
        <v>0</v>
      </c>
      <c r="W88" s="153">
        <f>SUMIFS('caseload data'!G:G,'caseload data'!$D:$D,"PSO",'caseload data'!$C:$C,'custody caseload'!$T$85,'caseload data'!$B:$B,"custody")</f>
        <v>0</v>
      </c>
      <c r="X88" s="153">
        <f>SUMIFS('caseload data'!H:H,'caseload data'!$D:$D,"PSO",'caseload data'!$C:$C,'custody caseload'!$T$85,'caseload data'!$B:$B,"custody")</f>
        <v>0</v>
      </c>
      <c r="Y88" s="153">
        <f>SUMIFS('caseload data'!I:I,'caseload data'!$D:$D,"PSO",'caseload data'!$C:$C,'custody caseload'!$T$85,'caseload data'!$B:$B,"custody")</f>
        <v>0</v>
      </c>
      <c r="Z88" s="153">
        <f>SUMIFS('caseload data'!J:J,'caseload data'!$D:$D,"PSO",'caseload data'!$C:$C,'custody caseload'!$T$85,'caseload data'!$B:$B,"custody")</f>
        <v>0</v>
      </c>
      <c r="AA88" s="153">
        <f>SUMIFS('caseload data'!K:K,'caseload data'!$D:$D,"PSO",'caseload data'!$C:$C,'custody caseload'!$T$85,'caseload data'!$B:$B,"custody")</f>
        <v>0</v>
      </c>
      <c r="AB88" s="153">
        <f>SUMIFS('caseload data'!L:L,'caseload data'!$D:$D,"PSO",'caseload data'!$C:$C,'custody caseload'!$T$85,'caseload data'!$B:$B,"custody")</f>
        <v>0</v>
      </c>
      <c r="AC88" s="98">
        <f>SUMIFS('caseload data'!M:M,'caseload data'!$D:$D,"PSO",'caseload data'!$C:$C,'custody caseload'!$T$85,'caseload data'!$B:$B,"custody")</f>
        <v>0</v>
      </c>
      <c r="AD88" s="98">
        <f>SUMIFS('caseload data'!N:N,'caseload data'!$D:$D,"PSO",'caseload data'!$C:$C,'custody caseload'!$T$85,'caseload data'!$B:$B,"custody")</f>
        <v>0</v>
      </c>
      <c r="AE88" s="98">
        <f>SUMIFS('caseload data'!O:O,'caseload data'!$D:$D,"PSO",'caseload data'!$C:$C,'custody caseload'!$T$85,'caseload data'!$B:$B,"custody")</f>
        <v>0</v>
      </c>
      <c r="AF88" s="98">
        <f>SUMIFS('caseload data'!P:P,'caseload data'!$D:$D,"PSO",'caseload data'!$C:$C,'custody caseload'!$T$85,'caseload data'!$B:$B,"custody")</f>
        <v>0</v>
      </c>
      <c r="AG88" s="98">
        <f>SUMIFS('caseload data'!Q:Q,'caseload data'!$D:$D,"PSO",'caseload data'!$C:$C,'custody caseload'!$T$85,'caseload data'!$B:$B,"custody")</f>
        <v>0</v>
      </c>
      <c r="AH88" s="98">
        <f>SUMIFS('caseload data'!R:R,'caseload data'!$D:$D,"PSO",'caseload data'!$C:$C,'custody caseload'!$T$85,'caseload data'!$B:$B,"custody")</f>
        <v>0</v>
      </c>
      <c r="AI88" s="98">
        <f>SUMIFS('caseload data'!S:S,'caseload data'!$D:$D,"PSO",'caseload data'!$C:$C,'custody caseload'!$T$85,'caseload data'!$B:$B,"custody")</f>
        <v>0</v>
      </c>
      <c r="AJ88" s="98">
        <f>SUMIFS('caseload data'!T:T,'caseload data'!$D:$D,"PSO",'caseload data'!$C:$C,'custody caseload'!$T$85,'caseload data'!$B:$B,"custody")</f>
        <v>0</v>
      </c>
    </row>
    <row r="89" spans="2:36" ht="15" x14ac:dyDescent="0.2">
      <c r="B89" s="101" t="s">
        <v>1173</v>
      </c>
      <c r="C89" s="153">
        <f>SUMIFS('caseload data'!E:E,'caseload data'!$D:$D,"TPO",'caseload data'!$C:$C,'custody caseload'!$B$85,'caseload data'!$B:$B,"custody")</f>
        <v>0</v>
      </c>
      <c r="D89" s="153">
        <f>SUMIFS('caseload data'!F:F,'caseload data'!$D:$D,"TPO",'caseload data'!$C:$C,'custody caseload'!$B$85,'caseload data'!$B:$B,"custody")</f>
        <v>0</v>
      </c>
      <c r="E89" s="153">
        <f>SUMIFS('caseload data'!G:G,'caseload data'!$D:$D,"TPO",'caseload data'!$C:$C,'custody caseload'!$B$85,'caseload data'!$B:$B,"custody")</f>
        <v>0</v>
      </c>
      <c r="F89" s="153">
        <f>SUMIFS('caseload data'!H:H,'caseload data'!$D:$D,"TPO",'caseload data'!$C:$C,'custody caseload'!$B$85,'caseload data'!$B:$B,"custody")</f>
        <v>0</v>
      </c>
      <c r="G89" s="153">
        <f>SUMIFS('caseload data'!I:I,'caseload data'!$D:$D,"TPO",'caseload data'!$C:$C,'custody caseload'!$B$85,'caseload data'!$B:$B,"custody")</f>
        <v>0</v>
      </c>
      <c r="H89" s="153">
        <f>SUMIFS('caseload data'!J:J,'caseload data'!$D:$D,"TPO",'caseload data'!$C:$C,'custody caseload'!$B$85,'caseload data'!$B:$B,"custody")</f>
        <v>0</v>
      </c>
      <c r="I89" s="153">
        <f>SUMIFS('caseload data'!K:K,'caseload data'!$D:$D,"TPO",'caseload data'!$C:$C,'custody caseload'!$B$85,'caseload data'!$B:$B,"custody")</f>
        <v>0</v>
      </c>
      <c r="J89" s="153">
        <f>SUMIFS('caseload data'!L:L,'caseload data'!$D:$D,"TPO",'caseload data'!$C:$C,'custody caseload'!$B$85,'caseload data'!$B:$B,"custody")</f>
        <v>0</v>
      </c>
      <c r="K89" s="98">
        <f>SUMIFS('caseload data'!M:M,'caseload data'!$D:$D,"TPO",'caseload data'!$C:$C,'custody caseload'!$B$85,'caseload data'!$B:$B,"custody")</f>
        <v>0</v>
      </c>
      <c r="L89" s="98">
        <f>SUMIFS('caseload data'!N:N,'caseload data'!$D:$D,"TPO",'caseload data'!$C:$C,'custody caseload'!$B$85,'caseload data'!$B:$B,"custody")</f>
        <v>0</v>
      </c>
      <c r="M89" s="98">
        <f>SUMIFS('caseload data'!O:O,'caseload data'!$D:$D,"TPO",'caseload data'!$C:$C,'custody caseload'!$B$85,'caseload data'!$B:$B,"custody")</f>
        <v>0</v>
      </c>
      <c r="N89" s="98">
        <f>SUMIFS('caseload data'!P:P,'caseload data'!$D:$D,"TPO",'caseload data'!$C:$C,'custody caseload'!$B$85,'caseload data'!$B:$B,"custody")</f>
        <v>0</v>
      </c>
      <c r="O89" s="98">
        <f>SUMIFS('caseload data'!Q:Q,'caseload data'!$D:$D,"TPO",'caseload data'!$C:$C,'custody caseload'!$B$85,'caseload data'!$B:$B,"custody")</f>
        <v>0</v>
      </c>
      <c r="P89" s="98">
        <f>SUMIFS('caseload data'!R:R,'caseload data'!$D:$D,"TPO",'caseload data'!$C:$C,'custody caseload'!$B$85,'caseload data'!$B:$B,"custody")</f>
        <v>0</v>
      </c>
      <c r="Q89" s="98">
        <f>SUMIFS('caseload data'!S:S,'caseload data'!$D:$D,"TPO",'caseload data'!$C:$C,'custody caseload'!$B$85,'caseload data'!$B:$B,"custody")</f>
        <v>0</v>
      </c>
      <c r="R89" s="98">
        <f>SUMIFS('caseload data'!T:T,'caseload data'!$D:$D,"TPO",'caseload data'!$C:$C,'custody caseload'!$B$85,'caseload data'!$B:$B,"custody")</f>
        <v>0</v>
      </c>
      <c r="T89" s="101" t="s">
        <v>1173</v>
      </c>
      <c r="U89" s="153">
        <f>SUMIFS('caseload data'!E:E,'caseload data'!$D:$D,"TPO",'caseload data'!$C:$C,'custody caseload'!$T$85,'caseload data'!$B:$B,"custody")</f>
        <v>0</v>
      </c>
      <c r="V89" s="153">
        <f>SUMIFS('caseload data'!F:F,'caseload data'!$D:$D,"TPO",'caseload data'!$C:$C,'custody caseload'!$T$85,'caseload data'!$B:$B,"custody")</f>
        <v>0</v>
      </c>
      <c r="W89" s="153">
        <f>SUMIFS('caseload data'!G:G,'caseload data'!$D:$D,"TPO",'caseload data'!$C:$C,'custody caseload'!$T$85,'caseload data'!$B:$B,"custody")</f>
        <v>0</v>
      </c>
      <c r="X89" s="153">
        <f>SUMIFS('caseload data'!H:H,'caseload data'!$D:$D,"TPO",'caseload data'!$C:$C,'custody caseload'!$T$85,'caseload data'!$B:$B,"custody")</f>
        <v>0</v>
      </c>
      <c r="Y89" s="153">
        <f>SUMIFS('caseload data'!I:I,'caseload data'!$D:$D,"TPO",'caseload data'!$C:$C,'custody caseload'!$T$85,'caseload data'!$B:$B,"custody")</f>
        <v>0</v>
      </c>
      <c r="Z89" s="153">
        <f>SUMIFS('caseload data'!J:J,'caseload data'!$D:$D,"TPO",'caseload data'!$C:$C,'custody caseload'!$T$85,'caseload data'!$B:$B,"custody")</f>
        <v>0</v>
      </c>
      <c r="AA89" s="153">
        <f>SUMIFS('caseload data'!K:K,'caseload data'!$D:$D,"TPO",'caseload data'!$C:$C,'custody caseload'!$T$85,'caseload data'!$B:$B,"custody")</f>
        <v>0</v>
      </c>
      <c r="AB89" s="153">
        <f>SUMIFS('caseload data'!L:L,'caseload data'!$D:$D,"TPO",'caseload data'!$C:$C,'custody caseload'!$T$85,'caseload data'!$B:$B,"custody")</f>
        <v>0</v>
      </c>
      <c r="AC89" s="98">
        <f>SUMIFS('caseload data'!M:M,'caseload data'!$D:$D,"TPO",'caseload data'!$C:$C,'custody caseload'!$T$85,'caseload data'!$B:$B,"custody")</f>
        <v>0</v>
      </c>
      <c r="AD89" s="98">
        <f>SUMIFS('caseload data'!N:N,'caseload data'!$D:$D,"TPO",'caseload data'!$C:$C,'custody caseload'!$T$85,'caseload data'!$B:$B,"custody")</f>
        <v>0</v>
      </c>
      <c r="AE89" s="98">
        <f>SUMIFS('caseload data'!O:O,'caseload data'!$D:$D,"TPO",'caseload data'!$C:$C,'custody caseload'!$T$85,'caseload data'!$B:$B,"custody")</f>
        <v>0</v>
      </c>
      <c r="AF89" s="98">
        <f>SUMIFS('caseload data'!P:P,'caseload data'!$D:$D,"TPO",'caseload data'!$C:$C,'custody caseload'!$T$85,'caseload data'!$B:$B,"custody")</f>
        <v>0</v>
      </c>
      <c r="AG89" s="98">
        <f>SUMIFS('caseload data'!Q:Q,'caseload data'!$D:$D,"TPO",'caseload data'!$C:$C,'custody caseload'!$T$85,'caseload data'!$B:$B,"custody")</f>
        <v>0</v>
      </c>
      <c r="AH89" s="98">
        <f>SUMIFS('caseload data'!R:R,'caseload data'!$D:$D,"TPO",'caseload data'!$C:$C,'custody caseload'!$T$85,'caseload data'!$B:$B,"custody")</f>
        <v>0</v>
      </c>
      <c r="AI89" s="98">
        <f>SUMIFS('caseload data'!S:S,'caseload data'!$D:$D,"TPO",'caseload data'!$C:$C,'custody caseload'!$T$85,'caseload data'!$B:$B,"custody")</f>
        <v>0</v>
      </c>
      <c r="AJ89" s="98">
        <f>SUMIFS('caseload data'!T:T,'caseload data'!$D:$D,"TPO",'caseload data'!$C:$C,'custody caseload'!$T$85,'caseload data'!$B:$B,"custody")</f>
        <v>0</v>
      </c>
    </row>
    <row r="90" spans="2:36" x14ac:dyDescent="0.15">
      <c r="B90" s="102" t="s">
        <v>1174</v>
      </c>
      <c r="C90" s="98">
        <f>SUMIFS('caseload data'!E:E,'caseload data'!$D:$D,"SPO",'caseload data'!$C:$C,'custody caseload'!$B$85,'caseload data'!$B:$B,"custody")</f>
        <v>0</v>
      </c>
      <c r="D90" s="98">
        <f>SUMIFS('caseload data'!F:F,'caseload data'!$D:$D,"SPO",'caseload data'!$C:$C,'custody caseload'!$B$85,'caseload data'!$B:$B,"custody")</f>
        <v>0</v>
      </c>
      <c r="E90" s="98">
        <f>SUMIFS('caseload data'!G:G,'caseload data'!$D:$D,"SPO",'caseload data'!$C:$C,'custody caseload'!$B$85,'caseload data'!$B:$B,"custody")</f>
        <v>0</v>
      </c>
      <c r="F90" s="98">
        <f>SUMIFS('caseload data'!H:H,'caseload data'!$D:$D,"SPO",'caseload data'!$C:$C,'custody caseload'!$B$85,'caseload data'!$B:$B,"custody")</f>
        <v>0</v>
      </c>
      <c r="G90" s="98">
        <f>SUMIFS('caseload data'!I:I,'caseload data'!$D:$D,"SPO",'caseload data'!$C:$C,'custody caseload'!$B$85,'caseload data'!$B:$B,"custody")</f>
        <v>0</v>
      </c>
      <c r="H90" s="98">
        <f>SUMIFS('caseload data'!J:J,'caseload data'!$D:$D,"SPO",'caseload data'!$C:$C,'custody caseload'!$B$85,'caseload data'!$B:$B,"custody")</f>
        <v>0</v>
      </c>
      <c r="I90" s="98">
        <f>SUMIFS('caseload data'!K:K,'caseload data'!$D:$D,"SPO",'caseload data'!$C:$C,'custody caseload'!$B$85,'caseload data'!$B:$B,"custody")</f>
        <v>0</v>
      </c>
      <c r="J90" s="98">
        <f>SUMIFS('caseload data'!L:L,'caseload data'!$D:$D,"SPO",'caseload data'!$C:$C,'custody caseload'!$B$85,'caseload data'!$B:$B,"custody")</f>
        <v>0</v>
      </c>
      <c r="K90" s="98">
        <f>SUMIFS('caseload data'!M:M,'caseload data'!$D:$D,"SPO",'caseload data'!$C:$C,'custody caseload'!$B$85,'caseload data'!$B:$B,"custody")</f>
        <v>0</v>
      </c>
      <c r="L90" s="98">
        <f>SUMIFS('caseload data'!N:N,'caseload data'!$D:$D,"SPO",'caseload data'!$C:$C,'custody caseload'!$B$85,'caseload data'!$B:$B,"custody")</f>
        <v>0</v>
      </c>
      <c r="M90" s="98">
        <f>SUMIFS('caseload data'!O:O,'caseload data'!$D:$D,"SPO",'caseload data'!$C:$C,'custody caseload'!$B$85,'caseload data'!$B:$B,"custody")</f>
        <v>0</v>
      </c>
      <c r="N90" s="98">
        <f>SUMIFS('caseload data'!P:P,'caseload data'!$D:$D,"SPO",'caseload data'!$C:$C,'custody caseload'!$B$85,'caseload data'!$B:$B,"custody")</f>
        <v>0</v>
      </c>
      <c r="O90" s="98">
        <f>SUMIFS('caseload data'!Q:Q,'caseload data'!$D:$D,"SPO",'caseload data'!$C:$C,'custody caseload'!$B$85,'caseload data'!$B:$B,"custody")</f>
        <v>0</v>
      </c>
      <c r="P90" s="98">
        <f>SUMIFS('caseload data'!R:R,'caseload data'!$D:$D,"SPO",'caseload data'!$C:$C,'custody caseload'!$B$85,'caseload data'!$B:$B,"custody")</f>
        <v>0</v>
      </c>
      <c r="Q90" s="98">
        <f>SUMIFS('caseload data'!S:S,'caseload data'!$D:$D,"SPO",'caseload data'!$C:$C,'custody caseload'!$B$85,'caseload data'!$B:$B,"custody")</f>
        <v>0</v>
      </c>
      <c r="R90" s="98">
        <f>SUMIFS('caseload data'!T:T,'caseload data'!$D:$D,"SPO",'caseload data'!$C:$C,'custody caseload'!$B$85,'caseload data'!$B:$B,"custody")</f>
        <v>0</v>
      </c>
      <c r="T90" s="102" t="s">
        <v>1174</v>
      </c>
      <c r="U90" s="98">
        <f>SUMIFS('caseload data'!E:E,'caseload data'!$D:$D,"SPO",'caseload data'!$C:$C,'custody caseload'!$T$85,'caseload data'!$B:$B,"custody")</f>
        <v>0</v>
      </c>
      <c r="V90" s="98">
        <f>SUMIFS('caseload data'!F:F,'caseload data'!$D:$D,"SPO",'caseload data'!$C:$C,'custody caseload'!$T$85,'caseload data'!$B:$B,"custody")</f>
        <v>0</v>
      </c>
      <c r="W90" s="98">
        <f>SUMIFS('caseload data'!G:G,'caseload data'!$D:$D,"SPO",'caseload data'!$C:$C,'custody caseload'!$T$85,'caseload data'!$B:$B,"custody")</f>
        <v>0</v>
      </c>
      <c r="X90" s="98">
        <f>SUMIFS('caseload data'!H:H,'caseload data'!$D:$D,"SPO",'caseload data'!$C:$C,'custody caseload'!$T$85,'caseload data'!$B:$B,"custody")</f>
        <v>0</v>
      </c>
      <c r="Y90" s="98">
        <f>SUMIFS('caseload data'!I:I,'caseload data'!$D:$D,"SPO",'caseload data'!$C:$C,'custody caseload'!$T$85,'caseload data'!$B:$B,"custody")</f>
        <v>0</v>
      </c>
      <c r="Z90" s="98">
        <f>SUMIFS('caseload data'!J:J,'caseload data'!$D:$D,"SPO",'caseload data'!$C:$C,'custody caseload'!$T$85,'caseload data'!$B:$B,"custody")</f>
        <v>0</v>
      </c>
      <c r="AA90" s="98">
        <f>SUMIFS('caseload data'!K:K,'caseload data'!$D:$D,"SPO",'caseload data'!$C:$C,'custody caseload'!$T$85,'caseload data'!$B:$B,"custody")</f>
        <v>0</v>
      </c>
      <c r="AB90" s="98">
        <f>SUMIFS('caseload data'!L:L,'caseload data'!$D:$D,"SPO",'caseload data'!$C:$C,'custody caseload'!$T$85,'caseload data'!$B:$B,"custody")</f>
        <v>0</v>
      </c>
      <c r="AC90" s="98">
        <f>SUMIFS('caseload data'!M:M,'caseload data'!$D:$D,"SPO",'caseload data'!$C:$C,'custody caseload'!$T$85,'caseload data'!$B:$B,"custody")</f>
        <v>0</v>
      </c>
      <c r="AD90" s="98">
        <f>SUMIFS('caseload data'!N:N,'caseload data'!$D:$D,"SPO",'caseload data'!$C:$C,'custody caseload'!$T$85,'caseload data'!$B:$B,"custody")</f>
        <v>0</v>
      </c>
      <c r="AE90" s="98">
        <f>SUMIFS('caseload data'!O:O,'caseload data'!$D:$D,"SPO",'caseload data'!$C:$C,'custody caseload'!$T$85,'caseload data'!$B:$B,"custody")</f>
        <v>0</v>
      </c>
      <c r="AF90" s="98">
        <f>SUMIFS('caseload data'!P:P,'caseload data'!$D:$D,"SPO",'caseload data'!$C:$C,'custody caseload'!$T$85,'caseload data'!$B:$B,"custody")</f>
        <v>0</v>
      </c>
      <c r="AG90" s="98">
        <f>SUMIFS('caseload data'!Q:Q,'caseload data'!$D:$D,"SPO",'caseload data'!$C:$C,'custody caseload'!$T$85,'caseload data'!$B:$B,"custody")</f>
        <v>0</v>
      </c>
      <c r="AH90" s="98">
        <f>SUMIFS('caseload data'!R:R,'caseload data'!$D:$D,"SPO",'caseload data'!$C:$C,'custody caseload'!$T$85,'caseload data'!$B:$B,"custody")</f>
        <v>0</v>
      </c>
      <c r="AI90" s="98">
        <f>SUMIFS('caseload data'!S:S,'caseload data'!$D:$D,"SPO",'caseload data'!$C:$C,'custody caseload'!$T$85,'caseload data'!$B:$B,"custody")</f>
        <v>0</v>
      </c>
      <c r="AJ90" s="98">
        <f>SUMIFS('caseload data'!T:T,'caseload data'!$D:$D,"SPO",'caseload data'!$C:$C,'custody caseload'!$T$85,'caseload data'!$B:$B,"custody")</f>
        <v>0</v>
      </c>
    </row>
    <row r="92" spans="2:36" ht="21" customHeight="1" x14ac:dyDescent="0.15">
      <c r="B92" s="150">
        <f>HLOOKUP($B$5,Region_Table,26,0)</f>
        <v>0</v>
      </c>
      <c r="C92" s="475" t="s">
        <v>1305</v>
      </c>
      <c r="D92" s="476"/>
      <c r="E92" s="476"/>
      <c r="F92" s="476"/>
      <c r="G92" s="476"/>
      <c r="H92" s="476"/>
      <c r="I92" s="476"/>
      <c r="J92" s="476"/>
      <c r="K92" s="476"/>
      <c r="L92" s="476"/>
      <c r="M92" s="485"/>
      <c r="N92" s="485"/>
      <c r="O92" s="486"/>
      <c r="P92" s="462">
        <f>SUMIFS('caseload data'!V:V,'caseload data'!B:B,"custody",'caseload data'!$C:$C,'custody caseload'!B92)</f>
        <v>0</v>
      </c>
      <c r="Q92" s="479"/>
      <c r="R92" s="480"/>
      <c r="T92" s="150">
        <f>HLOOKUP($B$5,Region_Table,27,0)</f>
        <v>0</v>
      </c>
      <c r="U92" s="475" t="s">
        <v>1305</v>
      </c>
      <c r="V92" s="476"/>
      <c r="W92" s="476"/>
      <c r="X92" s="476"/>
      <c r="Y92" s="476"/>
      <c r="Z92" s="476"/>
      <c r="AA92" s="476"/>
      <c r="AB92" s="476"/>
      <c r="AC92" s="476"/>
      <c r="AD92" s="476"/>
      <c r="AE92" s="485"/>
      <c r="AF92" s="485"/>
      <c r="AG92" s="486"/>
      <c r="AH92" s="462">
        <f>SUMIFS('caseload data'!V:V,'caseload data'!B:B,"custody",'caseload data'!$C:$C,'custody caseload'!T92)</f>
        <v>0</v>
      </c>
      <c r="AI92" s="479"/>
      <c r="AJ92" s="480"/>
    </row>
    <row r="93" spans="2:36" x14ac:dyDescent="0.15">
      <c r="B93" s="99" t="s">
        <v>1171</v>
      </c>
      <c r="C93" s="40" t="s">
        <v>1022</v>
      </c>
      <c r="D93" s="40" t="s">
        <v>1023</v>
      </c>
      <c r="E93" s="40" t="s">
        <v>1024</v>
      </c>
      <c r="F93" s="40" t="s">
        <v>1025</v>
      </c>
      <c r="G93" s="40" t="s">
        <v>1026</v>
      </c>
      <c r="H93" s="40" t="s">
        <v>1027</v>
      </c>
      <c r="I93" s="40" t="s">
        <v>1028</v>
      </c>
      <c r="J93" s="40" t="s">
        <v>1029</v>
      </c>
      <c r="K93" s="40" t="s">
        <v>1030</v>
      </c>
      <c r="L93" s="40" t="s">
        <v>1031</v>
      </c>
      <c r="M93" s="40" t="s">
        <v>1032</v>
      </c>
      <c r="N93" s="40" t="s">
        <v>1033</v>
      </c>
      <c r="O93" s="40" t="s">
        <v>1034</v>
      </c>
      <c r="P93" s="40" t="s">
        <v>1035</v>
      </c>
      <c r="Q93" s="40" t="s">
        <v>1036</v>
      </c>
      <c r="R93" s="40" t="s">
        <v>1037</v>
      </c>
      <c r="T93" s="99" t="s">
        <v>1171</v>
      </c>
      <c r="U93" s="40" t="s">
        <v>1022</v>
      </c>
      <c r="V93" s="40" t="s">
        <v>1023</v>
      </c>
      <c r="W93" s="40" t="s">
        <v>1024</v>
      </c>
      <c r="X93" s="40" t="s">
        <v>1025</v>
      </c>
      <c r="Y93" s="40" t="s">
        <v>1026</v>
      </c>
      <c r="Z93" s="40" t="s">
        <v>1027</v>
      </c>
      <c r="AA93" s="40" t="s">
        <v>1028</v>
      </c>
      <c r="AB93" s="40" t="s">
        <v>1029</v>
      </c>
      <c r="AC93" s="40" t="s">
        <v>1030</v>
      </c>
      <c r="AD93" s="40" t="s">
        <v>1031</v>
      </c>
      <c r="AE93" s="40" t="s">
        <v>1032</v>
      </c>
      <c r="AF93" s="40" t="s">
        <v>1033</v>
      </c>
      <c r="AG93" s="40" t="s">
        <v>1034</v>
      </c>
      <c r="AH93" s="40" t="s">
        <v>1035</v>
      </c>
      <c r="AI93" s="40" t="s">
        <v>1036</v>
      </c>
      <c r="AJ93" s="40" t="s">
        <v>1037</v>
      </c>
    </row>
    <row r="94" spans="2:36" x14ac:dyDescent="0.15">
      <c r="B94" s="100" t="s">
        <v>1166</v>
      </c>
      <c r="C94" s="98">
        <f>SUMIFS('caseload data'!E:E,'caseload data'!$D:$D,"PO",'caseload data'!$C:$C,'custody caseload'!$B$92,'caseload data'!$B:$B,"custody")</f>
        <v>0</v>
      </c>
      <c r="D94" s="98">
        <f>SUMIFS('caseload data'!F:F,'caseload data'!$D:$D,"PO",'caseload data'!$C:$C,'custody caseload'!$B$92,'caseload data'!$B:$B,"custody")</f>
        <v>0</v>
      </c>
      <c r="E94" s="98">
        <f>SUMIFS('caseload data'!G:G,'caseload data'!$D:$D,"PO",'caseload data'!$C:$C,'custody caseload'!$B$92,'caseload data'!$B:$B,"custody")</f>
        <v>0</v>
      </c>
      <c r="F94" s="98">
        <f>SUMIFS('caseload data'!H:H,'caseload data'!$D:$D,"PO",'caseload data'!$C:$C,'custody caseload'!$B$92,'caseload data'!$B:$B,"custody")</f>
        <v>0</v>
      </c>
      <c r="G94" s="98">
        <f>SUMIFS('caseload data'!I:I,'caseload data'!$D:$D,"PO",'caseload data'!$C:$C,'custody caseload'!$B$92,'caseload data'!$B:$B,"custody")</f>
        <v>0</v>
      </c>
      <c r="H94" s="98">
        <f>SUMIFS('caseload data'!J:J,'caseload data'!$D:$D,"PO",'caseload data'!$C:$C,'custody caseload'!$B$92,'caseload data'!$B:$B,"custody")</f>
        <v>0</v>
      </c>
      <c r="I94" s="98">
        <f>SUMIFS('caseload data'!K:K,'caseload data'!$D:$D,"PO",'caseload data'!$C:$C,'custody caseload'!$B$92,'caseload data'!$B:$B,"custody")</f>
        <v>0</v>
      </c>
      <c r="J94" s="98">
        <f>SUMIFS('caseload data'!L:L,'caseload data'!$D:$D,"PO",'caseload data'!$C:$C,'custody caseload'!$B$92,'caseload data'!$B:$B,"custody")</f>
        <v>0</v>
      </c>
      <c r="K94" s="98">
        <f>SUMIFS('caseload data'!M:M,'caseload data'!$D:$D,"PO",'caseload data'!$C:$C,'custody caseload'!$B$92,'caseload data'!$B:$B,"custody")</f>
        <v>0</v>
      </c>
      <c r="L94" s="98">
        <f>SUMIFS('caseload data'!N:N,'caseload data'!$D:$D,"PO",'caseload data'!$C:$C,'custody caseload'!$B$92,'caseload data'!$B:$B,"custody")</f>
        <v>0</v>
      </c>
      <c r="M94" s="98">
        <f>SUMIFS('caseload data'!O:O,'caseload data'!$D:$D,"PO",'caseload data'!$C:$C,'custody caseload'!$B$92,'caseload data'!$B:$B,"custody")</f>
        <v>0</v>
      </c>
      <c r="N94" s="98">
        <f>SUMIFS('caseload data'!P:P,'caseload data'!$D:$D,"PO",'caseload data'!$C:$C,'custody caseload'!$B$92,'caseload data'!$B:$B,"custody")</f>
        <v>0</v>
      </c>
      <c r="O94" s="98">
        <f>SUMIFS('caseload data'!Q:Q,'caseload data'!$D:$D,"PO",'caseload data'!$C:$C,'custody caseload'!$B$92,'caseload data'!$B:$B,"custody")</f>
        <v>0</v>
      </c>
      <c r="P94" s="98">
        <f>SUMIFS('caseload data'!R:R,'caseload data'!$D:$D,"PO",'caseload data'!$C:$C,'custody caseload'!$B$92,'caseload data'!$B:$B,"custody")</f>
        <v>0</v>
      </c>
      <c r="Q94" s="98">
        <f>SUMIFS('caseload data'!S:S,'caseload data'!$D:$D,"PO",'caseload data'!$C:$C,'custody caseload'!$B$92,'caseload data'!$B:$B,"custody")</f>
        <v>0</v>
      </c>
      <c r="R94" s="98">
        <f>SUMIFS('caseload data'!T:T,'caseload data'!$D:$D,"PO",'caseload data'!$C:$C,'custody caseload'!$B$92,'caseload data'!$B:$B,"custody")</f>
        <v>0</v>
      </c>
      <c r="T94" s="100" t="s">
        <v>1166</v>
      </c>
      <c r="U94" s="98">
        <f>SUMIFS('caseload data'!E:E,'caseload data'!$D:$D,"PO",'caseload data'!$C:$C,'custody caseload'!$T$92,'caseload data'!$B:$B,"custody")</f>
        <v>0</v>
      </c>
      <c r="V94" s="98">
        <f>SUMIFS('caseload data'!F:F,'caseload data'!$D:$D,"PO",'caseload data'!$C:$C,'custody caseload'!$T$92,'caseload data'!$B:$B,"custody")</f>
        <v>0</v>
      </c>
      <c r="W94" s="98">
        <f>SUMIFS('caseload data'!G:G,'caseload data'!$D:$D,"PO",'caseload data'!$C:$C,'custody caseload'!$T$92,'caseload data'!$B:$B,"custody")</f>
        <v>0</v>
      </c>
      <c r="X94" s="98">
        <f>SUMIFS('caseload data'!H:H,'caseload data'!$D:$D,"PO",'caseload data'!$C:$C,'custody caseload'!$T$92,'caseload data'!$B:$B,"custody")</f>
        <v>0</v>
      </c>
      <c r="Y94" s="98">
        <f>SUMIFS('caseload data'!I:I,'caseload data'!$D:$D,"PO",'caseload data'!$C:$C,'custody caseload'!$T$92,'caseload data'!$B:$B,"custody")</f>
        <v>0</v>
      </c>
      <c r="Z94" s="98">
        <f>SUMIFS('caseload data'!J:J,'caseload data'!$D:$D,"PO",'caseload data'!$C:$C,'custody caseload'!$T$92,'caseload data'!$B:$B,"custody")</f>
        <v>0</v>
      </c>
      <c r="AA94" s="98">
        <f>SUMIFS('caseload data'!K:K,'caseload data'!$D:$D,"PO",'caseload data'!$C:$C,'custody caseload'!$T$92,'caseload data'!$B:$B,"custody")</f>
        <v>0</v>
      </c>
      <c r="AB94" s="98">
        <f>SUMIFS('caseload data'!L:L,'caseload data'!$D:$D,"PO",'caseload data'!$C:$C,'custody caseload'!$T$92,'caseload data'!$B:$B,"custody")</f>
        <v>0</v>
      </c>
      <c r="AC94" s="98">
        <f>SUMIFS('caseload data'!M:M,'caseload data'!$D:$D,"PO",'caseload data'!$C:$C,'custody caseload'!$T$92,'caseload data'!$B:$B,"custody")</f>
        <v>0</v>
      </c>
      <c r="AD94" s="98">
        <f>SUMIFS('caseload data'!N:N,'caseload data'!$D:$D,"PO",'caseload data'!$C:$C,'custody caseload'!$T$92,'caseload data'!$B:$B,"custody")</f>
        <v>0</v>
      </c>
      <c r="AE94" s="98">
        <f>SUMIFS('caseload data'!O:O,'caseload data'!$D:$D,"PO",'caseload data'!$C:$C,'custody caseload'!$T$92,'caseload data'!$B:$B,"custody")</f>
        <v>0</v>
      </c>
      <c r="AF94" s="98">
        <f>SUMIFS('caseload data'!P:P,'caseload data'!$D:$D,"PO",'caseload data'!$C:$C,'custody caseload'!$T$92,'caseload data'!$B:$B,"custody")</f>
        <v>0</v>
      </c>
      <c r="AG94" s="98">
        <f>SUMIFS('caseload data'!Q:Q,'caseload data'!$D:$D,"PO",'caseload data'!$C:$C,'custody caseload'!$T$92,'caseload data'!$B:$B,"custody")</f>
        <v>0</v>
      </c>
      <c r="AH94" s="98">
        <f>SUMIFS('caseload data'!R:R,'caseload data'!$D:$D,"PO",'caseload data'!$C:$C,'custody caseload'!$T$92,'caseload data'!$B:$B,"custody")</f>
        <v>0</v>
      </c>
      <c r="AI94" s="98">
        <f>SUMIFS('caseload data'!S:S,'caseload data'!$D:$D,"PO",'caseload data'!$C:$C,'custody caseload'!$T$92,'caseload data'!$B:$B,"custody")</f>
        <v>0</v>
      </c>
      <c r="AJ94" s="98">
        <f>SUMIFS('caseload data'!T:T,'caseload data'!$D:$D,"PO",'caseload data'!$C:$C,'custody caseload'!$T$92,'caseload data'!$B:$B,"custody")</f>
        <v>0</v>
      </c>
    </row>
    <row r="95" spans="2:36" ht="15" x14ac:dyDescent="0.2">
      <c r="B95" s="101" t="s">
        <v>1172</v>
      </c>
      <c r="C95" s="153">
        <f>SUMIFS('caseload data'!E:E,'caseload data'!$D:$D,"PSO",'caseload data'!$C:$C,'custody caseload'!$B$92,'caseload data'!$B:$B,"custody")</f>
        <v>0</v>
      </c>
      <c r="D95" s="153">
        <f>SUMIFS('caseload data'!F:F,'caseload data'!$D:$D,"PSO",'caseload data'!$C:$C,'custody caseload'!$B$92,'caseload data'!$B:$B,"custody")</f>
        <v>0</v>
      </c>
      <c r="E95" s="153">
        <f>SUMIFS('caseload data'!G:G,'caseload data'!$D:$D,"PSO",'caseload data'!$C:$C,'custody caseload'!$B$92,'caseload data'!$B:$B,"custody")</f>
        <v>0</v>
      </c>
      <c r="F95" s="153">
        <f>SUMIFS('caseload data'!H:H,'caseload data'!$D:$D,"PSO",'caseload data'!$C:$C,'custody caseload'!$B$92,'caseload data'!$B:$B,"custody")</f>
        <v>0</v>
      </c>
      <c r="G95" s="153">
        <f>SUMIFS('caseload data'!I:I,'caseload data'!$D:$D,"PSO",'caseload data'!$C:$C,'custody caseload'!$B$92,'caseload data'!$B:$B,"custody")</f>
        <v>0</v>
      </c>
      <c r="H95" s="153">
        <f>SUMIFS('caseload data'!J:J,'caseload data'!$D:$D,"PSO",'caseload data'!$C:$C,'custody caseload'!$B$92,'caseload data'!$B:$B,"custody")</f>
        <v>0</v>
      </c>
      <c r="I95" s="153">
        <f>SUMIFS('caseload data'!K:K,'caseload data'!$D:$D,"PSO",'caseload data'!$C:$C,'custody caseload'!$B$92,'caseload data'!$B:$B,"custody")</f>
        <v>0</v>
      </c>
      <c r="J95" s="153">
        <f>SUMIFS('caseload data'!L:L,'caseload data'!$D:$D,"PSO",'caseload data'!$C:$C,'custody caseload'!$B$92,'caseload data'!$B:$B,"custody")</f>
        <v>0</v>
      </c>
      <c r="K95" s="98">
        <f>SUMIFS('caseload data'!M:M,'caseload data'!$D:$D,"PSO",'caseload data'!$C:$C,'custody caseload'!$B$92,'caseload data'!$B:$B,"custody")</f>
        <v>0</v>
      </c>
      <c r="L95" s="98">
        <f>SUMIFS('caseload data'!N:N,'caseload data'!$D:$D,"PSO",'caseload data'!$C:$C,'custody caseload'!$B$92,'caseload data'!$B:$B,"custody")</f>
        <v>0</v>
      </c>
      <c r="M95" s="98">
        <f>SUMIFS('caseload data'!O:O,'caseload data'!$D:$D,"PSO",'caseload data'!$C:$C,'custody caseload'!$B$92,'caseload data'!$B:$B,"custody")</f>
        <v>0</v>
      </c>
      <c r="N95" s="98">
        <f>SUMIFS('caseload data'!P:P,'caseload data'!$D:$D,"PSO",'caseload data'!$C:$C,'custody caseload'!$B$92,'caseload data'!$B:$B,"custody")</f>
        <v>0</v>
      </c>
      <c r="O95" s="98">
        <f>SUMIFS('caseload data'!Q:Q,'caseload data'!$D:$D,"PSO",'caseload data'!$C:$C,'custody caseload'!$B$92,'caseload data'!$B:$B,"custody")</f>
        <v>0</v>
      </c>
      <c r="P95" s="98">
        <f>SUMIFS('caseload data'!R:R,'caseload data'!$D:$D,"PSO",'caseload data'!$C:$C,'custody caseload'!$B$92,'caseload data'!$B:$B,"custody")</f>
        <v>0</v>
      </c>
      <c r="Q95" s="98">
        <f>SUMIFS('caseload data'!S:S,'caseload data'!$D:$D,"PSO",'caseload data'!$C:$C,'custody caseload'!$B$92,'caseload data'!$B:$B,"custody")</f>
        <v>0</v>
      </c>
      <c r="R95" s="98">
        <f>SUMIFS('caseload data'!T:T,'caseload data'!$D:$D,"PSO",'caseload data'!$C:$C,'custody caseload'!$B$92,'caseload data'!$B:$B,"custody")</f>
        <v>0</v>
      </c>
      <c r="T95" s="101" t="s">
        <v>1172</v>
      </c>
      <c r="U95" s="153">
        <f>SUMIFS('caseload data'!E:E,'caseload data'!$D:$D,"PSO",'caseload data'!$C:$C,'custody caseload'!$T$92,'caseload data'!$B:$B,"custody")</f>
        <v>0</v>
      </c>
      <c r="V95" s="153">
        <f>SUMIFS('caseload data'!F:F,'caseload data'!$D:$D,"PSO",'caseload data'!$C:$C,'custody caseload'!$T$92,'caseload data'!$B:$B,"custody")</f>
        <v>0</v>
      </c>
      <c r="W95" s="153">
        <f>SUMIFS('caseload data'!G:G,'caseload data'!$D:$D,"PSO",'caseload data'!$C:$C,'custody caseload'!$T$92,'caseload data'!$B:$B,"custody")</f>
        <v>0</v>
      </c>
      <c r="X95" s="153">
        <f>SUMIFS('caseload data'!H:H,'caseload data'!$D:$D,"PSO",'caseload data'!$C:$C,'custody caseload'!$T$92,'caseload data'!$B:$B,"custody")</f>
        <v>0</v>
      </c>
      <c r="Y95" s="153">
        <f>SUMIFS('caseload data'!I:I,'caseload data'!$D:$D,"PSO",'caseload data'!$C:$C,'custody caseload'!$T$92,'caseload data'!$B:$B,"custody")</f>
        <v>0</v>
      </c>
      <c r="Z95" s="153">
        <f>SUMIFS('caseload data'!J:J,'caseload data'!$D:$D,"PSO",'caseload data'!$C:$C,'custody caseload'!$T$92,'caseload data'!$B:$B,"custody")</f>
        <v>0</v>
      </c>
      <c r="AA95" s="153">
        <f>SUMIFS('caseload data'!K:K,'caseload data'!$D:$D,"PSO",'caseload data'!$C:$C,'custody caseload'!$T$92,'caseload data'!$B:$B,"custody")</f>
        <v>0</v>
      </c>
      <c r="AB95" s="153">
        <f>SUMIFS('caseload data'!L:L,'caseload data'!$D:$D,"PSO",'caseload data'!$C:$C,'custody caseload'!$T$92,'caseload data'!$B:$B,"custody")</f>
        <v>0</v>
      </c>
      <c r="AC95" s="98">
        <f>SUMIFS('caseload data'!M:M,'caseload data'!$D:$D,"PSO",'caseload data'!$C:$C,'custody caseload'!$T$92,'caseload data'!$B:$B,"custody")</f>
        <v>0</v>
      </c>
      <c r="AD95" s="98">
        <f>SUMIFS('caseload data'!N:N,'caseload data'!$D:$D,"PSO",'caseload data'!$C:$C,'custody caseload'!$T$92,'caseload data'!$B:$B,"custody")</f>
        <v>0</v>
      </c>
      <c r="AE95" s="98">
        <f>SUMIFS('caseload data'!O:O,'caseload data'!$D:$D,"PSO",'caseload data'!$C:$C,'custody caseload'!$T$92,'caseload data'!$B:$B,"custody")</f>
        <v>0</v>
      </c>
      <c r="AF95" s="98">
        <f>SUMIFS('caseload data'!P:P,'caseload data'!$D:$D,"PSO",'caseload data'!$C:$C,'custody caseload'!$T$92,'caseload data'!$B:$B,"custody")</f>
        <v>0</v>
      </c>
      <c r="AG95" s="98">
        <f>SUMIFS('caseload data'!Q:Q,'caseload data'!$D:$D,"PSO",'caseload data'!$C:$C,'custody caseload'!$T$92,'caseload data'!$B:$B,"custody")</f>
        <v>0</v>
      </c>
      <c r="AH95" s="98">
        <f>SUMIFS('caseload data'!R:R,'caseload data'!$D:$D,"PSO",'caseload data'!$C:$C,'custody caseload'!$T$92,'caseload data'!$B:$B,"custody")</f>
        <v>0</v>
      </c>
      <c r="AI95" s="98">
        <f>SUMIFS('caseload data'!S:S,'caseload data'!$D:$D,"PSO",'caseload data'!$C:$C,'custody caseload'!$T$92,'caseload data'!$B:$B,"custody")</f>
        <v>0</v>
      </c>
      <c r="AJ95" s="98">
        <f>SUMIFS('caseload data'!T:T,'caseload data'!$D:$D,"PSO",'caseload data'!$C:$C,'custody caseload'!$T$92,'caseload data'!$B:$B,"custody")</f>
        <v>0</v>
      </c>
    </row>
    <row r="96" spans="2:36" ht="15" x14ac:dyDescent="0.2">
      <c r="B96" s="101" t="s">
        <v>1173</v>
      </c>
      <c r="C96" s="153">
        <f>SUMIFS('caseload data'!E:E,'caseload data'!$D:$D,"TPO",'caseload data'!$C:$C,'custody caseload'!$B$92,'caseload data'!$B:$B,"custody")</f>
        <v>0</v>
      </c>
      <c r="D96" s="153">
        <f>SUMIFS('caseload data'!F:F,'caseload data'!$D:$D,"TPO",'caseload data'!$C:$C,'custody caseload'!$B$92,'caseload data'!$B:$B,"custody")</f>
        <v>0</v>
      </c>
      <c r="E96" s="153">
        <f>SUMIFS('caseload data'!G:G,'caseload data'!$D:$D,"TPO",'caseload data'!$C:$C,'custody caseload'!$B$92,'caseload data'!$B:$B,"custody")</f>
        <v>0</v>
      </c>
      <c r="F96" s="153">
        <f>SUMIFS('caseload data'!H:H,'caseload data'!$D:$D,"TPO",'caseload data'!$C:$C,'custody caseload'!$B$92,'caseload data'!$B:$B,"custody")</f>
        <v>0</v>
      </c>
      <c r="G96" s="153">
        <f>SUMIFS('caseload data'!I:I,'caseload data'!$D:$D,"TPO",'caseload data'!$C:$C,'custody caseload'!$B$92,'caseload data'!$B:$B,"custody")</f>
        <v>0</v>
      </c>
      <c r="H96" s="153">
        <f>SUMIFS('caseload data'!J:J,'caseload data'!$D:$D,"TPO",'caseload data'!$C:$C,'custody caseload'!$B$92,'caseload data'!$B:$B,"custody")</f>
        <v>0</v>
      </c>
      <c r="I96" s="153">
        <f>SUMIFS('caseload data'!K:K,'caseload data'!$D:$D,"TPO",'caseload data'!$C:$C,'custody caseload'!$B$92,'caseload data'!$B:$B,"custody")</f>
        <v>0</v>
      </c>
      <c r="J96" s="153">
        <f>SUMIFS('caseload data'!L:L,'caseload data'!$D:$D,"TPO",'caseload data'!$C:$C,'custody caseload'!$B$92,'caseload data'!$B:$B,"custody")</f>
        <v>0</v>
      </c>
      <c r="K96" s="98">
        <f>SUMIFS('caseload data'!M:M,'caseload data'!$D:$D,"TPO",'caseload data'!$C:$C,'custody caseload'!$B$92,'caseload data'!$B:$B,"custody")</f>
        <v>0</v>
      </c>
      <c r="L96" s="98">
        <f>SUMIFS('caseload data'!N:N,'caseload data'!$D:$D,"TPO",'caseload data'!$C:$C,'custody caseload'!$B$92,'caseload data'!$B:$B,"custody")</f>
        <v>0</v>
      </c>
      <c r="M96" s="98">
        <f>SUMIFS('caseload data'!O:O,'caseload data'!$D:$D,"TPO",'caseload data'!$C:$C,'custody caseload'!$B$92,'caseload data'!$B:$B,"custody")</f>
        <v>0</v>
      </c>
      <c r="N96" s="98">
        <f>SUMIFS('caseload data'!P:P,'caseload data'!$D:$D,"TPO",'caseload data'!$C:$C,'custody caseload'!$B$92,'caseload data'!$B:$B,"custody")</f>
        <v>0</v>
      </c>
      <c r="O96" s="98">
        <f>SUMIFS('caseload data'!Q:Q,'caseload data'!$D:$D,"TPO",'caseload data'!$C:$C,'custody caseload'!$B$92,'caseload data'!$B:$B,"custody")</f>
        <v>0</v>
      </c>
      <c r="P96" s="98">
        <f>SUMIFS('caseload data'!R:R,'caseload data'!$D:$D,"TPO",'caseload data'!$C:$C,'custody caseload'!$B$92,'caseload data'!$B:$B,"custody")</f>
        <v>0</v>
      </c>
      <c r="Q96" s="98">
        <f>SUMIFS('caseload data'!S:S,'caseload data'!$D:$D,"TPO",'caseload data'!$C:$C,'custody caseload'!$B$92,'caseload data'!$B:$B,"custody")</f>
        <v>0</v>
      </c>
      <c r="R96" s="98">
        <f>SUMIFS('caseload data'!T:T,'caseload data'!$D:$D,"TPO",'caseload data'!$C:$C,'custody caseload'!$B$92,'caseload data'!$B:$B,"custody")</f>
        <v>0</v>
      </c>
      <c r="T96" s="101" t="s">
        <v>1173</v>
      </c>
      <c r="U96" s="153">
        <f>SUMIFS('caseload data'!E:E,'caseload data'!$D:$D,"TPO",'caseload data'!$C:$C,'custody caseload'!$T$92,'caseload data'!$B:$B,"custody")</f>
        <v>0</v>
      </c>
      <c r="V96" s="153">
        <f>SUMIFS('caseload data'!F:F,'caseload data'!$D:$D,"TPO",'caseload data'!$C:$C,'custody caseload'!$T$92,'caseload data'!$B:$B,"custody")</f>
        <v>0</v>
      </c>
      <c r="W96" s="153">
        <f>SUMIFS('caseload data'!G:G,'caseload data'!$D:$D,"TPO",'caseload data'!$C:$C,'custody caseload'!$T$92,'caseload data'!$B:$B,"custody")</f>
        <v>0</v>
      </c>
      <c r="X96" s="153">
        <f>SUMIFS('caseload data'!H:H,'caseload data'!$D:$D,"TPO",'caseload data'!$C:$C,'custody caseload'!$T$92,'caseload data'!$B:$B,"custody")</f>
        <v>0</v>
      </c>
      <c r="Y96" s="153">
        <f>SUMIFS('caseload data'!I:I,'caseload data'!$D:$D,"TPO",'caseload data'!$C:$C,'custody caseload'!$T$92,'caseload data'!$B:$B,"custody")</f>
        <v>0</v>
      </c>
      <c r="Z96" s="153">
        <f>SUMIFS('caseload data'!J:J,'caseload data'!$D:$D,"TPO",'caseload data'!$C:$C,'custody caseload'!$T$92,'caseload data'!$B:$B,"custody")</f>
        <v>0</v>
      </c>
      <c r="AA96" s="153">
        <f>SUMIFS('caseload data'!K:K,'caseload data'!$D:$D,"TPO",'caseload data'!$C:$C,'custody caseload'!$T$92,'caseload data'!$B:$B,"custody")</f>
        <v>0</v>
      </c>
      <c r="AB96" s="153">
        <f>SUMIFS('caseload data'!L:L,'caseload data'!$D:$D,"TPO",'caseload data'!$C:$C,'custody caseload'!$T$92,'caseload data'!$B:$B,"custody")</f>
        <v>0</v>
      </c>
      <c r="AC96" s="98">
        <f>SUMIFS('caseload data'!M:M,'caseload data'!$D:$D,"TPO",'caseload data'!$C:$C,'custody caseload'!$T$92,'caseload data'!$B:$B,"custody")</f>
        <v>0</v>
      </c>
      <c r="AD96" s="98">
        <f>SUMIFS('caseload data'!N:N,'caseload data'!$D:$D,"TPO",'caseload data'!$C:$C,'custody caseload'!$T$92,'caseload data'!$B:$B,"custody")</f>
        <v>0</v>
      </c>
      <c r="AE96" s="98">
        <f>SUMIFS('caseload data'!O:O,'caseload data'!$D:$D,"TPO",'caseload data'!$C:$C,'custody caseload'!$T$92,'caseload data'!$B:$B,"custody")</f>
        <v>0</v>
      </c>
      <c r="AF96" s="98">
        <f>SUMIFS('caseload data'!P:P,'caseload data'!$D:$D,"TPO",'caseload data'!$C:$C,'custody caseload'!$T$92,'caseload data'!$B:$B,"custody")</f>
        <v>0</v>
      </c>
      <c r="AG96" s="98">
        <f>SUMIFS('caseload data'!Q:Q,'caseload data'!$D:$D,"TPO",'caseload data'!$C:$C,'custody caseload'!$T$92,'caseload data'!$B:$B,"custody")</f>
        <v>0</v>
      </c>
      <c r="AH96" s="98">
        <f>SUMIFS('caseload data'!R:R,'caseload data'!$D:$D,"TPO",'caseload data'!$C:$C,'custody caseload'!$T$92,'caseload data'!$B:$B,"custody")</f>
        <v>0</v>
      </c>
      <c r="AI96" s="98">
        <f>SUMIFS('caseload data'!S:S,'caseload data'!$D:$D,"TPO",'caseload data'!$C:$C,'custody caseload'!$T$92,'caseload data'!$B:$B,"custody")</f>
        <v>0</v>
      </c>
      <c r="AJ96" s="98">
        <f>SUMIFS('caseload data'!T:T,'caseload data'!$D:$D,"TPO",'caseload data'!$C:$C,'custody caseload'!$T$92,'caseload data'!$B:$B,"custody")</f>
        <v>0</v>
      </c>
    </row>
    <row r="97" spans="2:36" x14ac:dyDescent="0.15">
      <c r="B97" s="102" t="s">
        <v>1174</v>
      </c>
      <c r="C97" s="98">
        <f>SUMIFS('caseload data'!E:E,'caseload data'!$D:$D,"SPO",'caseload data'!$C:$C,'custody caseload'!$B$92,'caseload data'!$B:$B,"custody")</f>
        <v>0</v>
      </c>
      <c r="D97" s="98">
        <f>SUMIFS('caseload data'!F:F,'caseload data'!$D:$D,"SPO",'caseload data'!$C:$C,'custody caseload'!$B$92,'caseload data'!$B:$B,"custody")</f>
        <v>0</v>
      </c>
      <c r="E97" s="98">
        <f>SUMIFS('caseload data'!G:G,'caseload data'!$D:$D,"SPO",'caseload data'!$C:$C,'custody caseload'!$B$92,'caseload data'!$B:$B,"custody")</f>
        <v>0</v>
      </c>
      <c r="F97" s="98">
        <f>SUMIFS('caseload data'!H:H,'caseload data'!$D:$D,"SPO",'caseload data'!$C:$C,'custody caseload'!$B$92,'caseload data'!$B:$B,"custody")</f>
        <v>0</v>
      </c>
      <c r="G97" s="98">
        <f>SUMIFS('caseload data'!I:I,'caseload data'!$D:$D,"SPO",'caseload data'!$C:$C,'custody caseload'!$B$92,'caseload data'!$B:$B,"custody")</f>
        <v>0</v>
      </c>
      <c r="H97" s="98">
        <f>SUMIFS('caseload data'!J:J,'caseload data'!$D:$D,"SPO",'caseload data'!$C:$C,'custody caseload'!$B$92,'caseload data'!$B:$B,"custody")</f>
        <v>0</v>
      </c>
      <c r="I97" s="98">
        <f>SUMIFS('caseload data'!K:K,'caseload data'!$D:$D,"SPO",'caseload data'!$C:$C,'custody caseload'!$B$92,'caseload data'!$B:$B,"custody")</f>
        <v>0</v>
      </c>
      <c r="J97" s="98">
        <f>SUMIFS('caseload data'!L:L,'caseload data'!$D:$D,"SPO",'caseload data'!$C:$C,'custody caseload'!$B$92,'caseload data'!$B:$B,"custody")</f>
        <v>0</v>
      </c>
      <c r="K97" s="98">
        <f>SUMIFS('caseload data'!M:M,'caseload data'!$D:$D,"SPO",'caseload data'!$C:$C,'custody caseload'!$B$92,'caseload data'!$B:$B,"custody")</f>
        <v>0</v>
      </c>
      <c r="L97" s="98">
        <f>SUMIFS('caseload data'!N:N,'caseload data'!$D:$D,"SPO",'caseload data'!$C:$C,'custody caseload'!$B$92,'caseload data'!$B:$B,"custody")</f>
        <v>0</v>
      </c>
      <c r="M97" s="98">
        <f>SUMIFS('caseload data'!O:O,'caseload data'!$D:$D,"SPO",'caseload data'!$C:$C,'custody caseload'!$B$92,'caseload data'!$B:$B,"custody")</f>
        <v>0</v>
      </c>
      <c r="N97" s="98">
        <f>SUMIFS('caseload data'!P:P,'caseload data'!$D:$D,"SPO",'caseload data'!$C:$C,'custody caseload'!$B$92,'caseload data'!$B:$B,"custody")</f>
        <v>0</v>
      </c>
      <c r="O97" s="98">
        <f>SUMIFS('caseload data'!Q:Q,'caseload data'!$D:$D,"SPO",'caseload data'!$C:$C,'custody caseload'!$B$92,'caseload data'!$B:$B,"custody")</f>
        <v>0</v>
      </c>
      <c r="P97" s="98">
        <f>SUMIFS('caseload data'!R:R,'caseload data'!$D:$D,"SPO",'caseload data'!$C:$C,'custody caseload'!$B$92,'caseload data'!$B:$B,"custody")</f>
        <v>0</v>
      </c>
      <c r="Q97" s="98">
        <f>SUMIFS('caseload data'!S:S,'caseload data'!$D:$D,"SPO",'caseload data'!$C:$C,'custody caseload'!$B$92,'caseload data'!$B:$B,"custody")</f>
        <v>0</v>
      </c>
      <c r="R97" s="98">
        <f>SUMIFS('caseload data'!T:T,'caseload data'!$D:$D,"SPO",'caseload data'!$C:$C,'custody caseload'!$B$92,'caseload data'!$B:$B,"custody")</f>
        <v>0</v>
      </c>
      <c r="T97" s="102" t="s">
        <v>1174</v>
      </c>
      <c r="U97" s="98">
        <f>SUMIFS('caseload data'!E:E,'caseload data'!$D:$D,"SPO",'caseload data'!$C:$C,'custody caseload'!$T$92,'caseload data'!$B:$B,"custody")</f>
        <v>0</v>
      </c>
      <c r="V97" s="98">
        <f>SUMIFS('caseload data'!F:F,'caseload data'!$D:$D,"SPO",'caseload data'!$C:$C,'custody caseload'!$T$92,'caseload data'!$B:$B,"custody")</f>
        <v>0</v>
      </c>
      <c r="W97" s="98">
        <f>SUMIFS('caseload data'!G:G,'caseload data'!$D:$D,"SPO",'caseload data'!$C:$C,'custody caseload'!$T$92,'caseload data'!$B:$B,"custody")</f>
        <v>0</v>
      </c>
      <c r="X97" s="98">
        <f>SUMIFS('caseload data'!H:H,'caseload data'!$D:$D,"SPO",'caseload data'!$C:$C,'custody caseload'!$T$92,'caseload data'!$B:$B,"custody")</f>
        <v>0</v>
      </c>
      <c r="Y97" s="98">
        <f>SUMIFS('caseload data'!I:I,'caseload data'!$D:$D,"SPO",'caseload data'!$C:$C,'custody caseload'!$T$92,'caseload data'!$B:$B,"custody")</f>
        <v>0</v>
      </c>
      <c r="Z97" s="98">
        <f>SUMIFS('caseload data'!J:J,'caseload data'!$D:$D,"SPO",'caseload data'!$C:$C,'custody caseload'!$T$92,'caseload data'!$B:$B,"custody")</f>
        <v>0</v>
      </c>
      <c r="AA97" s="98">
        <f>SUMIFS('caseload data'!K:K,'caseload data'!$D:$D,"SPO",'caseload data'!$C:$C,'custody caseload'!$T$92,'caseload data'!$B:$B,"custody")</f>
        <v>0</v>
      </c>
      <c r="AB97" s="98">
        <f>SUMIFS('caseload data'!L:L,'caseload data'!$D:$D,"SPO",'caseload data'!$C:$C,'custody caseload'!$T$92,'caseload data'!$B:$B,"custody")</f>
        <v>0</v>
      </c>
      <c r="AC97" s="98">
        <f>SUMIFS('caseload data'!M:M,'caseload data'!$D:$D,"SPO",'caseload data'!$C:$C,'custody caseload'!$T$92,'caseload data'!$B:$B,"custody")</f>
        <v>0</v>
      </c>
      <c r="AD97" s="98">
        <f>SUMIFS('caseload data'!N:N,'caseload data'!$D:$D,"SPO",'caseload data'!$C:$C,'custody caseload'!$T$92,'caseload data'!$B:$B,"custody")</f>
        <v>0</v>
      </c>
      <c r="AE97" s="98">
        <f>SUMIFS('caseload data'!O:O,'caseload data'!$D:$D,"SPO",'caseload data'!$C:$C,'custody caseload'!$T$92,'caseload data'!$B:$B,"custody")</f>
        <v>0</v>
      </c>
      <c r="AF97" s="98">
        <f>SUMIFS('caseload data'!P:P,'caseload data'!$D:$D,"SPO",'caseload data'!$C:$C,'custody caseload'!$T$92,'caseload data'!$B:$B,"custody")</f>
        <v>0</v>
      </c>
      <c r="AG97" s="98">
        <f>SUMIFS('caseload data'!Q:Q,'caseload data'!$D:$D,"SPO",'caseload data'!$C:$C,'custody caseload'!$T$92,'caseload data'!$B:$B,"custody")</f>
        <v>0</v>
      </c>
      <c r="AH97" s="98">
        <f>SUMIFS('caseload data'!R:R,'caseload data'!$D:$D,"SPO",'caseload data'!$C:$C,'custody caseload'!$T$92,'caseload data'!$B:$B,"custody")</f>
        <v>0</v>
      </c>
      <c r="AI97" s="98">
        <f>SUMIFS('caseload data'!S:S,'caseload data'!$D:$D,"SPO",'caseload data'!$C:$C,'custody caseload'!$T$92,'caseload data'!$B:$B,"custody")</f>
        <v>0</v>
      </c>
      <c r="AJ97" s="98">
        <f>SUMIFS('caseload data'!T:T,'caseload data'!$D:$D,"SPO",'caseload data'!$C:$C,'custody caseload'!$T$92,'caseload data'!$B:$B,"custody")</f>
        <v>0</v>
      </c>
    </row>
    <row r="99" spans="2:36" ht="21.75" customHeight="1" x14ac:dyDescent="0.15">
      <c r="B99" s="150">
        <f>HLOOKUP($B$5,Region_Table,28,0)</f>
        <v>0</v>
      </c>
      <c r="C99" s="475" t="s">
        <v>1305</v>
      </c>
      <c r="D99" s="476"/>
      <c r="E99" s="476"/>
      <c r="F99" s="476"/>
      <c r="G99" s="476"/>
      <c r="H99" s="476"/>
      <c r="I99" s="476"/>
      <c r="J99" s="476"/>
      <c r="K99" s="476"/>
      <c r="L99" s="476"/>
      <c r="M99" s="485"/>
      <c r="N99" s="485"/>
      <c r="O99" s="486"/>
      <c r="P99" s="462">
        <f>SUMIFS('caseload data'!V:V,'caseload data'!B:B,"custody",'caseload data'!$C:$C,'custody caseload'!B99)</f>
        <v>0</v>
      </c>
      <c r="Q99" s="479"/>
      <c r="R99" s="480"/>
      <c r="T99" s="150">
        <f>HLOOKUP($B$5,Region_Table,29,0)</f>
        <v>0</v>
      </c>
      <c r="U99" s="475" t="s">
        <v>1305</v>
      </c>
      <c r="V99" s="476"/>
      <c r="W99" s="476"/>
      <c r="X99" s="476"/>
      <c r="Y99" s="476"/>
      <c r="Z99" s="476"/>
      <c r="AA99" s="476"/>
      <c r="AB99" s="476"/>
      <c r="AC99" s="476"/>
      <c r="AD99" s="476"/>
      <c r="AE99" s="485"/>
      <c r="AF99" s="485"/>
      <c r="AG99" s="486"/>
      <c r="AH99" s="462">
        <f>SUMIFS('caseload data'!V:V,'caseload data'!B:B,"custody",'caseload data'!$C:$C,'custody caseload'!T99)</f>
        <v>0</v>
      </c>
      <c r="AI99" s="479"/>
      <c r="AJ99" s="480"/>
    </row>
    <row r="100" spans="2:36" x14ac:dyDescent="0.15">
      <c r="B100" s="99" t="s">
        <v>1171</v>
      </c>
      <c r="C100" s="40" t="s">
        <v>1022</v>
      </c>
      <c r="D100" s="40" t="s">
        <v>1023</v>
      </c>
      <c r="E100" s="40" t="s">
        <v>1024</v>
      </c>
      <c r="F100" s="40" t="s">
        <v>1025</v>
      </c>
      <c r="G100" s="40" t="s">
        <v>1026</v>
      </c>
      <c r="H100" s="40" t="s">
        <v>1027</v>
      </c>
      <c r="I100" s="40" t="s">
        <v>1028</v>
      </c>
      <c r="J100" s="40" t="s">
        <v>1029</v>
      </c>
      <c r="K100" s="40" t="s">
        <v>1030</v>
      </c>
      <c r="L100" s="40" t="s">
        <v>1031</v>
      </c>
      <c r="M100" s="40" t="s">
        <v>1032</v>
      </c>
      <c r="N100" s="40" t="s">
        <v>1033</v>
      </c>
      <c r="O100" s="40" t="s">
        <v>1034</v>
      </c>
      <c r="P100" s="40" t="s">
        <v>1035</v>
      </c>
      <c r="Q100" s="40" t="s">
        <v>1036</v>
      </c>
      <c r="R100" s="40" t="s">
        <v>1037</v>
      </c>
      <c r="T100" s="99" t="s">
        <v>1171</v>
      </c>
      <c r="U100" s="40" t="s">
        <v>1022</v>
      </c>
      <c r="V100" s="40" t="s">
        <v>1023</v>
      </c>
      <c r="W100" s="40" t="s">
        <v>1024</v>
      </c>
      <c r="X100" s="40" t="s">
        <v>1025</v>
      </c>
      <c r="Y100" s="40" t="s">
        <v>1026</v>
      </c>
      <c r="Z100" s="40" t="s">
        <v>1027</v>
      </c>
      <c r="AA100" s="40" t="s">
        <v>1028</v>
      </c>
      <c r="AB100" s="40" t="s">
        <v>1029</v>
      </c>
      <c r="AC100" s="40" t="s">
        <v>1030</v>
      </c>
      <c r="AD100" s="40" t="s">
        <v>1031</v>
      </c>
      <c r="AE100" s="40" t="s">
        <v>1032</v>
      </c>
      <c r="AF100" s="40" t="s">
        <v>1033</v>
      </c>
      <c r="AG100" s="40" t="s">
        <v>1034</v>
      </c>
      <c r="AH100" s="40" t="s">
        <v>1035</v>
      </c>
      <c r="AI100" s="40" t="s">
        <v>1036</v>
      </c>
      <c r="AJ100" s="40" t="s">
        <v>1037</v>
      </c>
    </row>
    <row r="101" spans="2:36" x14ac:dyDescent="0.15">
      <c r="B101" s="100" t="s">
        <v>1166</v>
      </c>
      <c r="C101" s="98">
        <f>SUMIFS('caseload data'!E:E,'caseload data'!$D:$D,"PO",'caseload data'!$C:$C,'custody caseload'!$B$99,'caseload data'!$B:$B,"custody")</f>
        <v>0</v>
      </c>
      <c r="D101" s="98">
        <f>SUMIFS('caseload data'!F:F,'caseload data'!$D:$D,"PO",'caseload data'!$C:$C,'custody caseload'!$B$99,'caseload data'!$B:$B,"custody")</f>
        <v>0</v>
      </c>
      <c r="E101" s="98">
        <f>SUMIFS('caseload data'!G:G,'caseload data'!$D:$D,"PO",'caseload data'!$C:$C,'custody caseload'!$B$99,'caseload data'!$B:$B,"custody")</f>
        <v>0</v>
      </c>
      <c r="F101" s="98">
        <f>SUMIFS('caseload data'!H:H,'caseload data'!$D:$D,"PO",'caseload data'!$C:$C,'custody caseload'!$B$99,'caseload data'!$B:$B,"custody")</f>
        <v>0</v>
      </c>
      <c r="G101" s="98">
        <f>SUMIFS('caseload data'!I:I,'caseload data'!$D:$D,"PO",'caseload data'!$C:$C,'custody caseload'!$B$99,'caseload data'!$B:$B,"custody")</f>
        <v>0</v>
      </c>
      <c r="H101" s="98">
        <f>SUMIFS('caseload data'!J:J,'caseload data'!$D:$D,"PO",'caseload data'!$C:$C,'custody caseload'!$B$99,'caseload data'!$B:$B,"custody")</f>
        <v>0</v>
      </c>
      <c r="I101" s="98">
        <f>SUMIFS('caseload data'!K:K,'caseload data'!$D:$D,"PO",'caseload data'!$C:$C,'custody caseload'!$B$99,'caseload data'!$B:$B,"custody")</f>
        <v>0</v>
      </c>
      <c r="J101" s="98">
        <f>SUMIFS('caseload data'!L:L,'caseload data'!$D:$D,"PO",'caseload data'!$C:$C,'custody caseload'!$B$99,'caseload data'!$B:$B,"custody")</f>
        <v>0</v>
      </c>
      <c r="K101" s="98">
        <f>SUMIFS('caseload data'!M:M,'caseload data'!$D:$D,"PO",'caseload data'!$C:$C,'custody caseload'!$B$99,'caseload data'!$B:$B,"custody")</f>
        <v>0</v>
      </c>
      <c r="L101" s="98">
        <f>SUMIFS('caseload data'!N:N,'caseload data'!$D:$D,"PO",'caseload data'!$C:$C,'custody caseload'!$B$99,'caseload data'!$B:$B,"custody")</f>
        <v>0</v>
      </c>
      <c r="M101" s="98">
        <f>SUMIFS('caseload data'!O:O,'caseload data'!$D:$D,"PO",'caseload data'!$C:$C,'custody caseload'!$B$99,'caseload data'!$B:$B,"custody")</f>
        <v>0</v>
      </c>
      <c r="N101" s="98">
        <f>SUMIFS('caseload data'!P:P,'caseload data'!$D:$D,"PO",'caseload data'!$C:$C,'custody caseload'!$B$99,'caseload data'!$B:$B,"custody")</f>
        <v>0</v>
      </c>
      <c r="O101" s="98">
        <f>SUMIFS('caseload data'!Q:Q,'caseload data'!$D:$D,"PO",'caseload data'!$C:$C,'custody caseload'!$B$99,'caseload data'!$B:$B,"custody")</f>
        <v>0</v>
      </c>
      <c r="P101" s="98">
        <f>SUMIFS('caseload data'!R:R,'caseload data'!$D:$D,"PO",'caseload data'!$C:$C,'custody caseload'!$B$99,'caseload data'!$B:$B,"custody")</f>
        <v>0</v>
      </c>
      <c r="Q101" s="98">
        <f>SUMIFS('caseload data'!S:S,'caseload data'!$D:$D,"PO",'caseload data'!$C:$C,'custody caseload'!$B$99,'caseload data'!$B:$B,"custody")</f>
        <v>0</v>
      </c>
      <c r="R101" s="98">
        <f>SUMIFS('caseload data'!T:T,'caseload data'!$D:$D,"PO",'caseload data'!$C:$C,'custody caseload'!$B$99,'caseload data'!$B:$B,"custody")</f>
        <v>0</v>
      </c>
      <c r="T101" s="100" t="s">
        <v>1166</v>
      </c>
      <c r="U101" s="98">
        <f>SUMIFS('caseload data'!E:E,'caseload data'!$D:$D,"PO",'caseload data'!$C:$C,'custody caseload'!$T$99,'caseload data'!$B:$B,"custody")</f>
        <v>0</v>
      </c>
      <c r="V101" s="98">
        <f>SUMIFS('caseload data'!F:F,'caseload data'!$D:$D,"PO",'caseload data'!$C:$C,'custody caseload'!$T$99,'caseload data'!$B:$B,"custody")</f>
        <v>0</v>
      </c>
      <c r="W101" s="98">
        <f>SUMIFS('caseload data'!G:G,'caseload data'!$D:$D,"PO",'caseload data'!$C:$C,'custody caseload'!$T$99,'caseload data'!$B:$B,"custody")</f>
        <v>0</v>
      </c>
      <c r="X101" s="98">
        <f>SUMIFS('caseload data'!H:H,'caseload data'!$D:$D,"PO",'caseload data'!$C:$C,'custody caseload'!$T$99,'caseload data'!$B:$B,"custody")</f>
        <v>0</v>
      </c>
      <c r="Y101" s="98">
        <f>SUMIFS('caseload data'!I:I,'caseload data'!$D:$D,"PO",'caseload data'!$C:$C,'custody caseload'!$T$99,'caseload data'!$B:$B,"custody")</f>
        <v>0</v>
      </c>
      <c r="Z101" s="98">
        <f>SUMIFS('caseload data'!J:J,'caseload data'!$D:$D,"PO",'caseload data'!$C:$C,'custody caseload'!$T$99,'caseload data'!$B:$B,"custody")</f>
        <v>0</v>
      </c>
      <c r="AA101" s="98">
        <f>SUMIFS('caseload data'!K:K,'caseload data'!$D:$D,"PO",'caseload data'!$C:$C,'custody caseload'!$T$99,'caseload data'!$B:$B,"custody")</f>
        <v>0</v>
      </c>
      <c r="AB101" s="98">
        <f>SUMIFS('caseload data'!L:L,'caseload data'!$D:$D,"PO",'caseload data'!$C:$C,'custody caseload'!$T$99,'caseload data'!$B:$B,"custody")</f>
        <v>0</v>
      </c>
      <c r="AC101" s="98">
        <f>SUMIFS('caseload data'!M:M,'caseload data'!$D:$D,"PO",'caseload data'!$C:$C,'custody caseload'!$T$99,'caseload data'!$B:$B,"custody")</f>
        <v>0</v>
      </c>
      <c r="AD101" s="98">
        <f>SUMIFS('caseload data'!N:N,'caseload data'!$D:$D,"PO",'caseload data'!$C:$C,'custody caseload'!$T$99,'caseload data'!$B:$B,"custody")</f>
        <v>0</v>
      </c>
      <c r="AE101" s="98">
        <f>SUMIFS('caseload data'!O:O,'caseload data'!$D:$D,"PO",'caseload data'!$C:$C,'custody caseload'!$T$99,'caseload data'!$B:$B,"custody")</f>
        <v>0</v>
      </c>
      <c r="AF101" s="98">
        <f>SUMIFS('caseload data'!P:P,'caseload data'!$D:$D,"PO",'caseload data'!$C:$C,'custody caseload'!$T$99,'caseload data'!$B:$B,"custody")</f>
        <v>0</v>
      </c>
      <c r="AG101" s="98">
        <f>SUMIFS('caseload data'!Q:Q,'caseload data'!$D:$D,"PO",'caseload data'!$C:$C,'custody caseload'!$T$99,'caseload data'!$B:$B,"custody")</f>
        <v>0</v>
      </c>
      <c r="AH101" s="98">
        <f>SUMIFS('caseload data'!R:R,'caseload data'!$D:$D,"PO",'caseload data'!$C:$C,'custody caseload'!$T$99,'caseload data'!$B:$B,"custody")</f>
        <v>0</v>
      </c>
      <c r="AI101" s="98">
        <f>SUMIFS('caseload data'!S:S,'caseload data'!$D:$D,"PO",'caseload data'!$C:$C,'custody caseload'!$T$99,'caseload data'!$B:$B,"custody")</f>
        <v>0</v>
      </c>
      <c r="AJ101" s="98">
        <f>SUMIFS('caseload data'!T:T,'caseload data'!$D:$D,"PO",'caseload data'!$C:$C,'custody caseload'!$T$99,'caseload data'!$B:$B,"custody")</f>
        <v>0</v>
      </c>
    </row>
    <row r="102" spans="2:36" ht="15" x14ac:dyDescent="0.2">
      <c r="B102" s="101" t="s">
        <v>1172</v>
      </c>
      <c r="C102" s="153">
        <f>SUMIFS('caseload data'!E:E,'caseload data'!$D:$D,"PSO",'caseload data'!$C:$C,'custody caseload'!$B$99,'caseload data'!$B:$B,"custody")</f>
        <v>0</v>
      </c>
      <c r="D102" s="153">
        <f>SUMIFS('caseload data'!F:F,'caseload data'!$D:$D,"PSO",'caseload data'!$C:$C,'custody caseload'!$B$99,'caseload data'!$B:$B,"custody")</f>
        <v>0</v>
      </c>
      <c r="E102" s="153">
        <f>SUMIFS('caseload data'!G:G,'caseload data'!$D:$D,"PSO",'caseload data'!$C:$C,'custody caseload'!$B$99,'caseload data'!$B:$B,"custody")</f>
        <v>0</v>
      </c>
      <c r="F102" s="153">
        <f>SUMIFS('caseload data'!H:H,'caseload data'!$D:$D,"PSO",'caseload data'!$C:$C,'custody caseload'!$B$99,'caseload data'!$B:$B,"custody")</f>
        <v>0</v>
      </c>
      <c r="G102" s="153">
        <f>SUMIFS('caseload data'!I:I,'caseload data'!$D:$D,"PSO",'caseload data'!$C:$C,'custody caseload'!$B$99,'caseload data'!$B:$B,"custody")</f>
        <v>0</v>
      </c>
      <c r="H102" s="153">
        <f>SUMIFS('caseload data'!J:J,'caseload data'!$D:$D,"PSO",'caseload data'!$C:$C,'custody caseload'!$B$99,'caseload data'!$B:$B,"custody")</f>
        <v>0</v>
      </c>
      <c r="I102" s="153">
        <f>SUMIFS('caseload data'!K:K,'caseload data'!$D:$D,"PSO",'caseload data'!$C:$C,'custody caseload'!$B$99,'caseload data'!$B:$B,"custody")</f>
        <v>0</v>
      </c>
      <c r="J102" s="153">
        <f>SUMIFS('caseload data'!L:L,'caseload data'!$D:$D,"PSO",'caseload data'!$C:$C,'custody caseload'!$B$99,'caseload data'!$B:$B,"custody")</f>
        <v>0</v>
      </c>
      <c r="K102" s="98">
        <f>SUMIFS('caseload data'!M:M,'caseload data'!$D:$D,"PSO",'caseload data'!$C:$C,'custody caseload'!$B$99,'caseload data'!$B:$B,"custody")</f>
        <v>0</v>
      </c>
      <c r="L102" s="98">
        <f>SUMIFS('caseload data'!N:N,'caseload data'!$D:$D,"PSO",'caseload data'!$C:$C,'custody caseload'!$B$99,'caseload data'!$B:$B,"custody")</f>
        <v>0</v>
      </c>
      <c r="M102" s="98">
        <f>SUMIFS('caseload data'!O:O,'caseload data'!$D:$D,"PSO",'caseload data'!$C:$C,'custody caseload'!$B$99,'caseload data'!$B:$B,"custody")</f>
        <v>0</v>
      </c>
      <c r="N102" s="98">
        <f>SUMIFS('caseload data'!P:P,'caseload data'!$D:$D,"PSO",'caseload data'!$C:$C,'custody caseload'!$B$99,'caseload data'!$B:$B,"custody")</f>
        <v>0</v>
      </c>
      <c r="O102" s="98">
        <f>SUMIFS('caseload data'!Q:Q,'caseload data'!$D:$D,"PSO",'caseload data'!$C:$C,'custody caseload'!$B$99,'caseload data'!$B:$B,"custody")</f>
        <v>0</v>
      </c>
      <c r="P102" s="98">
        <f>SUMIFS('caseload data'!R:R,'caseload data'!$D:$D,"PSO",'caseload data'!$C:$C,'custody caseload'!$B$99,'caseload data'!$B:$B,"custody")</f>
        <v>0</v>
      </c>
      <c r="Q102" s="98">
        <f>SUMIFS('caseload data'!S:S,'caseload data'!$D:$D,"PSO",'caseload data'!$C:$C,'custody caseload'!$B$99,'caseload data'!$B:$B,"custody")</f>
        <v>0</v>
      </c>
      <c r="R102" s="98">
        <f>SUMIFS('caseload data'!T:T,'caseload data'!$D:$D,"PSO",'caseload data'!$C:$C,'custody caseload'!$B$99,'caseload data'!$B:$B,"custody")</f>
        <v>0</v>
      </c>
      <c r="T102" s="101" t="s">
        <v>1172</v>
      </c>
      <c r="U102" s="153">
        <f>SUMIFS('caseload data'!E:E,'caseload data'!$D:$D,"PSO",'caseload data'!$C:$C,'custody caseload'!$T$99,'caseload data'!$B:$B,"custody")</f>
        <v>0</v>
      </c>
      <c r="V102" s="153">
        <f>SUMIFS('caseload data'!F:F,'caseload data'!$D:$D,"PSO",'caseload data'!$C:$C,'custody caseload'!$T$99,'caseload data'!$B:$B,"custody")</f>
        <v>0</v>
      </c>
      <c r="W102" s="153">
        <f>SUMIFS('caseload data'!G:G,'caseload data'!$D:$D,"PSO",'caseload data'!$C:$C,'custody caseload'!$T$99,'caseload data'!$B:$B,"custody")</f>
        <v>0</v>
      </c>
      <c r="X102" s="153">
        <f>SUMIFS('caseload data'!H:H,'caseload data'!$D:$D,"PSO",'caseload data'!$C:$C,'custody caseload'!$T$99,'caseload data'!$B:$B,"custody")</f>
        <v>0</v>
      </c>
      <c r="Y102" s="153">
        <f>SUMIFS('caseload data'!I:I,'caseload data'!$D:$D,"PSO",'caseload data'!$C:$C,'custody caseload'!$T$99,'caseload data'!$B:$B,"custody")</f>
        <v>0</v>
      </c>
      <c r="Z102" s="153">
        <f>SUMIFS('caseload data'!J:J,'caseload data'!$D:$D,"PSO",'caseload data'!$C:$C,'custody caseload'!$T$99,'caseload data'!$B:$B,"custody")</f>
        <v>0</v>
      </c>
      <c r="AA102" s="153">
        <f>SUMIFS('caseload data'!K:K,'caseload data'!$D:$D,"PSO",'caseload data'!$C:$C,'custody caseload'!$T$99,'caseload data'!$B:$B,"custody")</f>
        <v>0</v>
      </c>
      <c r="AB102" s="153">
        <f>SUMIFS('caseload data'!L:L,'caseload data'!$D:$D,"PSO",'caseload data'!$C:$C,'custody caseload'!$T$99,'caseload data'!$B:$B,"custody")</f>
        <v>0</v>
      </c>
      <c r="AC102" s="98">
        <f>SUMIFS('caseload data'!M:M,'caseload data'!$D:$D,"PSO",'caseload data'!$C:$C,'custody caseload'!$T$99,'caseload data'!$B:$B,"custody")</f>
        <v>0</v>
      </c>
      <c r="AD102" s="98">
        <f>SUMIFS('caseload data'!N:N,'caseload data'!$D:$D,"PSO",'caseload data'!$C:$C,'custody caseload'!$T$99,'caseload data'!$B:$B,"custody")</f>
        <v>0</v>
      </c>
      <c r="AE102" s="98">
        <f>SUMIFS('caseload data'!O:O,'caseload data'!$D:$D,"PSO",'caseload data'!$C:$C,'custody caseload'!$T$99,'caseload data'!$B:$B,"custody")</f>
        <v>0</v>
      </c>
      <c r="AF102" s="98">
        <f>SUMIFS('caseload data'!P:P,'caseload data'!$D:$D,"PSO",'caseload data'!$C:$C,'custody caseload'!$T$99,'caseload data'!$B:$B,"custody")</f>
        <v>0</v>
      </c>
      <c r="AG102" s="98">
        <f>SUMIFS('caseload data'!Q:Q,'caseload data'!$D:$D,"PSO",'caseload data'!$C:$C,'custody caseload'!$T$99,'caseload data'!$B:$B,"custody")</f>
        <v>0</v>
      </c>
      <c r="AH102" s="98">
        <f>SUMIFS('caseload data'!R:R,'caseload data'!$D:$D,"PSO",'caseload data'!$C:$C,'custody caseload'!$T$99,'caseload data'!$B:$B,"custody")</f>
        <v>0</v>
      </c>
      <c r="AI102" s="98">
        <f>SUMIFS('caseload data'!S:S,'caseload data'!$D:$D,"PSO",'caseload data'!$C:$C,'custody caseload'!$T$99,'caseload data'!$B:$B,"custody")</f>
        <v>0</v>
      </c>
      <c r="AJ102" s="98">
        <f>SUMIFS('caseload data'!T:T,'caseload data'!$D:$D,"PSO",'caseload data'!$C:$C,'custody caseload'!$T$99,'caseload data'!$B:$B,"custody")</f>
        <v>0</v>
      </c>
    </row>
    <row r="103" spans="2:36" ht="15" x14ac:dyDescent="0.2">
      <c r="B103" s="101" t="s">
        <v>1173</v>
      </c>
      <c r="C103" s="153">
        <f>SUMIFS('caseload data'!E:E,'caseload data'!$D:$D,"TPO",'caseload data'!$C:$C,'custody caseload'!$B$99,'caseload data'!$B:$B,"custody")</f>
        <v>0</v>
      </c>
      <c r="D103" s="153">
        <f>SUMIFS('caseload data'!F:F,'caseload data'!$D:$D,"TPO",'caseload data'!$C:$C,'custody caseload'!$B$99,'caseload data'!$B:$B,"custody")</f>
        <v>0</v>
      </c>
      <c r="E103" s="153">
        <f>SUMIFS('caseload data'!G:G,'caseload data'!$D:$D,"TPO",'caseload data'!$C:$C,'custody caseload'!$B$99,'caseload data'!$B:$B,"custody")</f>
        <v>0</v>
      </c>
      <c r="F103" s="153">
        <f>SUMIFS('caseload data'!H:H,'caseload data'!$D:$D,"TPO",'caseload data'!$C:$C,'custody caseload'!$B$99,'caseload data'!$B:$B,"custody")</f>
        <v>0</v>
      </c>
      <c r="G103" s="153">
        <f>SUMIFS('caseload data'!I:I,'caseload data'!$D:$D,"TPO",'caseload data'!$C:$C,'custody caseload'!$B$99,'caseload data'!$B:$B,"custody")</f>
        <v>0</v>
      </c>
      <c r="H103" s="153">
        <f>SUMIFS('caseload data'!J:J,'caseload data'!$D:$D,"TPO",'caseload data'!$C:$C,'custody caseload'!$B$99,'caseload data'!$B:$B,"custody")</f>
        <v>0</v>
      </c>
      <c r="I103" s="153">
        <f>SUMIFS('caseload data'!K:K,'caseload data'!$D:$D,"TPO",'caseload data'!$C:$C,'custody caseload'!$B$99,'caseload data'!$B:$B,"custody")</f>
        <v>0</v>
      </c>
      <c r="J103" s="153">
        <f>SUMIFS('caseload data'!L:L,'caseload data'!$D:$D,"TPO",'caseload data'!$C:$C,'custody caseload'!$B$99,'caseload data'!$B:$B,"custody")</f>
        <v>0</v>
      </c>
      <c r="K103" s="98">
        <f>SUMIFS('caseload data'!M:M,'caseload data'!$D:$D,"TPO",'caseload data'!$C:$C,'custody caseload'!$B$99,'caseload data'!$B:$B,"custody")</f>
        <v>0</v>
      </c>
      <c r="L103" s="98">
        <f>SUMIFS('caseload data'!N:N,'caseload data'!$D:$D,"TPO",'caseload data'!$C:$C,'custody caseload'!$B$99,'caseload data'!$B:$B,"custody")</f>
        <v>0</v>
      </c>
      <c r="M103" s="98">
        <f>SUMIFS('caseload data'!O:O,'caseload data'!$D:$D,"TPO",'caseload data'!$C:$C,'custody caseload'!$B$99,'caseload data'!$B:$B,"custody")</f>
        <v>0</v>
      </c>
      <c r="N103" s="98">
        <f>SUMIFS('caseload data'!P:P,'caseload data'!$D:$D,"TPO",'caseload data'!$C:$C,'custody caseload'!$B$99,'caseload data'!$B:$B,"custody")</f>
        <v>0</v>
      </c>
      <c r="O103" s="98">
        <f>SUMIFS('caseload data'!Q:Q,'caseload data'!$D:$D,"TPO",'caseload data'!$C:$C,'custody caseload'!$B$99,'caseload data'!$B:$B,"custody")</f>
        <v>0</v>
      </c>
      <c r="P103" s="98">
        <f>SUMIFS('caseload data'!R:R,'caseload data'!$D:$D,"TPO",'caseload data'!$C:$C,'custody caseload'!$B$99,'caseload data'!$B:$B,"custody")</f>
        <v>0</v>
      </c>
      <c r="Q103" s="98">
        <f>SUMIFS('caseload data'!S:S,'caseload data'!$D:$D,"TPO",'caseload data'!$C:$C,'custody caseload'!$B$99,'caseload data'!$B:$B,"custody")</f>
        <v>0</v>
      </c>
      <c r="R103" s="98">
        <f>SUMIFS('caseload data'!T:T,'caseload data'!$D:$D,"TPO",'caseload data'!$C:$C,'custody caseload'!$B$99,'caseload data'!$B:$B,"custody")</f>
        <v>0</v>
      </c>
      <c r="T103" s="101" t="s">
        <v>1173</v>
      </c>
      <c r="U103" s="153">
        <f>SUMIFS('caseload data'!E:E,'caseload data'!$D:$D,"TPO",'caseload data'!$C:$C,'custody caseload'!$T$99,'caseload data'!$B:$B,"custody")</f>
        <v>0</v>
      </c>
      <c r="V103" s="153">
        <f>SUMIFS('caseload data'!F:F,'caseload data'!$D:$D,"TPO",'caseload data'!$C:$C,'custody caseload'!$T$99,'caseload data'!$B:$B,"custody")</f>
        <v>0</v>
      </c>
      <c r="W103" s="153">
        <f>SUMIFS('caseload data'!G:G,'caseload data'!$D:$D,"TPO",'caseload data'!$C:$C,'custody caseload'!$T$99,'caseload data'!$B:$B,"custody")</f>
        <v>0</v>
      </c>
      <c r="X103" s="153">
        <f>SUMIFS('caseload data'!H:H,'caseload data'!$D:$D,"TPO",'caseload data'!$C:$C,'custody caseload'!$T$99,'caseload data'!$B:$B,"custody")</f>
        <v>0</v>
      </c>
      <c r="Y103" s="153">
        <f>SUMIFS('caseload data'!I:I,'caseload data'!$D:$D,"TPO",'caseload data'!$C:$C,'custody caseload'!$T$99,'caseload data'!$B:$B,"custody")</f>
        <v>0</v>
      </c>
      <c r="Z103" s="153">
        <f>SUMIFS('caseload data'!J:J,'caseload data'!$D:$D,"TPO",'caseload data'!$C:$C,'custody caseload'!$T$99,'caseload data'!$B:$B,"custody")</f>
        <v>0</v>
      </c>
      <c r="AA103" s="153">
        <f>SUMIFS('caseload data'!K:K,'caseload data'!$D:$D,"TPO",'caseload data'!$C:$C,'custody caseload'!$T$99,'caseload data'!$B:$B,"custody")</f>
        <v>0</v>
      </c>
      <c r="AB103" s="153">
        <f>SUMIFS('caseload data'!L:L,'caseload data'!$D:$D,"TPO",'caseload data'!$C:$C,'custody caseload'!$T$99,'caseload data'!$B:$B,"custody")</f>
        <v>0</v>
      </c>
      <c r="AC103" s="98">
        <f>SUMIFS('caseload data'!M:M,'caseload data'!$D:$D,"TPO",'caseload data'!$C:$C,'custody caseload'!$T$99,'caseload data'!$B:$B,"custody")</f>
        <v>0</v>
      </c>
      <c r="AD103" s="98">
        <f>SUMIFS('caseload data'!N:N,'caseload data'!$D:$D,"TPO",'caseload data'!$C:$C,'custody caseload'!$T$99,'caseload data'!$B:$B,"custody")</f>
        <v>0</v>
      </c>
      <c r="AE103" s="98">
        <f>SUMIFS('caseload data'!O:O,'caseload data'!$D:$D,"TPO",'caseload data'!$C:$C,'custody caseload'!$T$99,'caseload data'!$B:$B,"custody")</f>
        <v>0</v>
      </c>
      <c r="AF103" s="98">
        <f>SUMIFS('caseload data'!P:P,'caseload data'!$D:$D,"TPO",'caseload data'!$C:$C,'custody caseload'!$T$99,'caseload data'!$B:$B,"custody")</f>
        <v>0</v>
      </c>
      <c r="AG103" s="98">
        <f>SUMIFS('caseload data'!Q:Q,'caseload data'!$D:$D,"TPO",'caseload data'!$C:$C,'custody caseload'!$T$99,'caseload data'!$B:$B,"custody")</f>
        <v>0</v>
      </c>
      <c r="AH103" s="98">
        <f>SUMIFS('caseload data'!R:R,'caseload data'!$D:$D,"TPO",'caseload data'!$C:$C,'custody caseload'!$T$99,'caseload data'!$B:$B,"custody")</f>
        <v>0</v>
      </c>
      <c r="AI103" s="98">
        <f>SUMIFS('caseload data'!S:S,'caseload data'!$D:$D,"TPO",'caseload data'!$C:$C,'custody caseload'!$T$99,'caseload data'!$B:$B,"custody")</f>
        <v>0</v>
      </c>
      <c r="AJ103" s="98">
        <f>SUMIFS('caseload data'!T:T,'caseload data'!$D:$D,"TPO",'caseload data'!$C:$C,'custody caseload'!$T$99,'caseload data'!$B:$B,"custody")</f>
        <v>0</v>
      </c>
    </row>
    <row r="104" spans="2:36" x14ac:dyDescent="0.15">
      <c r="B104" s="102" t="s">
        <v>1174</v>
      </c>
      <c r="C104" s="98">
        <f>SUMIFS('caseload data'!E:E,'caseload data'!$D:$D,"SPO",'caseload data'!$C:$C,'custody caseload'!$B$99,'caseload data'!$B:$B,"custody")</f>
        <v>0</v>
      </c>
      <c r="D104" s="98">
        <f>SUMIFS('caseload data'!F:F,'caseload data'!$D:$D,"SPO",'caseload data'!$C:$C,'custody caseload'!$B$99,'caseload data'!$B:$B,"custody")</f>
        <v>0</v>
      </c>
      <c r="E104" s="98">
        <f>SUMIFS('caseload data'!G:G,'caseload data'!$D:$D,"SPO",'caseload data'!$C:$C,'custody caseload'!$B$99,'caseload data'!$B:$B,"custody")</f>
        <v>0</v>
      </c>
      <c r="F104" s="98">
        <f>SUMIFS('caseload data'!H:H,'caseload data'!$D:$D,"SPO",'caseload data'!$C:$C,'custody caseload'!$B$99,'caseload data'!$B:$B,"custody")</f>
        <v>0</v>
      </c>
      <c r="G104" s="98">
        <f>SUMIFS('caseload data'!I:I,'caseload data'!$D:$D,"SPO",'caseload data'!$C:$C,'custody caseload'!$B$99,'caseload data'!$B:$B,"custody")</f>
        <v>0</v>
      </c>
      <c r="H104" s="98">
        <f>SUMIFS('caseload data'!J:J,'caseload data'!$D:$D,"SPO",'caseload data'!$C:$C,'custody caseload'!$B$99,'caseload data'!$B:$B,"custody")</f>
        <v>0</v>
      </c>
      <c r="I104" s="98">
        <f>SUMIFS('caseload data'!K:K,'caseload data'!$D:$D,"SPO",'caseload data'!$C:$C,'custody caseload'!$B$99,'caseload data'!$B:$B,"custody")</f>
        <v>0</v>
      </c>
      <c r="J104" s="98">
        <f>SUMIFS('caseload data'!L:L,'caseload data'!$D:$D,"SPO",'caseload data'!$C:$C,'custody caseload'!$B$99,'caseload data'!$B:$B,"custody")</f>
        <v>0</v>
      </c>
      <c r="K104" s="98">
        <f>SUMIFS('caseload data'!M:M,'caseload data'!$D:$D,"SPO",'caseload data'!$C:$C,'custody caseload'!$B$99,'caseload data'!$B:$B,"custody")</f>
        <v>0</v>
      </c>
      <c r="L104" s="98">
        <f>SUMIFS('caseload data'!N:N,'caseload data'!$D:$D,"SPO",'caseload data'!$C:$C,'custody caseload'!$B$99,'caseload data'!$B:$B,"custody")</f>
        <v>0</v>
      </c>
      <c r="M104" s="98">
        <f>SUMIFS('caseload data'!O:O,'caseload data'!$D:$D,"SPO",'caseload data'!$C:$C,'custody caseload'!$B$99,'caseload data'!$B:$B,"custody")</f>
        <v>0</v>
      </c>
      <c r="N104" s="98">
        <f>SUMIFS('caseload data'!P:P,'caseload data'!$D:$D,"SPO",'caseload data'!$C:$C,'custody caseload'!$B$99,'caseload data'!$B:$B,"custody")</f>
        <v>0</v>
      </c>
      <c r="O104" s="98">
        <f>SUMIFS('caseload data'!Q:Q,'caseload data'!$D:$D,"SPO",'caseload data'!$C:$C,'custody caseload'!$B$99,'caseload data'!$B:$B,"custody")</f>
        <v>0</v>
      </c>
      <c r="P104" s="98">
        <f>SUMIFS('caseload data'!R:R,'caseload data'!$D:$D,"SPO",'caseload data'!$C:$C,'custody caseload'!$B$99,'caseload data'!$B:$B,"custody")</f>
        <v>0</v>
      </c>
      <c r="Q104" s="98">
        <f>SUMIFS('caseload data'!S:S,'caseload data'!$D:$D,"SPO",'caseload data'!$C:$C,'custody caseload'!$B$99,'caseload data'!$B:$B,"custody")</f>
        <v>0</v>
      </c>
      <c r="R104" s="98">
        <f>SUMIFS('caseload data'!T:T,'caseload data'!$D:$D,"SPO",'caseload data'!$C:$C,'custody caseload'!$B$99,'caseload data'!$B:$B,"custody")</f>
        <v>0</v>
      </c>
      <c r="T104" s="102" t="s">
        <v>1174</v>
      </c>
      <c r="U104" s="98">
        <f>SUMIFS('caseload data'!E:E,'caseload data'!$D:$D,"SPO",'caseload data'!$C:$C,'custody caseload'!$T$99,'caseload data'!$B:$B,"custody")</f>
        <v>0</v>
      </c>
      <c r="V104" s="98">
        <f>SUMIFS('caseload data'!F:F,'caseload data'!$D:$D,"SPO",'caseload data'!$C:$C,'custody caseload'!$T$99,'caseload data'!$B:$B,"custody")</f>
        <v>0</v>
      </c>
      <c r="W104" s="98">
        <f>SUMIFS('caseload data'!G:G,'caseload data'!$D:$D,"SPO",'caseload data'!$C:$C,'custody caseload'!$T$99,'caseload data'!$B:$B,"custody")</f>
        <v>0</v>
      </c>
      <c r="X104" s="98">
        <f>SUMIFS('caseload data'!H:H,'caseload data'!$D:$D,"SPO",'caseload data'!$C:$C,'custody caseload'!$T$99,'caseload data'!$B:$B,"custody")</f>
        <v>0</v>
      </c>
      <c r="Y104" s="98">
        <f>SUMIFS('caseload data'!I:I,'caseload data'!$D:$D,"SPO",'caseload data'!$C:$C,'custody caseload'!$T$99,'caseload data'!$B:$B,"custody")</f>
        <v>0</v>
      </c>
      <c r="Z104" s="98">
        <f>SUMIFS('caseload data'!J:J,'caseload data'!$D:$D,"SPO",'caseload data'!$C:$C,'custody caseload'!$T$99,'caseload data'!$B:$B,"custody")</f>
        <v>0</v>
      </c>
      <c r="AA104" s="98">
        <f>SUMIFS('caseload data'!K:K,'caseload data'!$D:$D,"SPO",'caseload data'!$C:$C,'custody caseload'!$T$99,'caseload data'!$B:$B,"custody")</f>
        <v>0</v>
      </c>
      <c r="AB104" s="98">
        <f>SUMIFS('caseload data'!L:L,'caseload data'!$D:$D,"SPO",'caseload data'!$C:$C,'custody caseload'!$T$99,'caseload data'!$B:$B,"custody")</f>
        <v>0</v>
      </c>
      <c r="AC104" s="98">
        <f>SUMIFS('caseload data'!M:M,'caseload data'!$D:$D,"SPO",'caseload data'!$C:$C,'custody caseload'!$T$99,'caseload data'!$B:$B,"custody")</f>
        <v>0</v>
      </c>
      <c r="AD104" s="98">
        <f>SUMIFS('caseload data'!N:N,'caseload data'!$D:$D,"SPO",'caseload data'!$C:$C,'custody caseload'!$T$99,'caseload data'!$B:$B,"custody")</f>
        <v>0</v>
      </c>
      <c r="AE104" s="98">
        <f>SUMIFS('caseload data'!O:O,'caseload data'!$D:$D,"SPO",'caseload data'!$C:$C,'custody caseload'!$T$99,'caseload data'!$B:$B,"custody")</f>
        <v>0</v>
      </c>
      <c r="AF104" s="98">
        <f>SUMIFS('caseload data'!P:P,'caseload data'!$D:$D,"SPO",'caseload data'!$C:$C,'custody caseload'!$T$99,'caseload data'!$B:$B,"custody")</f>
        <v>0</v>
      </c>
      <c r="AG104" s="98">
        <f>SUMIFS('caseload data'!Q:Q,'caseload data'!$D:$D,"SPO",'caseload data'!$C:$C,'custody caseload'!$T$99,'caseload data'!$B:$B,"custody")</f>
        <v>0</v>
      </c>
      <c r="AH104" s="98">
        <f>SUMIFS('caseload data'!R:R,'caseload data'!$D:$D,"SPO",'caseload data'!$C:$C,'custody caseload'!$T$99,'caseload data'!$B:$B,"custody")</f>
        <v>0</v>
      </c>
      <c r="AI104" s="98">
        <f>SUMIFS('caseload data'!S:S,'caseload data'!$D:$D,"SPO",'caseload data'!$C:$C,'custody caseload'!$T$99,'caseload data'!$B:$B,"custody")</f>
        <v>0</v>
      </c>
      <c r="AJ104" s="98">
        <f>SUMIFS('caseload data'!T:T,'caseload data'!$D:$D,"SPO",'caseload data'!$C:$C,'custody caseload'!$T$99,'caseload data'!$B:$B,"custody")</f>
        <v>0</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71:O71"/>
    <mergeCell ref="P71:R71"/>
    <mergeCell ref="C64:O64"/>
    <mergeCell ref="P64:R64"/>
    <mergeCell ref="U64:AG64"/>
    <mergeCell ref="AH64:AJ64"/>
    <mergeCell ref="C57:O57"/>
    <mergeCell ref="P57:R57"/>
    <mergeCell ref="U57:AG57"/>
    <mergeCell ref="AH57:AJ57"/>
    <mergeCell ref="C43:O43"/>
    <mergeCell ref="P43:R43"/>
    <mergeCell ref="U43:AG43"/>
    <mergeCell ref="AH43:AJ43"/>
    <mergeCell ref="C50:O50"/>
    <mergeCell ref="P50:R50"/>
    <mergeCell ref="U50:AG50"/>
    <mergeCell ref="AH50:AJ50"/>
    <mergeCell ref="C29:O29"/>
    <mergeCell ref="P29:R29"/>
    <mergeCell ref="U29:AG29"/>
    <mergeCell ref="AH29:AJ29"/>
    <mergeCell ref="C36:O36"/>
    <mergeCell ref="P36:R36"/>
    <mergeCell ref="U36:AG36"/>
    <mergeCell ref="AH36:AJ36"/>
    <mergeCell ref="C15:O15"/>
    <mergeCell ref="P15:R15"/>
    <mergeCell ref="U15:AG15"/>
    <mergeCell ref="AH15:AJ15"/>
    <mergeCell ref="C22:O22"/>
    <mergeCell ref="P22:R22"/>
    <mergeCell ref="U22:AG22"/>
    <mergeCell ref="AH22:AJ22"/>
    <mergeCell ref="C8:O8"/>
    <mergeCell ref="P8:R8"/>
    <mergeCell ref="U8:AG8"/>
    <mergeCell ref="AH8:AJ8"/>
    <mergeCell ref="A1:AJ1"/>
    <mergeCell ref="B2:AJ2"/>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topLeftCell="A37" zoomScale="85" zoomScaleNormal="85" workbookViewId="0">
      <selection activeCell="B6" sqref="B6"/>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483" t="s">
        <v>1307</v>
      </c>
      <c r="B1" s="483"/>
      <c r="C1" s="483"/>
      <c r="D1" s="483"/>
      <c r="E1" s="483"/>
      <c r="F1" s="483"/>
      <c r="G1" s="483"/>
      <c r="H1" s="483"/>
      <c r="I1" s="483"/>
      <c r="J1" s="483"/>
      <c r="K1" s="483"/>
      <c r="L1" s="483"/>
      <c r="M1" s="483"/>
      <c r="N1" s="483"/>
      <c r="O1" s="483"/>
      <c r="P1" s="483"/>
      <c r="Q1" s="483"/>
      <c r="R1" s="483"/>
      <c r="S1" s="483"/>
      <c r="T1" s="483"/>
      <c r="U1" s="483"/>
      <c r="V1" s="483"/>
      <c r="W1" s="483"/>
      <c r="X1" s="483"/>
      <c r="Y1" s="483"/>
      <c r="Z1" s="483"/>
      <c r="AA1" s="483"/>
      <c r="AB1" s="483"/>
      <c r="AC1" s="483"/>
      <c r="AD1" s="483"/>
      <c r="AE1" s="483"/>
      <c r="AF1" s="483"/>
      <c r="AG1" s="483"/>
      <c r="AH1" s="483"/>
      <c r="AI1" s="483"/>
      <c r="AJ1" s="483"/>
      <c r="AK1" s="273"/>
      <c r="AL1" s="273"/>
      <c r="AM1" s="273"/>
      <c r="AN1" s="273"/>
      <c r="AO1" s="273"/>
      <c r="AP1" s="273"/>
      <c r="AQ1" s="273"/>
      <c r="AR1" s="273"/>
      <c r="AS1" s="273"/>
      <c r="AT1" s="273"/>
      <c r="AU1" s="273"/>
      <c r="AV1" s="273"/>
      <c r="AW1" s="273"/>
    </row>
    <row r="2" spans="1:49" ht="59.25" customHeight="1" x14ac:dyDescent="0.15">
      <c r="A2" s="374"/>
      <c r="B2" s="374"/>
      <c r="C2" s="374"/>
      <c r="D2" s="374"/>
      <c r="E2" s="374"/>
      <c r="F2" s="374"/>
      <c r="G2" s="374"/>
      <c r="H2" s="374"/>
      <c r="I2" s="374"/>
      <c r="J2" s="374"/>
      <c r="K2" s="374"/>
      <c r="L2" s="374"/>
      <c r="M2" s="374"/>
      <c r="N2" s="374"/>
      <c r="O2" s="374"/>
      <c r="P2" s="374"/>
      <c r="Q2" s="374"/>
      <c r="R2" s="374"/>
      <c r="S2" s="374"/>
      <c r="T2" s="374"/>
      <c r="U2" s="374"/>
      <c r="V2" s="374"/>
      <c r="W2" s="374"/>
      <c r="X2" s="374"/>
      <c r="Y2" s="374"/>
      <c r="Z2" s="374"/>
      <c r="AA2" s="374"/>
      <c r="AB2" s="374"/>
      <c r="AC2" s="374"/>
      <c r="AD2" s="374"/>
      <c r="AE2" s="374"/>
      <c r="AF2" s="374"/>
      <c r="AG2" s="374"/>
      <c r="AH2" s="374"/>
      <c r="AI2" s="374"/>
      <c r="AJ2" s="374"/>
      <c r="AK2" s="275"/>
      <c r="AL2" s="275"/>
      <c r="AM2" s="275"/>
      <c r="AN2" s="275"/>
      <c r="AO2" s="275"/>
      <c r="AP2" s="275"/>
      <c r="AQ2" s="275"/>
      <c r="AR2" s="275"/>
      <c r="AS2" s="275"/>
      <c r="AT2" s="275"/>
      <c r="AU2" s="275"/>
      <c r="AV2" s="275"/>
    </row>
    <row r="3" spans="1:49" s="51" customFormat="1" ht="16" x14ac:dyDescent="0.15">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row>
    <row r="4" spans="1:49" ht="30" x14ac:dyDescent="0.15">
      <c r="B4" s="38" t="s">
        <v>1103</v>
      </c>
    </row>
    <row r="5" spans="1:49" ht="23.25" customHeight="1" x14ac:dyDescent="0.15">
      <c r="B5" s="251" t="s">
        <v>27</v>
      </c>
      <c r="P5" s="42"/>
    </row>
    <row r="6" spans="1:49" x14ac:dyDescent="0.15">
      <c r="B6" s="49"/>
    </row>
    <row r="8" spans="1:49" ht="28.5" customHeight="1" x14ac:dyDescent="0.15">
      <c r="B8" s="302" t="str">
        <f>HLOOKUP($B$5,Region_Table,2,0)</f>
        <v>Barking and Dagenham and Havering</v>
      </c>
      <c r="C8" s="467" t="s">
        <v>1305</v>
      </c>
      <c r="D8" s="468"/>
      <c r="E8" s="468"/>
      <c r="F8" s="468"/>
      <c r="G8" s="468"/>
      <c r="H8" s="468"/>
      <c r="I8" s="468"/>
      <c r="J8" s="468"/>
      <c r="K8" s="468"/>
      <c r="L8" s="468"/>
      <c r="M8" s="487"/>
      <c r="N8" s="487"/>
      <c r="O8" s="488"/>
      <c r="P8" s="462">
        <f>SUMIF('caseload data'!C:C,'custody %'!B8,'caseload data'!V:V)</f>
        <v>0</v>
      </c>
      <c r="Q8" s="479"/>
      <c r="R8" s="480"/>
      <c r="S8" s="68"/>
      <c r="T8" s="302" t="str">
        <f>HLOOKUP($B$5,Region_Table,3,0)</f>
        <v>Brent - N07</v>
      </c>
      <c r="U8" s="467" t="s">
        <v>1305</v>
      </c>
      <c r="V8" s="468"/>
      <c r="W8" s="468"/>
      <c r="X8" s="468"/>
      <c r="Y8" s="468"/>
      <c r="Z8" s="468"/>
      <c r="AA8" s="468"/>
      <c r="AB8" s="468"/>
      <c r="AC8" s="487"/>
      <c r="AD8" s="487"/>
      <c r="AE8" s="488"/>
      <c r="AF8" s="462">
        <f>SUMIF('caseload data'!C:C,'custody %'!T8,'caseload data'!V:V)</f>
        <v>0</v>
      </c>
      <c r="AG8" s="479"/>
      <c r="AH8" s="480"/>
    </row>
    <row r="9" spans="1:49" x14ac:dyDescent="0.15">
      <c r="B9" s="99" t="s">
        <v>1170</v>
      </c>
      <c r="C9" s="40" t="s">
        <v>1022</v>
      </c>
      <c r="D9" s="40" t="s">
        <v>1023</v>
      </c>
      <c r="E9" s="40" t="s">
        <v>1024</v>
      </c>
      <c r="F9" s="40" t="s">
        <v>1025</v>
      </c>
      <c r="G9" s="40" t="s">
        <v>1026</v>
      </c>
      <c r="H9" s="40" t="s">
        <v>1027</v>
      </c>
      <c r="I9" s="40" t="s">
        <v>1028</v>
      </c>
      <c r="J9" s="40" t="s">
        <v>1029</v>
      </c>
      <c r="K9" s="40" t="s">
        <v>1030</v>
      </c>
      <c r="L9" s="40" t="s">
        <v>1031</v>
      </c>
      <c r="M9" s="40" t="s">
        <v>1032</v>
      </c>
      <c r="N9" s="40" t="s">
        <v>1033</v>
      </c>
      <c r="O9" s="40" t="s">
        <v>1034</v>
      </c>
      <c r="P9" s="40" t="s">
        <v>1035</v>
      </c>
      <c r="Q9" s="40" t="s">
        <v>1036</v>
      </c>
      <c r="R9" s="40" t="s">
        <v>1037</v>
      </c>
      <c r="S9" s="68"/>
      <c r="T9" s="99" t="s">
        <v>1170</v>
      </c>
      <c r="U9" s="40" t="s">
        <v>1022</v>
      </c>
      <c r="V9" s="40" t="s">
        <v>1023</v>
      </c>
      <c r="W9" s="40" t="s">
        <v>1024</v>
      </c>
      <c r="X9" s="40" t="s">
        <v>1025</v>
      </c>
      <c r="Y9" s="40" t="s">
        <v>1026</v>
      </c>
      <c r="Z9" s="40" t="s">
        <v>1027</v>
      </c>
      <c r="AA9" s="40" t="s">
        <v>1028</v>
      </c>
      <c r="AB9" s="40" t="s">
        <v>1029</v>
      </c>
      <c r="AC9" s="40" t="s">
        <v>1030</v>
      </c>
      <c r="AD9" s="40" t="s">
        <v>1031</v>
      </c>
      <c r="AE9" s="40" t="s">
        <v>1032</v>
      </c>
      <c r="AF9" s="40" t="s">
        <v>1033</v>
      </c>
      <c r="AG9" s="40" t="s">
        <v>1034</v>
      </c>
      <c r="AH9" s="40" t="s">
        <v>1035</v>
      </c>
      <c r="AI9" s="40" t="s">
        <v>1036</v>
      </c>
      <c r="AJ9" s="40" t="s">
        <v>1037</v>
      </c>
    </row>
    <row r="10" spans="1:49" x14ac:dyDescent="0.15">
      <c r="B10" s="100" t="s">
        <v>1166</v>
      </c>
      <c r="C10" s="175" t="str">
        <f>IFERROR(SUMIFS('caseload data'!E:E,'caseload data'!$C:$C,'custody %'!$B$8,'caseload data'!$D:$D,"PO",'caseload data'!$B:$B,"custody")/SUMIFS('caseload data'!E:E,'caseload data'!$B:$B,"custody",'caseload data'!$C:$C,'custody %'!$B$8),"")</f>
        <v/>
      </c>
      <c r="D10" s="175" t="str">
        <f>IFERROR(SUMIFS('caseload data'!F:F,'caseload data'!$C:$C,'custody %'!$B$8,'caseload data'!$D:$D,"PO",'caseload data'!$B:$B,"custody")/SUMIFS('caseload data'!F:F,'caseload data'!$B:$B,"custody",'caseload data'!$C:$C,'custody %'!$B$8),"")</f>
        <v/>
      </c>
      <c r="E10" s="175" t="str">
        <f>IFERROR(SUMIFS('caseload data'!G:G,'caseload data'!$C:$C,'custody %'!$B$8,'caseload data'!$D:$D,"PO",'caseload data'!$B:$B,"custody")/SUMIFS('caseload data'!G:G,'caseload data'!$B:$B,"custody",'caseload data'!$C:$C,'custody %'!$B$8),"")</f>
        <v/>
      </c>
      <c r="F10" s="175" t="str">
        <f>IFERROR(SUMIFS('caseload data'!H:H,'caseload data'!$C:$C,'custody %'!$B$8,'caseload data'!$D:$D,"PO",'caseload data'!$B:$B,"custody")/SUMIFS('caseload data'!H:H,'caseload data'!$B:$B,"custody",'caseload data'!$C:$C,'custody %'!$B$8),"")</f>
        <v/>
      </c>
      <c r="G10" s="175" t="str">
        <f>IFERROR(SUMIFS('caseload data'!I:I,'caseload data'!$C:$C,'custody %'!$B$8,'caseload data'!$D:$D,"PO",'caseload data'!$B:$B,"custody")/SUMIFS('caseload data'!I:I,'caseload data'!$B:$B,"custody",'caseload data'!$C:$C,'custody %'!$B$8),"")</f>
        <v/>
      </c>
      <c r="H10" s="175" t="str">
        <f>IFERROR(SUMIFS('caseload data'!J:J,'caseload data'!$C:$C,'custody %'!$B$8,'caseload data'!$D:$D,"PO",'caseload data'!$B:$B,"custody")/SUMIFS('caseload data'!J:J,'caseload data'!$B:$B,"custody",'caseload data'!$C:$C,'custody %'!$B$8),"")</f>
        <v/>
      </c>
      <c r="I10" s="175" t="str">
        <f>IFERROR(SUMIFS('caseload data'!K:K,'caseload data'!$C:$C,'custody %'!$B$8,'caseload data'!$D:$D,"PO",'caseload data'!$B:$B,"custody")/SUMIFS('caseload data'!K:K,'caseload data'!$B:$B,"custody",'caseload data'!$C:$C,'custody %'!$B$8),"")</f>
        <v/>
      </c>
      <c r="J10" s="175" t="str">
        <f>IFERROR(SUMIFS('caseload data'!L:L,'caseload data'!$C:$C,'custody %'!$B$8,'caseload data'!$D:$D,"PO",'caseload data'!$B:$B,"custody")/SUMIFS('caseload data'!L:L,'caseload data'!$B:$B,"custody",'caseload data'!$C:$C,'custody %'!$B$8),"")</f>
        <v/>
      </c>
      <c r="K10" s="175" t="str">
        <f>IFERROR(SUMIFS('caseload data'!M:M,'caseload data'!$C:$C,'custody %'!$B$8,'caseload data'!$D:$D,"PO",'caseload data'!$B:$B,"custody")/SUMIFS('caseload data'!M:M,'caseload data'!$B:$B,"custody",'caseload data'!$C:$C,'custody %'!$B$8),"")</f>
        <v/>
      </c>
      <c r="L10" s="175" t="str">
        <f>IFERROR(SUMIFS('caseload data'!N:N,'caseload data'!$C:$C,'custody %'!$B$8,'caseload data'!$D:$D,"PO",'caseload data'!$B:$B,"custody")/SUMIFS('caseload data'!N:N,'caseload data'!$B:$B,"custody",'caseload data'!$C:$C,'custody %'!$B$8),"")</f>
        <v/>
      </c>
      <c r="M10" s="175" t="str">
        <f>IFERROR(SUMIFS('caseload data'!O:O,'caseload data'!$C:$C,'custody %'!$B$8,'caseload data'!$D:$D,"PO",'caseload data'!$B:$B,"custody")/SUMIFS('caseload data'!O:O,'caseload data'!$B:$B,"custody",'caseload data'!$C:$C,'custody %'!$B$8),"")</f>
        <v/>
      </c>
      <c r="N10" s="175" t="str">
        <f>IFERROR(SUMIFS('caseload data'!P:P,'caseload data'!$C:$C,'custody %'!$B$8,'caseload data'!$D:$D,"PO",'caseload data'!$B:$B,"custody")/SUMIFS('caseload data'!P:P,'caseload data'!$B:$B,"custody",'caseload data'!$C:$C,'custody %'!$B$8),"")</f>
        <v/>
      </c>
      <c r="O10" s="175" t="str">
        <f>IFERROR(SUMIFS('caseload data'!Q:Q,'caseload data'!$C:$C,'custody %'!$B$8,'caseload data'!$D:$D,"PO",'caseload data'!$B:$B,"custody")/SUMIFS('caseload data'!Q:Q,'caseload data'!$B:$B,"custody",'caseload data'!$C:$C,'custody %'!$B$8),"")</f>
        <v/>
      </c>
      <c r="P10" s="175" t="str">
        <f>IFERROR(SUMIFS('caseload data'!R:R,'caseload data'!$C:$C,'custody %'!$B$8,'caseload data'!$D:$D,"PO",'caseload data'!$B:$B,"custody")/SUMIFS('caseload data'!R:R,'caseload data'!$B:$B,"custody",'caseload data'!$C:$C,'custody %'!$B$8),"")</f>
        <v/>
      </c>
      <c r="Q10" s="175" t="str">
        <f>IFERROR(SUMIFS('caseload data'!S:S,'caseload data'!$C:$C,'custody %'!$B$8,'caseload data'!$D:$D,"PO",'caseload data'!$B:$B,"custody")/SUMIFS('caseload data'!S:S,'caseload data'!$B:$B,"custody",'caseload data'!$C:$C,'custody %'!$B$8),"")</f>
        <v/>
      </c>
      <c r="R10" s="175" t="str">
        <f>IFERROR(SUMIFS('caseload data'!T:T,'caseload data'!$C:$C,'custody %'!$B$8,'caseload data'!$D:$D,"PO",'caseload data'!$B:$B,"custody")/SUMIFS('caseload data'!T:T,'caseload data'!$B:$B,"custody",'caseload data'!$C:$C,'custody %'!$B$8),"")</f>
        <v/>
      </c>
      <c r="S10" s="68"/>
      <c r="T10" s="100" t="s">
        <v>1166</v>
      </c>
      <c r="U10" s="175" t="str">
        <f>IFERROR(SUMIFS('caseload data'!E:E,'caseload data'!$C:$C,'custody %'!$T$8,'caseload data'!$D:$D,"PO",'caseload data'!$B:$B,"custody")/SUMIFS('caseload data'!E:E,'caseload data'!$B:$B,"custody",'caseload data'!$C:$C,'custody %'!$T$8),"")</f>
        <v/>
      </c>
      <c r="V10" s="175" t="str">
        <f>IFERROR(SUMIFS('caseload data'!F:F,'caseload data'!$C:$C,'custody %'!$T$8,'caseload data'!$D:$D,"PO",'caseload data'!$B:$B,"custody")/SUMIFS('caseload data'!F:F,'caseload data'!$B:$B,"custody",'caseload data'!$C:$C,'custody %'!$T$8),"")</f>
        <v/>
      </c>
      <c r="W10" s="175" t="str">
        <f>IFERROR(SUMIFS('caseload data'!G:G,'caseload data'!$C:$C,'custody %'!$T$8,'caseload data'!$D:$D,"PO",'caseload data'!$B:$B,"custody")/SUMIFS('caseload data'!G:G,'caseload data'!$B:$B,"custody",'caseload data'!$C:$C,'custody %'!$T$8),"")</f>
        <v/>
      </c>
      <c r="X10" s="175" t="str">
        <f>IFERROR(SUMIFS('caseload data'!H:H,'caseload data'!$C:$C,'custody %'!$T$8,'caseload data'!$D:$D,"PO",'caseload data'!$B:$B,"custody")/SUMIFS('caseload data'!H:H,'caseload data'!$B:$B,"custody",'caseload data'!$C:$C,'custody %'!$T$8),"")</f>
        <v/>
      </c>
      <c r="Y10" s="175" t="str">
        <f>IFERROR(SUMIFS('caseload data'!I:I,'caseload data'!$C:$C,'custody %'!$T$8,'caseload data'!$D:$D,"PO",'caseload data'!$B:$B,"custody")/SUMIFS('caseload data'!I:I,'caseload data'!$B:$B,"custody",'caseload data'!$C:$C,'custody %'!$T$8),"")</f>
        <v/>
      </c>
      <c r="Z10" s="175" t="str">
        <f>IFERROR(SUMIFS('caseload data'!J:J,'caseload data'!$C:$C,'custody %'!$T$8,'caseload data'!$D:$D,"PO",'caseload data'!$B:$B,"custody")/SUMIFS('caseload data'!J:J,'caseload data'!$B:$B,"custody",'caseload data'!$C:$C,'custody %'!$T$8),"")</f>
        <v/>
      </c>
      <c r="AA10" s="175" t="str">
        <f>IFERROR(SUMIFS('caseload data'!K:K,'caseload data'!$C:$C,'custody %'!$T$8,'caseload data'!$D:$D,"PO",'caseload data'!$B:$B,"custody")/SUMIFS('caseload data'!K:K,'caseload data'!$B:$B,"custody",'caseload data'!$C:$C,'custody %'!$T$8),"")</f>
        <v/>
      </c>
      <c r="AB10" s="175" t="str">
        <f>IFERROR(SUMIFS('caseload data'!L:L,'caseload data'!$C:$C,'custody %'!$T$8,'caseload data'!$D:$D,"PO",'caseload data'!$B:$B,"custody")/SUMIFS('caseload data'!L:L,'caseload data'!$B:$B,"custody",'caseload data'!$C:$C,'custody %'!$T$8),"")</f>
        <v/>
      </c>
      <c r="AC10" s="175" t="str">
        <f>IFERROR(SUMIFS('caseload data'!M:M,'caseload data'!$C:$C,'custody %'!$T$8,'caseload data'!$D:$D,"PO",'caseload data'!$B:$B,"custody")/SUMIFS('caseload data'!M:M,'caseload data'!$B:$B,"custody",'caseload data'!$C:$C,'custody %'!$T$8),"")</f>
        <v/>
      </c>
      <c r="AD10" s="175" t="str">
        <f>IFERROR(SUMIFS('caseload data'!N:N,'caseload data'!$C:$C,'custody %'!$T$8,'caseload data'!$D:$D,"PO",'caseload data'!$B:$B,"custody")/SUMIFS('caseload data'!N:N,'caseload data'!$B:$B,"custody",'caseload data'!$C:$C,'custody %'!$T$8),"")</f>
        <v/>
      </c>
      <c r="AE10" s="175" t="str">
        <f>IFERROR(SUMIFS('caseload data'!O:O,'caseload data'!$C:$C,'custody %'!$T$8,'caseload data'!$D:$D,"PO",'caseload data'!$B:$B,"custody")/SUMIFS('caseload data'!O:O,'caseload data'!$B:$B,"custody",'caseload data'!$C:$C,'custody %'!$T$8),"")</f>
        <v/>
      </c>
      <c r="AF10" s="175" t="str">
        <f>IFERROR(SUMIFS('caseload data'!P:P,'caseload data'!$C:$C,'custody %'!$T$8,'caseload data'!$D:$D,"PO",'caseload data'!$B:$B,"custody")/SUMIFS('caseload data'!P:P,'caseload data'!$B:$B,"custody",'caseload data'!$C:$C,'custody %'!$T$8),"")</f>
        <v/>
      </c>
      <c r="AG10" s="175" t="str">
        <f>IFERROR(SUMIFS('caseload data'!Q:Q,'caseload data'!$C:$C,'custody %'!$T$8,'caseload data'!$D:$D,"PO",'caseload data'!$B:$B,"custody")/SUMIFS('caseload data'!Q:Q,'caseload data'!$B:$B,"custody",'caseload data'!$C:$C,'custody %'!$T$8),"")</f>
        <v/>
      </c>
      <c r="AH10" s="175" t="str">
        <f>IFERROR(SUMIFS('caseload data'!R:R,'caseload data'!$C:$C,'custody %'!$T$8,'caseload data'!$D:$D,"PO",'caseload data'!$B:$B,"custody")/SUMIFS('caseload data'!R:R,'caseload data'!$B:$B,"custody",'caseload data'!$C:$C,'custody %'!$T$8),"")</f>
        <v/>
      </c>
      <c r="AI10" s="175"/>
      <c r="AJ10" s="175"/>
    </row>
    <row r="11" spans="1:49" x14ac:dyDescent="0.15">
      <c r="B11" s="101" t="s">
        <v>1172</v>
      </c>
      <c r="C11" s="175" t="str">
        <f>IFERROR(SUMIFS('caseload data'!E:E,'caseload data'!$C:$C,'custody %'!$B$8,'caseload data'!$D:$D,"PSO",'caseload data'!$B:$B,"custody")/SUMIFS('caseload data'!E:E,'caseload data'!$B:$B,"custody",'caseload data'!$C:$C,'custody %'!$B$8),"")</f>
        <v/>
      </c>
      <c r="D11" s="175" t="str">
        <f>IFERROR(SUMIFS('caseload data'!F:F,'caseload data'!$C:$C,'custody %'!$B$8,'caseload data'!$D:$D,"PSO",'caseload data'!$B:$B,"custody")/SUMIFS('caseload data'!F:F,'caseload data'!$B:$B,"custody",'caseload data'!$C:$C,'custody %'!$B$8),"")</f>
        <v/>
      </c>
      <c r="E11" s="175" t="str">
        <f>IFERROR(SUMIFS('caseload data'!G:G,'caseload data'!$C:$C,'custody %'!$B$8,'caseload data'!$D:$D,"PSO",'caseload data'!$B:$B,"custody")/SUMIFS('caseload data'!G:G,'caseload data'!$B:$B,"custody",'caseload data'!$C:$C,'custody %'!$B$8),"")</f>
        <v/>
      </c>
      <c r="F11" s="175" t="str">
        <f>IFERROR(SUMIFS('caseload data'!H:H,'caseload data'!$C:$C,'custody %'!$B$8,'caseload data'!$D:$D,"PSO",'caseload data'!$B:$B,"custody")/SUMIFS('caseload data'!H:H,'caseload data'!$B:$B,"custody",'caseload data'!$C:$C,'custody %'!$B$8),"")</f>
        <v/>
      </c>
      <c r="G11" s="175" t="str">
        <f>IFERROR(SUMIFS('caseload data'!I:I,'caseload data'!$C:$C,'custody %'!$B$8,'caseload data'!$D:$D,"PSO",'caseload data'!$B:$B,"custody")/SUMIFS('caseload data'!I:I,'caseload data'!$B:$B,"custody",'caseload data'!$C:$C,'custody %'!$B$8),"")</f>
        <v/>
      </c>
      <c r="H11" s="175" t="str">
        <f>IFERROR(SUMIFS('caseload data'!J:J,'caseload data'!$C:$C,'custody %'!$B$8,'caseload data'!$D:$D,"PSO",'caseload data'!$B:$B,"custody")/SUMIFS('caseload data'!J:J,'caseload data'!$B:$B,"custody",'caseload data'!$C:$C,'custody %'!$B$8),"")</f>
        <v/>
      </c>
      <c r="I11" s="175" t="str">
        <f>IFERROR(SUMIFS('caseload data'!K:K,'caseload data'!$C:$C,'custody %'!$B$8,'caseload data'!$D:$D,"PSO",'caseload data'!$B:$B,"custody")/SUMIFS('caseload data'!K:K,'caseload data'!$B:$B,"custody",'caseload data'!$C:$C,'custody %'!$B$8),"")</f>
        <v/>
      </c>
      <c r="J11" s="175" t="str">
        <f>IFERROR(SUMIFS('caseload data'!L:L,'caseload data'!$C:$C,'custody %'!$B$8,'caseload data'!$D:$D,"PSO",'caseload data'!$B:$B,"custody")/SUMIFS('caseload data'!L:L,'caseload data'!$B:$B,"custody",'caseload data'!$C:$C,'custody %'!$B$8),"")</f>
        <v/>
      </c>
      <c r="K11" s="175" t="str">
        <f>IFERROR(SUMIFS('caseload data'!M:M,'caseload data'!$C:$C,'custody %'!$B$8,'caseload data'!$D:$D,"PSO",'caseload data'!$B:$B,"custody")/SUMIFS('caseload data'!M:M,'caseload data'!$B:$B,"custody",'caseload data'!$C:$C,'custody %'!$B$8),"")</f>
        <v/>
      </c>
      <c r="L11" s="175" t="str">
        <f>IFERROR(SUMIFS('caseload data'!N:N,'caseload data'!$C:$C,'custody %'!$B$8,'caseload data'!$D:$D,"PSO",'caseload data'!$B:$B,"custody")/SUMIFS('caseload data'!N:N,'caseload data'!$B:$B,"custody",'caseload data'!$C:$C,'custody %'!$B$8),"")</f>
        <v/>
      </c>
      <c r="M11" s="175" t="str">
        <f>IFERROR(SUMIFS('caseload data'!O:O,'caseload data'!$C:$C,'custody %'!$B$8,'caseload data'!$D:$D,"PSO",'caseload data'!$B:$B,"custody")/SUMIFS('caseload data'!O:O,'caseload data'!$B:$B,"custody",'caseload data'!$C:$C,'custody %'!$B$8),"")</f>
        <v/>
      </c>
      <c r="N11" s="175" t="str">
        <f>IFERROR(SUMIFS('caseload data'!P:P,'caseload data'!$C:$C,'custody %'!$B$8,'caseload data'!$D:$D,"PSO",'caseload data'!$B:$B,"custody")/SUMIFS('caseload data'!P:P,'caseload data'!$B:$B,"custody",'caseload data'!$C:$C,'custody %'!$B$8),"")</f>
        <v/>
      </c>
      <c r="O11" s="175" t="str">
        <f>IFERROR(SUMIFS('caseload data'!Q:Q,'caseload data'!$C:$C,'custody %'!$B$8,'caseload data'!$D:$D,"PSO",'caseload data'!$B:$B,"custody")/SUMIFS('caseload data'!Q:Q,'caseload data'!$B:$B,"custody",'caseload data'!$C:$C,'custody %'!$B$8),"")</f>
        <v/>
      </c>
      <c r="P11" s="175" t="str">
        <f>IFERROR(SUMIFS('caseload data'!R:R,'caseload data'!$C:$C,'custody %'!$B$8,'caseload data'!$D:$D,"PSO",'caseload data'!$B:$B,"custody")/SUMIFS('caseload data'!R:R,'caseload data'!$B:$B,"custody",'caseload data'!$C:$C,'custody %'!$B$8),"")</f>
        <v/>
      </c>
      <c r="Q11" s="175" t="str">
        <f>IFERROR(SUMIFS('caseload data'!S:S,'caseload data'!$C:$C,'custody %'!$B$8,'caseload data'!$D:$D,"PSO",'caseload data'!$B:$B,"custody")/SUMIFS('caseload data'!S:S,'caseload data'!$B:$B,"custody",'caseload data'!$C:$C,'custody %'!$B$8),"")</f>
        <v/>
      </c>
      <c r="R11" s="175" t="str">
        <f>IFERROR(SUMIFS('caseload data'!T:T,'caseload data'!$C:$C,'custody %'!$B$8,'caseload data'!$D:$D,"PSO",'caseload data'!$B:$B,"custody")/SUMIFS('caseload data'!T:T,'caseload data'!$B:$B,"custody",'caseload data'!$C:$C,'custody %'!$B$8),"")</f>
        <v/>
      </c>
      <c r="S11" s="68"/>
      <c r="T11" s="101" t="s">
        <v>1172</v>
      </c>
      <c r="U11" s="175" t="str">
        <f>IFERROR(SUMIFS('caseload data'!E:E,'caseload data'!$C:$C,'custody %'!$T$8,'caseload data'!$D:$D,"PSO",'caseload data'!$B:$B,"custody")/SUMIFS('caseload data'!E:E,'caseload data'!$B:$B,"custody",'caseload data'!$C:$C,'custody %'!$T$8),"")</f>
        <v/>
      </c>
      <c r="V11" s="175" t="str">
        <f>IFERROR(SUMIFS('caseload data'!F:F,'caseload data'!$C:$C,'custody %'!$T$8,'caseload data'!$D:$D,"PSO",'caseload data'!$B:$B,"custody")/SUMIFS('caseload data'!F:F,'caseload data'!$B:$B,"custody",'caseload data'!$C:$C,'custody %'!$T$8),"")</f>
        <v/>
      </c>
      <c r="W11" s="175" t="str">
        <f>IFERROR(SUMIFS('caseload data'!G:G,'caseload data'!$C:$C,'custody %'!$T$8,'caseload data'!$D:$D,"PSO",'caseload data'!$B:$B,"custody")/SUMIFS('caseload data'!G:G,'caseload data'!$B:$B,"custody",'caseload data'!$C:$C,'custody %'!$T$8),"")</f>
        <v/>
      </c>
      <c r="X11" s="175" t="str">
        <f>IFERROR(SUMIFS('caseload data'!H:H,'caseload data'!$C:$C,'custody %'!$T$8,'caseload data'!$D:$D,"PSO",'caseload data'!$B:$B,"custody")/SUMIFS('caseload data'!H:H,'caseload data'!$B:$B,"custody",'caseload data'!$C:$C,'custody %'!$T$8),"")</f>
        <v/>
      </c>
      <c r="Y11" s="175" t="str">
        <f>IFERROR(SUMIFS('caseload data'!I:I,'caseload data'!$C:$C,'custody %'!$T$8,'caseload data'!$D:$D,"PSO",'caseload data'!$B:$B,"custody")/SUMIFS('caseload data'!I:I,'caseload data'!$B:$B,"custody",'caseload data'!$C:$C,'custody %'!$T$8),"")</f>
        <v/>
      </c>
      <c r="Z11" s="175" t="str">
        <f>IFERROR(SUMIFS('caseload data'!J:J,'caseload data'!$C:$C,'custody %'!$T$8,'caseload data'!$D:$D,"PSO",'caseload data'!$B:$B,"custody")/SUMIFS('caseload data'!J:J,'caseload data'!$B:$B,"custody",'caseload data'!$C:$C,'custody %'!$T$8),"")</f>
        <v/>
      </c>
      <c r="AA11" s="175" t="str">
        <f>IFERROR(SUMIFS('caseload data'!K:K,'caseload data'!$C:$C,'custody %'!$T$8,'caseload data'!$D:$D,"PSO",'caseload data'!$B:$B,"custody")/SUMIFS('caseload data'!K:K,'caseload data'!$B:$B,"custody",'caseload data'!$C:$C,'custody %'!$T$8),"")</f>
        <v/>
      </c>
      <c r="AB11" s="175" t="str">
        <f>IFERROR(SUMIFS('caseload data'!L:L,'caseload data'!$C:$C,'custody %'!$T$8,'caseload data'!$D:$D,"PSO",'caseload data'!$B:$B,"custody")/SUMIFS('caseload data'!L:L,'caseload data'!$B:$B,"custody",'caseload data'!$C:$C,'custody %'!$T$8),"")</f>
        <v/>
      </c>
      <c r="AC11" s="175" t="str">
        <f>IFERROR(SUMIFS('caseload data'!M:M,'caseload data'!$C:$C,'custody %'!$T$8,'caseload data'!$D:$D,"PSO",'caseload data'!$B:$B,"custody")/SUMIFS('caseload data'!M:M,'caseload data'!$B:$B,"custody",'caseload data'!$C:$C,'custody %'!$T$8),"")</f>
        <v/>
      </c>
      <c r="AD11" s="175" t="str">
        <f>IFERROR(SUMIFS('caseload data'!N:N,'caseload data'!$C:$C,'custody %'!$T$8,'caseload data'!$D:$D,"PSO",'caseload data'!$B:$B,"custody")/SUMIFS('caseload data'!N:N,'caseload data'!$B:$B,"custody",'caseload data'!$C:$C,'custody %'!$T$8),"")</f>
        <v/>
      </c>
      <c r="AE11" s="175" t="str">
        <f>IFERROR(SUMIFS('caseload data'!O:O,'caseload data'!$C:$C,'custody %'!$T$8,'caseload data'!$D:$D,"PSO",'caseload data'!$B:$B,"custody")/SUMIFS('caseload data'!O:O,'caseload data'!$B:$B,"custody",'caseload data'!$C:$C,'custody %'!$T$8),"")</f>
        <v/>
      </c>
      <c r="AF11" s="175" t="str">
        <f>IFERROR(SUMIFS('caseload data'!P:P,'caseload data'!$C:$C,'custody %'!$T$8,'caseload data'!$D:$D,"PSO",'caseload data'!$B:$B,"custody")/SUMIFS('caseload data'!P:P,'caseload data'!$B:$B,"custody",'caseload data'!$C:$C,'custody %'!$T$8),"")</f>
        <v/>
      </c>
      <c r="AG11" s="175" t="str">
        <f>IFERROR(SUMIFS('caseload data'!Q:Q,'caseload data'!$C:$C,'custody %'!$T$8,'caseload data'!$D:$D,"PSO",'caseload data'!$B:$B,"custody")/SUMIFS('caseload data'!Q:Q,'caseload data'!$B:$B,"custody",'caseload data'!$C:$C,'custody %'!$T$8),"")</f>
        <v/>
      </c>
      <c r="AH11" s="175" t="str">
        <f>IFERROR(SUMIFS('caseload data'!R:R,'caseload data'!$C:$C,'custody %'!$T$8,'caseload data'!$D:$D,"PSO",'caseload data'!$B:$B,"custody")/SUMIFS('caseload data'!R:R,'caseload data'!$B:$B,"custody",'caseload data'!$C:$C,'custody %'!$T$8),"")</f>
        <v/>
      </c>
      <c r="AI11" s="175"/>
      <c r="AJ11" s="175"/>
    </row>
    <row r="12" spans="1:49" x14ac:dyDescent="0.15">
      <c r="B12" s="101" t="s">
        <v>1173</v>
      </c>
      <c r="C12" s="175" t="str">
        <f>IFERROR(SUMIFS('caseload data'!E:E,'caseload data'!$C:$C,'custody %'!$B$8,'caseload data'!$D:$D,"TPO",'caseload data'!$B:$B,"custody")/SUMIFS('caseload data'!E:E,'caseload data'!$B:$B,"custody",'caseload data'!$C:$C,'custody %'!$B$8),"")</f>
        <v/>
      </c>
      <c r="D12" s="175" t="str">
        <f>IFERROR(SUMIFS('caseload data'!F:F,'caseload data'!$C:$C,'custody %'!$B$8,'caseload data'!$D:$D,"TPO",'caseload data'!$B:$B,"custody")/SUMIFS('caseload data'!F:F,'caseload data'!$B:$B,"custody",'caseload data'!$C:$C,'custody %'!$B$8),"")</f>
        <v/>
      </c>
      <c r="E12" s="175" t="str">
        <f>IFERROR(SUMIFS('caseload data'!G:G,'caseload data'!$C:$C,'custody %'!$B$8,'caseload data'!$D:$D,"TPO",'caseload data'!$B:$B,"custody")/SUMIFS('caseload data'!G:G,'caseload data'!$B:$B,"custody",'caseload data'!$C:$C,'custody %'!$B$8),"")</f>
        <v/>
      </c>
      <c r="F12" s="175" t="str">
        <f>IFERROR(SUMIFS('caseload data'!H:H,'caseload data'!$C:$C,'custody %'!$B$8,'caseload data'!$D:$D,"TPO",'caseload data'!$B:$B,"custody")/SUMIFS('caseload data'!H:H,'caseload data'!$B:$B,"custody",'caseload data'!$C:$C,'custody %'!$B$8),"")</f>
        <v/>
      </c>
      <c r="G12" s="175" t="str">
        <f>IFERROR(SUMIFS('caseload data'!I:I,'caseload data'!$C:$C,'custody %'!$B$8,'caseload data'!$D:$D,"TPO",'caseload data'!$B:$B,"custody")/SUMIFS('caseload data'!I:I,'caseload data'!$B:$B,"custody",'caseload data'!$C:$C,'custody %'!$B$8),"")</f>
        <v/>
      </c>
      <c r="H12" s="175" t="str">
        <f>IFERROR(SUMIFS('caseload data'!J:J,'caseload data'!$C:$C,'custody %'!$B$8,'caseload data'!$D:$D,"TPO",'caseload data'!$B:$B,"custody")/SUMIFS('caseload data'!J:J,'caseload data'!$B:$B,"custody",'caseload data'!$C:$C,'custody %'!$B$8),"")</f>
        <v/>
      </c>
      <c r="I12" s="175" t="str">
        <f>IFERROR(SUMIFS('caseload data'!K:K,'caseload data'!$C:$C,'custody %'!$B$8,'caseload data'!$D:$D,"TPO",'caseload data'!$B:$B,"custody")/SUMIFS('caseload data'!K:K,'caseload data'!$B:$B,"custody",'caseload data'!$C:$C,'custody %'!$B$8),"")</f>
        <v/>
      </c>
      <c r="J12" s="175" t="str">
        <f>IFERROR(SUMIFS('caseload data'!L:L,'caseload data'!$C:$C,'custody %'!$B$8,'caseload data'!$D:$D,"TPO",'caseload data'!$B:$B,"custody")/SUMIFS('caseload data'!L:L,'caseload data'!$B:$B,"custody",'caseload data'!$C:$C,'custody %'!$B$8),"")</f>
        <v/>
      </c>
      <c r="K12" s="175" t="str">
        <f>IFERROR(SUMIFS('caseload data'!M:M,'caseload data'!$C:$C,'custody %'!$B$8,'caseload data'!$D:$D,"TPO",'caseload data'!$B:$B,"custody")/SUMIFS('caseload data'!M:M,'caseload data'!$B:$B,"custody",'caseload data'!$C:$C,'custody %'!$B$8),"")</f>
        <v/>
      </c>
      <c r="L12" s="175" t="str">
        <f>IFERROR(SUMIFS('caseload data'!N:N,'caseload data'!$C:$C,'custody %'!$B$8,'caseload data'!$D:$D,"TPO",'caseload data'!$B:$B,"custody")/SUMIFS('caseload data'!N:N,'caseload data'!$B:$B,"custody",'caseload data'!$C:$C,'custody %'!$B$8),"")</f>
        <v/>
      </c>
      <c r="M12" s="175" t="str">
        <f>IFERROR(SUMIFS('caseload data'!O:O,'caseload data'!$C:$C,'custody %'!$B$8,'caseload data'!$D:$D,"TPO",'caseload data'!$B:$B,"custody")/SUMIFS('caseload data'!O:O,'caseload data'!$B:$B,"custody",'caseload data'!$C:$C,'custody %'!$B$8),"")</f>
        <v/>
      </c>
      <c r="N12" s="175" t="str">
        <f>IFERROR(SUMIFS('caseload data'!P:P,'caseload data'!$C:$C,'custody %'!$B$8,'caseload data'!$D:$D,"TPO",'caseload data'!$B:$B,"custody")/SUMIFS('caseload data'!P:P,'caseload data'!$B:$B,"custody",'caseload data'!$C:$C,'custody %'!$B$8),"")</f>
        <v/>
      </c>
      <c r="O12" s="175" t="str">
        <f>IFERROR(SUMIFS('caseload data'!Q:Q,'caseload data'!$C:$C,'custody %'!$B$8,'caseload data'!$D:$D,"TPO",'caseload data'!$B:$B,"custody")/SUMIFS('caseload data'!Q:Q,'caseload data'!$B:$B,"custody",'caseload data'!$C:$C,'custody %'!$B$8),"")</f>
        <v/>
      </c>
      <c r="P12" s="175" t="str">
        <f>IFERROR(SUMIFS('caseload data'!R:R,'caseload data'!$C:$C,'custody %'!$B$8,'caseload data'!$D:$D,"TPO",'caseload data'!$B:$B,"custody")/SUMIFS('caseload data'!R:R,'caseload data'!$B:$B,"custody",'caseload data'!$C:$C,'custody %'!$B$8),"")</f>
        <v/>
      </c>
      <c r="Q12" s="175" t="str">
        <f>IFERROR(SUMIFS('caseload data'!S:S,'caseload data'!$C:$C,'custody %'!$B$8,'caseload data'!$D:$D,"TPO",'caseload data'!$B:$B,"custody")/SUMIFS('caseload data'!S:S,'caseload data'!$B:$B,"custody",'caseload data'!$C:$C,'custody %'!$B$8),"")</f>
        <v/>
      </c>
      <c r="R12" s="175" t="str">
        <f>IFERROR(SUMIFS('caseload data'!T:T,'caseload data'!$C:$C,'custody %'!$B$8,'caseload data'!$D:$D,"TPO",'caseload data'!$B:$B,"custody")/SUMIFS('caseload data'!T:T,'caseload data'!$B:$B,"custody",'caseload data'!$C:$C,'custody %'!$B$8),"")</f>
        <v/>
      </c>
      <c r="S12" s="68"/>
      <c r="T12" s="101" t="s">
        <v>1173</v>
      </c>
      <c r="U12" s="175" t="str">
        <f>IFERROR(SUMIFS('caseload data'!E:E,'caseload data'!$C:$C,'custody %'!$T$8,'caseload data'!$D:$D,"TPO",'caseload data'!$B:$B,"custody")/SUMIFS('caseload data'!E:E,'caseload data'!$B:$B,"custody",'caseload data'!$C:$C,'custody %'!$T$8),"")</f>
        <v/>
      </c>
      <c r="V12" s="175" t="str">
        <f>IFERROR(SUMIFS('caseload data'!F:F,'caseload data'!$C:$C,'custody %'!$T$8,'caseload data'!$D:$D,"TPO",'caseload data'!$B:$B,"custody")/SUMIFS('caseload data'!F:F,'caseload data'!$B:$B,"custody",'caseload data'!$C:$C,'custody %'!$T$8),"")</f>
        <v/>
      </c>
      <c r="W12" s="175" t="str">
        <f>IFERROR(SUMIFS('caseload data'!G:G,'caseload data'!$C:$C,'custody %'!$T$8,'caseload data'!$D:$D,"TPO",'caseload data'!$B:$B,"custody")/SUMIFS('caseload data'!G:G,'caseload data'!$B:$B,"custody",'caseload data'!$C:$C,'custody %'!$T$8),"")</f>
        <v/>
      </c>
      <c r="X12" s="175" t="str">
        <f>IFERROR(SUMIFS('caseload data'!H:H,'caseload data'!$C:$C,'custody %'!$T$8,'caseload data'!$D:$D,"TPO",'caseload data'!$B:$B,"custody")/SUMIFS('caseload data'!H:H,'caseload data'!$B:$B,"custody",'caseload data'!$C:$C,'custody %'!$T$8),"")</f>
        <v/>
      </c>
      <c r="Y12" s="175" t="str">
        <f>IFERROR(SUMIFS('caseload data'!I:I,'caseload data'!$C:$C,'custody %'!$T$8,'caseload data'!$D:$D,"TPO",'caseload data'!$B:$B,"custody")/SUMIFS('caseload data'!I:I,'caseload data'!$B:$B,"custody",'caseload data'!$C:$C,'custody %'!$T$8),"")</f>
        <v/>
      </c>
      <c r="Z12" s="175" t="str">
        <f>IFERROR(SUMIFS('caseload data'!J:J,'caseload data'!$C:$C,'custody %'!$T$8,'caseload data'!$D:$D,"TPO",'caseload data'!$B:$B,"custody")/SUMIFS('caseload data'!J:J,'caseload data'!$B:$B,"custody",'caseload data'!$C:$C,'custody %'!$T$8),"")</f>
        <v/>
      </c>
      <c r="AA12" s="175" t="str">
        <f>IFERROR(SUMIFS('caseload data'!K:K,'caseload data'!$C:$C,'custody %'!$T$8,'caseload data'!$D:$D,"TPO",'caseload data'!$B:$B,"custody")/SUMIFS('caseload data'!K:K,'caseload data'!$B:$B,"custody",'caseload data'!$C:$C,'custody %'!$T$8),"")</f>
        <v/>
      </c>
      <c r="AB12" s="175" t="str">
        <f>IFERROR(SUMIFS('caseload data'!L:L,'caseload data'!$C:$C,'custody %'!$T$8,'caseload data'!$D:$D,"TPO",'caseload data'!$B:$B,"custody")/SUMIFS('caseload data'!L:L,'caseload data'!$B:$B,"custody",'caseload data'!$C:$C,'custody %'!$T$8),"")</f>
        <v/>
      </c>
      <c r="AC12" s="175" t="str">
        <f>IFERROR(SUMIFS('caseload data'!M:M,'caseload data'!$C:$C,'custody %'!$T$8,'caseload data'!$D:$D,"TPO",'caseload data'!$B:$B,"custody")/SUMIFS('caseload data'!M:M,'caseload data'!$B:$B,"custody",'caseload data'!$C:$C,'custody %'!$T$8),"")</f>
        <v/>
      </c>
      <c r="AD12" s="175" t="str">
        <f>IFERROR(SUMIFS('caseload data'!N:N,'caseload data'!$C:$C,'custody %'!$T$8,'caseload data'!$D:$D,"TPO",'caseload data'!$B:$B,"custody")/SUMIFS('caseload data'!N:N,'caseload data'!$B:$B,"custody",'caseload data'!$C:$C,'custody %'!$T$8),"")</f>
        <v/>
      </c>
      <c r="AE12" s="175" t="str">
        <f>IFERROR(SUMIFS('caseload data'!O:O,'caseload data'!$C:$C,'custody %'!$T$8,'caseload data'!$D:$D,"TPO",'caseload data'!$B:$B,"custody")/SUMIFS('caseload data'!O:O,'caseload data'!$B:$B,"custody",'caseload data'!$C:$C,'custody %'!$T$8),"")</f>
        <v/>
      </c>
      <c r="AF12" s="175" t="str">
        <f>IFERROR(SUMIFS('caseload data'!P:P,'caseload data'!$C:$C,'custody %'!$T$8,'caseload data'!$D:$D,"TPO",'caseload data'!$B:$B,"custody")/SUMIFS('caseload data'!P:P,'caseload data'!$B:$B,"custody",'caseload data'!$C:$C,'custody %'!$T$8),"")</f>
        <v/>
      </c>
      <c r="AG12" s="175" t="str">
        <f>IFERROR(SUMIFS('caseload data'!Q:Q,'caseload data'!$C:$C,'custody %'!$T$8,'caseload data'!$D:$D,"TPO",'caseload data'!$B:$B,"custody")/SUMIFS('caseload data'!Q:Q,'caseload data'!$B:$B,"custody",'caseload data'!$C:$C,'custody %'!$T$8),"")</f>
        <v/>
      </c>
      <c r="AH12" s="175" t="str">
        <f>IFERROR(SUMIFS('caseload data'!R:R,'caseload data'!$C:$C,'custody %'!$T$8,'caseload data'!$D:$D,"TPO",'caseload data'!$B:$B,"custody")/SUMIFS('caseload data'!R:R,'caseload data'!$B:$B,"custody",'caseload data'!$C:$C,'custody %'!$T$8),"")</f>
        <v/>
      </c>
      <c r="AI12" s="175"/>
      <c r="AJ12" s="175"/>
    </row>
    <row r="13" spans="1:49" x14ac:dyDescent="0.15">
      <c r="B13" s="102" t="s">
        <v>1174</v>
      </c>
      <c r="C13" s="175" t="str">
        <f>IFERROR(SUMIFS('caseload data'!E:E,'caseload data'!$C:$C,'custody %'!$B$8,'caseload data'!$D:$D,"SPO",'caseload data'!$B:$B,"custody")/SUMIFS('caseload data'!E:E,'caseload data'!$B:$B,"custody",'caseload data'!$C:$C,'custody %'!$B$8),"")</f>
        <v/>
      </c>
      <c r="D13" s="175" t="str">
        <f>IFERROR(SUMIFS('caseload data'!F:F,'caseload data'!$C:$C,'custody %'!$B$8,'caseload data'!$D:$D,"SPO",'caseload data'!$B:$B,"custody")/SUMIFS('caseload data'!F:F,'caseload data'!$B:$B,"custody",'caseload data'!$C:$C,'custody %'!$B$8),"")</f>
        <v/>
      </c>
      <c r="E13" s="175" t="str">
        <f>IFERROR(SUMIFS('caseload data'!G:G,'caseload data'!$C:$C,'custody %'!$B$8,'caseload data'!$D:$D,"SPO",'caseload data'!$B:$B,"custody")/SUMIFS('caseload data'!G:G,'caseload data'!$B:$B,"custody",'caseload data'!$C:$C,'custody %'!$B$8),"")</f>
        <v/>
      </c>
      <c r="F13" s="175" t="str">
        <f>IFERROR(SUMIFS('caseload data'!H:H,'caseload data'!$C:$C,'custody %'!$B$8,'caseload data'!$D:$D,"SPO",'caseload data'!$B:$B,"custody")/SUMIFS('caseload data'!H:H,'caseload data'!$B:$B,"custody",'caseload data'!$C:$C,'custody %'!$B$8),"")</f>
        <v/>
      </c>
      <c r="G13" s="175" t="str">
        <f>IFERROR(SUMIFS('caseload data'!I:I,'caseload data'!$C:$C,'custody %'!$B$8,'caseload data'!$D:$D,"SPO",'caseload data'!$B:$B,"custody")/SUMIFS('caseload data'!I:I,'caseload data'!$B:$B,"custody",'caseload data'!$C:$C,'custody %'!$B$8),"")</f>
        <v/>
      </c>
      <c r="H13" s="175" t="str">
        <f>IFERROR(SUMIFS('caseload data'!J:J,'caseload data'!$C:$C,'custody %'!$B$8,'caseload data'!$D:$D,"SPO",'caseload data'!$B:$B,"custody")/SUMIFS('caseload data'!J:J,'caseload data'!$B:$B,"custody",'caseload data'!$C:$C,'custody %'!$B$8),"")</f>
        <v/>
      </c>
      <c r="I13" s="175" t="str">
        <f>IFERROR(SUMIFS('caseload data'!K:K,'caseload data'!$C:$C,'custody %'!$B$8,'caseload data'!$D:$D,"SPO",'caseload data'!$B:$B,"custody")/SUMIFS('caseload data'!K:K,'caseload data'!$B:$B,"custody",'caseload data'!$C:$C,'custody %'!$B$8),"")</f>
        <v/>
      </c>
      <c r="J13" s="175" t="str">
        <f>IFERROR(SUMIFS('caseload data'!L:L,'caseload data'!$C:$C,'custody %'!$B$8,'caseload data'!$D:$D,"SPO",'caseload data'!$B:$B,"custody")/SUMIFS('caseload data'!L:L,'caseload data'!$B:$B,"custody",'caseload data'!$C:$C,'custody %'!$B$8),"")</f>
        <v/>
      </c>
      <c r="K13" s="175" t="str">
        <f>IFERROR(SUMIFS('caseload data'!M:M,'caseload data'!$C:$C,'custody %'!$B$8,'caseload data'!$D:$D,"SPO",'caseload data'!$B:$B,"custody")/SUMIFS('caseload data'!M:M,'caseload data'!$B:$B,"custody",'caseload data'!$C:$C,'custody %'!$B$8),"")</f>
        <v/>
      </c>
      <c r="L13" s="175" t="str">
        <f>IFERROR(SUMIFS('caseload data'!N:N,'caseload data'!$C:$C,'custody %'!$B$8,'caseload data'!$D:$D,"SPO",'caseload data'!$B:$B,"custody")/SUMIFS('caseload data'!N:N,'caseload data'!$B:$B,"custody",'caseload data'!$C:$C,'custody %'!$B$8),"")</f>
        <v/>
      </c>
      <c r="M13" s="175" t="str">
        <f>IFERROR(SUMIFS('caseload data'!O:O,'caseload data'!$C:$C,'custody %'!$B$8,'caseload data'!$D:$D,"SPO",'caseload data'!$B:$B,"custody")/SUMIFS('caseload data'!O:O,'caseload data'!$B:$B,"custody",'caseload data'!$C:$C,'custody %'!$B$8),"")</f>
        <v/>
      </c>
      <c r="N13" s="175" t="str">
        <f>IFERROR(SUMIFS('caseload data'!P:P,'caseload data'!$C:$C,'custody %'!$B$8,'caseload data'!$D:$D,"SPO",'caseload data'!$B:$B,"custody")/SUMIFS('caseload data'!P:P,'caseload data'!$B:$B,"custody",'caseload data'!$C:$C,'custody %'!$B$8),"")</f>
        <v/>
      </c>
      <c r="O13" s="175" t="str">
        <f>IFERROR(SUMIFS('caseload data'!Q:Q,'caseload data'!$C:$C,'custody %'!$B$8,'caseload data'!$D:$D,"SPO",'caseload data'!$B:$B,"custody")/SUMIFS('caseload data'!Q:Q,'caseload data'!$B:$B,"custody",'caseload data'!$C:$C,'custody %'!$B$8),"")</f>
        <v/>
      </c>
      <c r="P13" s="175" t="str">
        <f>IFERROR(SUMIFS('caseload data'!R:R,'caseload data'!$C:$C,'custody %'!$B$8,'caseload data'!$D:$D,"SPO",'caseload data'!$B:$B,"custody")/SUMIFS('caseload data'!R:R,'caseload data'!$B:$B,"custody",'caseload data'!$C:$C,'custody %'!$B$8),"")</f>
        <v/>
      </c>
      <c r="Q13" s="175" t="str">
        <f>IFERROR(SUMIFS('caseload data'!S:S,'caseload data'!$C:$C,'custody %'!$B$8,'caseload data'!$D:$D,"SPO",'caseload data'!$B:$B,"custody")/SUMIFS('caseload data'!S:S,'caseload data'!$B:$B,"custody",'caseload data'!$C:$C,'custody %'!$B$8),"")</f>
        <v/>
      </c>
      <c r="R13" s="175" t="str">
        <f>IFERROR(SUMIFS('caseload data'!T:T,'caseload data'!$C:$C,'custody %'!$B$8,'caseload data'!$D:$D,"SPO",'caseload data'!$B:$B,"custody")/SUMIFS('caseload data'!T:T,'caseload data'!$B:$B,"custody",'caseload data'!$C:$C,'custody %'!$B$8),"")</f>
        <v/>
      </c>
      <c r="S13" s="68"/>
      <c r="T13" s="102" t="s">
        <v>1174</v>
      </c>
      <c r="U13" s="175" t="str">
        <f>IFERROR(SUMIFS('caseload data'!E:E,'caseload data'!$C:$C,'custody %'!$T$8,'caseload data'!$D:$D,"SPO",'caseload data'!$B:$B,"custody")/SUMIFS('caseload data'!E:E,'caseload data'!$B:$B,"custody",'caseload data'!$C:$C,'custody %'!$T$8),"")</f>
        <v/>
      </c>
      <c r="V13" s="175" t="str">
        <f>IFERROR(SUMIFS('caseload data'!F:F,'caseload data'!$C:$C,'custody %'!$T$8,'caseload data'!$D:$D,"SPO",'caseload data'!$B:$B,"custody")/SUMIFS('caseload data'!F:F,'caseload data'!$B:$B,"custody",'caseload data'!$C:$C,'custody %'!$T$8),"")</f>
        <v/>
      </c>
      <c r="W13" s="175" t="str">
        <f>IFERROR(SUMIFS('caseload data'!G:G,'caseload data'!$C:$C,'custody %'!$T$8,'caseload data'!$D:$D,"SPO",'caseload data'!$B:$B,"custody")/SUMIFS('caseload data'!G:G,'caseload data'!$B:$B,"custody",'caseload data'!$C:$C,'custody %'!$T$8),"")</f>
        <v/>
      </c>
      <c r="X13" s="175" t="str">
        <f>IFERROR(SUMIFS('caseload data'!H:H,'caseload data'!$C:$C,'custody %'!$T$8,'caseload data'!$D:$D,"SPO",'caseload data'!$B:$B,"custody")/SUMIFS('caseload data'!H:H,'caseload data'!$B:$B,"custody",'caseload data'!$C:$C,'custody %'!$T$8),"")</f>
        <v/>
      </c>
      <c r="Y13" s="175" t="str">
        <f>IFERROR(SUMIFS('caseload data'!I:I,'caseload data'!$C:$C,'custody %'!$T$8,'caseload data'!$D:$D,"SPO",'caseload data'!$B:$B,"custody")/SUMIFS('caseload data'!I:I,'caseload data'!$B:$B,"custody",'caseload data'!$C:$C,'custody %'!$T$8),"")</f>
        <v/>
      </c>
      <c r="Z13" s="175" t="str">
        <f>IFERROR(SUMIFS('caseload data'!J:J,'caseload data'!$C:$C,'custody %'!$T$8,'caseload data'!$D:$D,"SPO",'caseload data'!$B:$B,"custody")/SUMIFS('caseload data'!J:J,'caseload data'!$B:$B,"custody",'caseload data'!$C:$C,'custody %'!$T$8),"")</f>
        <v/>
      </c>
      <c r="AA13" s="175" t="str">
        <f>IFERROR(SUMIFS('caseload data'!K:K,'caseload data'!$C:$C,'custody %'!$T$8,'caseload data'!$D:$D,"SPO",'caseload data'!$B:$B,"custody")/SUMIFS('caseload data'!K:K,'caseload data'!$B:$B,"custody",'caseload data'!$C:$C,'custody %'!$T$8),"")</f>
        <v/>
      </c>
      <c r="AB13" s="175" t="str">
        <f>IFERROR(SUMIFS('caseload data'!L:L,'caseload data'!$C:$C,'custody %'!$T$8,'caseload data'!$D:$D,"SPO",'caseload data'!$B:$B,"custody")/SUMIFS('caseload data'!L:L,'caseload data'!$B:$B,"custody",'caseload data'!$C:$C,'custody %'!$T$8),"")</f>
        <v/>
      </c>
      <c r="AC13" s="175" t="str">
        <f>IFERROR(SUMIFS('caseload data'!M:M,'caseload data'!$C:$C,'custody %'!$T$8,'caseload data'!$D:$D,"SPO",'caseload data'!$B:$B,"custody")/SUMIFS('caseload data'!M:M,'caseload data'!$B:$B,"custody",'caseload data'!$C:$C,'custody %'!$T$8),"")</f>
        <v/>
      </c>
      <c r="AD13" s="175" t="str">
        <f>IFERROR(SUMIFS('caseload data'!N:N,'caseload data'!$C:$C,'custody %'!$T$8,'caseload data'!$D:$D,"SPO",'caseload data'!$B:$B,"custody")/SUMIFS('caseload data'!N:N,'caseload data'!$B:$B,"custody",'caseload data'!$C:$C,'custody %'!$T$8),"")</f>
        <v/>
      </c>
      <c r="AE13" s="175" t="str">
        <f>IFERROR(SUMIFS('caseload data'!O:O,'caseload data'!$C:$C,'custody %'!$T$8,'caseload data'!$D:$D,"SPO",'caseload data'!$B:$B,"custody")/SUMIFS('caseload data'!O:O,'caseload data'!$B:$B,"custody",'caseload data'!$C:$C,'custody %'!$T$8),"")</f>
        <v/>
      </c>
      <c r="AF13" s="175" t="str">
        <f>IFERROR(SUMIFS('caseload data'!P:P,'caseload data'!$C:$C,'custody %'!$T$8,'caseload data'!$D:$D,"SPO",'caseload data'!$B:$B,"custody")/SUMIFS('caseload data'!P:P,'caseload data'!$B:$B,"custody",'caseload data'!$C:$C,'custody %'!$T$8),"")</f>
        <v/>
      </c>
      <c r="AG13" s="175" t="str">
        <f>IFERROR(SUMIFS('caseload data'!Q:Q,'caseload data'!$C:$C,'custody %'!$T$8,'caseload data'!$D:$D,"SPO",'caseload data'!$B:$B,"custody")/SUMIFS('caseload data'!Q:Q,'caseload data'!$B:$B,"custody",'caseload data'!$C:$C,'custody %'!$T$8),"")</f>
        <v/>
      </c>
      <c r="AH13" s="175" t="str">
        <f>IFERROR(SUMIFS('caseload data'!R:R,'caseload data'!$C:$C,'custody %'!$T$8,'caseload data'!$D:$D,"SPO",'caseload data'!$B:$B,"custody")/SUMIFS('caseload data'!R:R,'caseload data'!$B:$B,"custody",'caseload data'!$C:$C,'custody %'!$T$8),"")</f>
        <v/>
      </c>
      <c r="AI13" s="175"/>
      <c r="AJ13" s="175"/>
    </row>
    <row r="14" spans="1:49" x14ac:dyDescent="0.15">
      <c r="B14" s="95"/>
      <c r="C14" s="68"/>
      <c r="D14" s="68"/>
      <c r="E14" s="68"/>
      <c r="F14" s="68"/>
      <c r="G14" s="68"/>
      <c r="H14" s="68"/>
      <c r="I14" s="68"/>
      <c r="J14" s="68"/>
      <c r="K14" s="68"/>
      <c r="L14" s="68"/>
      <c r="M14" s="68"/>
      <c r="N14" s="68"/>
      <c r="O14" s="68"/>
      <c r="P14" s="68"/>
      <c r="Q14" s="68"/>
      <c r="R14" s="68"/>
      <c r="S14" s="68"/>
      <c r="T14" s="95"/>
      <c r="U14" s="68"/>
      <c r="V14" s="68"/>
      <c r="W14" s="68"/>
      <c r="X14" s="68"/>
      <c r="Y14" s="68"/>
      <c r="Z14" s="68"/>
      <c r="AA14" s="68"/>
      <c r="AB14" s="68"/>
      <c r="AC14" s="68"/>
      <c r="AD14" s="68"/>
      <c r="AE14" s="68"/>
      <c r="AF14" s="68"/>
      <c r="AG14" s="68"/>
      <c r="AH14" s="68"/>
    </row>
    <row r="15" spans="1:49" ht="30" customHeight="1" x14ac:dyDescent="0.15">
      <c r="B15" s="302" t="str">
        <f>HLOOKUP($B$5,Region_Table,4,0)</f>
        <v>Camden, Islington</v>
      </c>
      <c r="C15" s="467" t="s">
        <v>1305</v>
      </c>
      <c r="D15" s="468"/>
      <c r="E15" s="468"/>
      <c r="F15" s="468"/>
      <c r="G15" s="468"/>
      <c r="H15" s="468"/>
      <c r="I15" s="468"/>
      <c r="J15" s="468"/>
      <c r="K15" s="468"/>
      <c r="L15" s="468"/>
      <c r="M15" s="487"/>
      <c r="N15" s="487"/>
      <c r="O15" s="488"/>
      <c r="P15" s="462">
        <f>SUMIF('caseload data'!$C:$C,'custody %'!B15,'caseload data'!V:V)</f>
        <v>0</v>
      </c>
      <c r="Q15" s="479"/>
      <c r="R15" s="480"/>
      <c r="S15" s="68"/>
      <c r="T15" s="302" t="str">
        <f>HLOOKUP($B$5,Region_Table,5,0)</f>
        <v>Community Integration</v>
      </c>
      <c r="U15" s="467" t="s">
        <v>1305</v>
      </c>
      <c r="V15" s="468"/>
      <c r="W15" s="468"/>
      <c r="X15" s="468"/>
      <c r="Y15" s="468"/>
      <c r="Z15" s="468"/>
      <c r="AA15" s="468"/>
      <c r="AB15" s="468"/>
      <c r="AC15" s="487"/>
      <c r="AD15" s="487"/>
      <c r="AE15" s="488"/>
      <c r="AF15" s="462">
        <f>SUMIF('caseload data'!$C:$C,'custody %'!T15,'caseload data'!V:V)</f>
        <v>0</v>
      </c>
      <c r="AG15" s="479"/>
      <c r="AH15" s="480"/>
    </row>
    <row r="16" spans="1:49" x14ac:dyDescent="0.15">
      <c r="B16" s="99" t="s">
        <v>1170</v>
      </c>
      <c r="C16" s="40" t="s">
        <v>1022</v>
      </c>
      <c r="D16" s="40" t="s">
        <v>1023</v>
      </c>
      <c r="E16" s="40" t="s">
        <v>1024</v>
      </c>
      <c r="F16" s="40" t="s">
        <v>1025</v>
      </c>
      <c r="G16" s="40" t="s">
        <v>1026</v>
      </c>
      <c r="H16" s="40" t="s">
        <v>1027</v>
      </c>
      <c r="I16" s="40" t="s">
        <v>1028</v>
      </c>
      <c r="J16" s="40" t="s">
        <v>1029</v>
      </c>
      <c r="K16" s="40" t="s">
        <v>1030</v>
      </c>
      <c r="L16" s="40" t="s">
        <v>1031</v>
      </c>
      <c r="M16" s="40" t="s">
        <v>1032</v>
      </c>
      <c r="N16" s="40" t="s">
        <v>1033</v>
      </c>
      <c r="O16" s="40" t="s">
        <v>1034</v>
      </c>
      <c r="P16" s="40" t="s">
        <v>1035</v>
      </c>
      <c r="Q16" s="40" t="s">
        <v>1036</v>
      </c>
      <c r="R16" s="40" t="s">
        <v>1037</v>
      </c>
      <c r="S16" s="68"/>
      <c r="T16" s="99" t="s">
        <v>1170</v>
      </c>
      <c r="U16" s="40" t="s">
        <v>1022</v>
      </c>
      <c r="V16" s="40" t="s">
        <v>1023</v>
      </c>
      <c r="W16" s="40" t="s">
        <v>1024</v>
      </c>
      <c r="X16" s="40" t="s">
        <v>1025</v>
      </c>
      <c r="Y16" s="40" t="s">
        <v>1026</v>
      </c>
      <c r="Z16" s="40" t="s">
        <v>1027</v>
      </c>
      <c r="AA16" s="40" t="s">
        <v>1028</v>
      </c>
      <c r="AB16" s="40" t="s">
        <v>1029</v>
      </c>
      <c r="AC16" s="40" t="s">
        <v>1030</v>
      </c>
      <c r="AD16" s="40" t="s">
        <v>1031</v>
      </c>
      <c r="AE16" s="40" t="s">
        <v>1032</v>
      </c>
      <c r="AF16" s="40" t="s">
        <v>1033</v>
      </c>
      <c r="AG16" s="40" t="s">
        <v>1034</v>
      </c>
      <c r="AH16" s="40" t="s">
        <v>1035</v>
      </c>
      <c r="AI16" s="40" t="s">
        <v>1036</v>
      </c>
      <c r="AJ16" s="40" t="s">
        <v>1037</v>
      </c>
    </row>
    <row r="17" spans="2:36" x14ac:dyDescent="0.15">
      <c r="B17" s="100" t="s">
        <v>1166</v>
      </c>
      <c r="C17" s="175" t="str">
        <f>IFERROR(SUMIFS('caseload data'!E:E,'caseload data'!$C:$C,'custody %'!$B$15,'caseload data'!$D:$D,"PO",'caseload data'!$B:$B,"custody")/SUMIFS('caseload data'!E:E,'caseload data'!$B:$B,"custody",'caseload data'!$C:$C,'custody %'!$B$15),"")</f>
        <v/>
      </c>
      <c r="D17" s="175" t="str">
        <f>IFERROR(SUMIFS('caseload data'!F:F,'caseload data'!$C:$C,'custody %'!$B$15,'caseload data'!$D:$D,"PO",'caseload data'!$B:$B,"custody")/SUMIFS('caseload data'!F:F,'caseload data'!$B:$B,"custody",'caseload data'!$C:$C,'custody %'!$B$15),"")</f>
        <v/>
      </c>
      <c r="E17" s="175" t="str">
        <f>IFERROR(SUMIFS('caseload data'!G:G,'caseload data'!$C:$C,'custody %'!$B$15,'caseload data'!$D:$D,"PO",'caseload data'!$B:$B,"custody")/SUMIFS('caseload data'!G:G,'caseload data'!$B:$B,"custody",'caseload data'!$C:$C,'custody %'!$B$15),"")</f>
        <v/>
      </c>
      <c r="F17" s="175" t="str">
        <f>IFERROR(SUMIFS('caseload data'!H:H,'caseload data'!$C:$C,'custody %'!$B$15,'caseload data'!$D:$D,"PO",'caseload data'!$B:$B,"custody")/SUMIFS('caseload data'!H:H,'caseload data'!$B:$B,"custody",'caseload data'!$C:$C,'custody %'!$B$15),"")</f>
        <v/>
      </c>
      <c r="G17" s="175" t="str">
        <f>IFERROR(SUMIFS('caseload data'!I:I,'caseload data'!$C:$C,'custody %'!$B$15,'caseload data'!$D:$D,"PO",'caseload data'!$B:$B,"custody")/SUMIFS('caseload data'!I:I,'caseload data'!$B:$B,"custody",'caseload data'!$C:$C,'custody %'!$B$15),"")</f>
        <v/>
      </c>
      <c r="H17" s="175" t="str">
        <f>IFERROR(SUMIFS('caseload data'!J:J,'caseload data'!$C:$C,'custody %'!$B$15,'caseload data'!$D:$D,"PO",'caseload data'!$B:$B,"custody")/SUMIFS('caseload data'!J:J,'caseload data'!$B:$B,"custody",'caseload data'!$C:$C,'custody %'!$B$15),"")</f>
        <v/>
      </c>
      <c r="I17" s="175" t="str">
        <f>IFERROR(SUMIFS('caseload data'!K:K,'caseload data'!$C:$C,'custody %'!$B$15,'caseload data'!$D:$D,"PO",'caseload data'!$B:$B,"custody")/SUMIFS('caseload data'!K:K,'caseload data'!$B:$B,"custody",'caseload data'!$C:$C,'custody %'!$B$15),"")</f>
        <v/>
      </c>
      <c r="J17" s="175" t="str">
        <f>IFERROR(SUMIFS('caseload data'!L:L,'caseload data'!$C:$C,'custody %'!$B$15,'caseload data'!$D:$D,"PO",'caseload data'!$B:$B,"custody")/SUMIFS('caseload data'!L:L,'caseload data'!$B:$B,"custody",'caseload data'!$C:$C,'custody %'!$B$15),"")</f>
        <v/>
      </c>
      <c r="K17" s="175" t="str">
        <f>IFERROR(SUMIFS('caseload data'!M:M,'caseload data'!$C:$C,'custody %'!$B$15,'caseload data'!$D:$D,"PO",'caseload data'!$B:$B,"custody")/SUMIFS('caseload data'!M:M,'caseload data'!$B:$B,"custody",'caseload data'!$C:$C,'custody %'!$B$15),"")</f>
        <v/>
      </c>
      <c r="L17" s="175" t="str">
        <f>IFERROR(SUMIFS('caseload data'!N:N,'caseload data'!$C:$C,'custody %'!$B$15,'caseload data'!$D:$D,"PO",'caseload data'!$B:$B,"custody")/SUMIFS('caseload data'!N:N,'caseload data'!$B:$B,"custody",'caseload data'!$C:$C,'custody %'!$B$15),"")</f>
        <v/>
      </c>
      <c r="M17" s="175" t="str">
        <f>IFERROR(SUMIFS('caseload data'!O:O,'caseload data'!$C:$C,'custody %'!$B$15,'caseload data'!$D:$D,"PO",'caseload data'!$B:$B,"custody")/SUMIFS('caseload data'!O:O,'caseload data'!$B:$B,"custody",'caseload data'!$C:$C,'custody %'!$B$15),"")</f>
        <v/>
      </c>
      <c r="N17" s="175" t="str">
        <f>IFERROR(SUMIFS('caseload data'!P:P,'caseload data'!$C:$C,'custody %'!$B$15,'caseload data'!$D:$D,"PO",'caseload data'!$B:$B,"custody")/SUMIFS('caseload data'!P:P,'caseload data'!$B:$B,"custody",'caseload data'!$C:$C,'custody %'!$B$15),"")</f>
        <v/>
      </c>
      <c r="O17" s="175" t="str">
        <f>IFERROR(SUMIFS('caseload data'!Q:Q,'caseload data'!$C:$C,'custody %'!$B$15,'caseload data'!$D:$D,"PO",'caseload data'!$B:$B,"custody")/SUMIFS('caseload data'!Q:Q,'caseload data'!$B:$B,"custody",'caseload data'!$C:$C,'custody %'!$B$15),"")</f>
        <v/>
      </c>
      <c r="P17" s="175" t="str">
        <f>IFERROR(SUMIFS('caseload data'!R:R,'caseload data'!$C:$C,'custody %'!$B$15,'caseload data'!$D:$D,"PO",'caseload data'!$B:$B,"custody")/SUMIFS('caseload data'!R:R,'caseload data'!$B:$B,"custody",'caseload data'!$C:$C,'custody %'!$B$15),"")</f>
        <v/>
      </c>
      <c r="Q17" s="175" t="str">
        <f>IFERROR(SUMIFS('caseload data'!S:S,'caseload data'!$C:$C,'custody %'!$B$15,'caseload data'!$D:$D,"PO",'caseload data'!$B:$B,"custody")/SUMIFS('caseload data'!S:S,'caseload data'!$B:$B,"custody",'caseload data'!$C:$C,'custody %'!$B$15),"")</f>
        <v/>
      </c>
      <c r="R17" s="175" t="str">
        <f>IFERROR(SUMIFS('caseload data'!T:T,'caseload data'!$C:$C,'custody %'!$B$15,'caseload data'!$D:$D,"PO",'caseload data'!$B:$B,"custody")/SUMIFS('caseload data'!T:T,'caseload data'!$B:$B,"custody",'caseload data'!$C:$C,'custody %'!$B$15),"")</f>
        <v/>
      </c>
      <c r="S17" s="68"/>
      <c r="T17" s="100" t="s">
        <v>1166</v>
      </c>
      <c r="U17" s="175" t="str">
        <f>IFERROR(SUMIFS('caseload data'!E:E,'caseload data'!$C:$C,'custody %'!$T$15,'caseload data'!$D:$D,"PO",'caseload data'!$B:$B,"custody")/SUMIFS('caseload data'!E:E,'caseload data'!$B:$B,"custody",'caseload data'!$C:$C,'custody %'!$T$15),"")</f>
        <v/>
      </c>
      <c r="V17" s="175" t="str">
        <f>IFERROR(SUMIFS('caseload data'!F:F,'caseload data'!$C:$C,'custody %'!$T$15,'caseload data'!$D:$D,"PO",'caseload data'!$B:$B,"custody")/SUMIFS('caseload data'!F:F,'caseload data'!$B:$B,"custody",'caseload data'!$C:$C,'custody %'!$T$15),"")</f>
        <v/>
      </c>
      <c r="W17" s="175" t="str">
        <f>IFERROR(SUMIFS('caseload data'!G:G,'caseload data'!$C:$C,'custody %'!$T$15,'caseload data'!$D:$D,"PO",'caseload data'!$B:$B,"custody")/SUMIFS('caseload data'!G:G,'caseload data'!$B:$B,"custody",'caseload data'!$C:$C,'custody %'!$T$15),"")</f>
        <v/>
      </c>
      <c r="X17" s="175" t="str">
        <f>IFERROR(SUMIFS('caseload data'!H:H,'caseload data'!$C:$C,'custody %'!$T$15,'caseload data'!$D:$D,"PO",'caseload data'!$B:$B,"custody")/SUMIFS('caseload data'!H:H,'caseload data'!$B:$B,"custody",'caseload data'!$C:$C,'custody %'!$T$15),"")</f>
        <v/>
      </c>
      <c r="Y17" s="175" t="str">
        <f>IFERROR(SUMIFS('caseload data'!I:I,'caseload data'!$C:$C,'custody %'!$T$15,'caseload data'!$D:$D,"PO",'caseload data'!$B:$B,"custody")/SUMIFS('caseload data'!I:I,'caseload data'!$B:$B,"custody",'caseload data'!$C:$C,'custody %'!$T$15),"")</f>
        <v/>
      </c>
      <c r="Z17" s="175" t="str">
        <f>IFERROR(SUMIFS('caseload data'!J:J,'caseload data'!$C:$C,'custody %'!$T$15,'caseload data'!$D:$D,"PO",'caseload data'!$B:$B,"custody")/SUMIFS('caseload data'!J:J,'caseload data'!$B:$B,"custody",'caseload data'!$C:$C,'custody %'!$T$15),"")</f>
        <v/>
      </c>
      <c r="AA17" s="175" t="str">
        <f>IFERROR(SUMIFS('caseload data'!K:K,'caseload data'!$C:$C,'custody %'!$T$15,'caseload data'!$D:$D,"PO",'caseload data'!$B:$B,"custody")/SUMIFS('caseload data'!K:K,'caseload data'!$B:$B,"custody",'caseload data'!$C:$C,'custody %'!$T$15),"")</f>
        <v/>
      </c>
      <c r="AB17" s="175" t="str">
        <f>IFERROR(SUMIFS('caseload data'!L:L,'caseload data'!$C:$C,'custody %'!$T$15,'caseload data'!$D:$D,"PO",'caseload data'!$B:$B,"custody")/SUMIFS('caseload data'!L:L,'caseload data'!$B:$B,"custody",'caseload data'!$C:$C,'custody %'!$T$15),"")</f>
        <v/>
      </c>
      <c r="AC17" s="175" t="str">
        <f>IFERROR(SUMIFS('caseload data'!M:M,'caseload data'!$C:$C,'custody %'!$T$15,'caseload data'!$D:$D,"PO",'caseload data'!$B:$B,"custody")/SUMIFS('caseload data'!M:M,'caseload data'!$B:$B,"custody",'caseload data'!$C:$C,'custody %'!$T$15),"")</f>
        <v/>
      </c>
      <c r="AD17" s="175" t="str">
        <f>IFERROR(SUMIFS('caseload data'!N:N,'caseload data'!$C:$C,'custody %'!$T$15,'caseload data'!$D:$D,"PO",'caseload data'!$B:$B,"custody")/SUMIFS('caseload data'!N:N,'caseload data'!$B:$B,"custody",'caseload data'!$C:$C,'custody %'!$T$15),"")</f>
        <v/>
      </c>
      <c r="AE17" s="175" t="str">
        <f>IFERROR(SUMIFS('caseload data'!O:O,'caseload data'!$C:$C,'custody %'!$T$15,'caseload data'!$D:$D,"PO",'caseload data'!$B:$B,"custody")/SUMIFS('caseload data'!O:O,'caseload data'!$B:$B,"custody",'caseload data'!$C:$C,'custody %'!$T$15),"")</f>
        <v/>
      </c>
      <c r="AF17" s="175" t="str">
        <f>IFERROR(SUMIFS('caseload data'!P:P,'caseload data'!$C:$C,'custody %'!$T$15,'caseload data'!$D:$D,"PO",'caseload data'!$B:$B,"custody")/SUMIFS('caseload data'!P:P,'caseload data'!$B:$B,"custody",'caseload data'!$C:$C,'custody %'!$T$15),"")</f>
        <v/>
      </c>
      <c r="AG17" s="175" t="str">
        <f>IFERROR(SUMIFS('caseload data'!Q:Q,'caseload data'!$C:$C,'custody %'!$T$15,'caseload data'!$D:$D,"PO",'caseload data'!$B:$B,"custody")/SUMIFS('caseload data'!Q:Q,'caseload data'!$B:$B,"custody",'caseload data'!$C:$C,'custody %'!$T$15),"")</f>
        <v/>
      </c>
      <c r="AH17" s="175" t="str">
        <f>IFERROR(SUMIFS('caseload data'!R:R,'caseload data'!$C:$C,'custody %'!$T$15,'caseload data'!$D:$D,"PO",'caseload data'!$B:$B,"custody")/SUMIFS('caseload data'!R:R,'caseload data'!$B:$B,"custody",'caseload data'!$C:$C,'custody %'!$T$15),"")</f>
        <v/>
      </c>
      <c r="AI17" s="175"/>
      <c r="AJ17" s="175"/>
    </row>
    <row r="18" spans="2:36" x14ac:dyDescent="0.15">
      <c r="B18" s="101" t="s">
        <v>1172</v>
      </c>
      <c r="C18" s="175" t="str">
        <f>IFERROR(SUMIFS('caseload data'!E:E,'caseload data'!$C:$C,'custody %'!$B$15,'caseload data'!$D:$D,"PSO",'caseload data'!$B:$B,"custody")/SUMIFS('caseload data'!E:E,'caseload data'!$B:$B,"custody",'caseload data'!$C:$C,'custody %'!$B$15),"")</f>
        <v/>
      </c>
      <c r="D18" s="175" t="str">
        <f>IFERROR(SUMIFS('caseload data'!F:F,'caseload data'!$C:$C,'custody %'!$B$15,'caseload data'!$D:$D,"PSO",'caseload data'!$B:$B,"custody")/SUMIFS('caseload data'!F:F,'caseload data'!$B:$B,"custody",'caseload data'!$C:$C,'custody %'!$B$15),"")</f>
        <v/>
      </c>
      <c r="E18" s="175" t="str">
        <f>IFERROR(SUMIFS('caseload data'!G:G,'caseload data'!$C:$C,'custody %'!$B$15,'caseload data'!$D:$D,"PSO",'caseload data'!$B:$B,"custody")/SUMIFS('caseload data'!G:G,'caseload data'!$B:$B,"custody",'caseload data'!$C:$C,'custody %'!$B$15),"")</f>
        <v/>
      </c>
      <c r="F18" s="175" t="str">
        <f>IFERROR(SUMIFS('caseload data'!H:H,'caseload data'!$C:$C,'custody %'!$B$15,'caseload data'!$D:$D,"PSO",'caseload data'!$B:$B,"custody")/SUMIFS('caseload data'!H:H,'caseload data'!$B:$B,"custody",'caseload data'!$C:$C,'custody %'!$B$15),"")</f>
        <v/>
      </c>
      <c r="G18" s="175" t="str">
        <f>IFERROR(SUMIFS('caseload data'!I:I,'caseload data'!$C:$C,'custody %'!$B$15,'caseload data'!$D:$D,"PSO",'caseload data'!$B:$B,"custody")/SUMIFS('caseload data'!I:I,'caseload data'!$B:$B,"custody",'caseload data'!$C:$C,'custody %'!$B$15),"")</f>
        <v/>
      </c>
      <c r="H18" s="175" t="str">
        <f>IFERROR(SUMIFS('caseload data'!J:J,'caseload data'!$C:$C,'custody %'!$B$15,'caseload data'!$D:$D,"PSO",'caseload data'!$B:$B,"custody")/SUMIFS('caseload data'!J:J,'caseload data'!$B:$B,"custody",'caseload data'!$C:$C,'custody %'!$B$15),"")</f>
        <v/>
      </c>
      <c r="I18" s="175" t="str">
        <f>IFERROR(SUMIFS('caseload data'!K:K,'caseload data'!$C:$C,'custody %'!$B$15,'caseload data'!$D:$D,"PSO",'caseload data'!$B:$B,"custody")/SUMIFS('caseload data'!K:K,'caseload data'!$B:$B,"custody",'caseload data'!$C:$C,'custody %'!$B$15),"")</f>
        <v/>
      </c>
      <c r="J18" s="175" t="str">
        <f>IFERROR(SUMIFS('caseload data'!L:L,'caseload data'!$C:$C,'custody %'!$B$15,'caseload data'!$D:$D,"PSO",'caseload data'!$B:$B,"custody")/SUMIFS('caseload data'!L:L,'caseload data'!$B:$B,"custody",'caseload data'!$C:$C,'custody %'!$B$15),"")</f>
        <v/>
      </c>
      <c r="K18" s="175" t="str">
        <f>IFERROR(SUMIFS('caseload data'!M:M,'caseload data'!$C:$C,'custody %'!$B$15,'caseload data'!$D:$D,"PSO",'caseload data'!$B:$B,"custody")/SUMIFS('caseload data'!M:M,'caseload data'!$B:$B,"custody",'caseload data'!$C:$C,'custody %'!$B$15),"")</f>
        <v/>
      </c>
      <c r="L18" s="175" t="str">
        <f>IFERROR(SUMIFS('caseload data'!N:N,'caseload data'!$C:$C,'custody %'!$B$15,'caseload data'!$D:$D,"PSO",'caseload data'!$B:$B,"custody")/SUMIFS('caseload data'!N:N,'caseload data'!$B:$B,"custody",'caseload data'!$C:$C,'custody %'!$B$15),"")</f>
        <v/>
      </c>
      <c r="M18" s="175" t="str">
        <f>IFERROR(SUMIFS('caseload data'!O:O,'caseload data'!$C:$C,'custody %'!$B$15,'caseload data'!$D:$D,"PSO",'caseload data'!$B:$B,"custody")/SUMIFS('caseload data'!O:O,'caseload data'!$B:$B,"custody",'caseload data'!$C:$C,'custody %'!$B$15),"")</f>
        <v/>
      </c>
      <c r="N18" s="175" t="str">
        <f>IFERROR(SUMIFS('caseload data'!P:P,'caseload data'!$C:$C,'custody %'!$B$15,'caseload data'!$D:$D,"PSO",'caseload data'!$B:$B,"custody")/SUMIFS('caseload data'!P:P,'caseload data'!$B:$B,"custody",'caseload data'!$C:$C,'custody %'!$B$15),"")</f>
        <v/>
      </c>
      <c r="O18" s="175" t="str">
        <f>IFERROR(SUMIFS('caseload data'!Q:Q,'caseload data'!$C:$C,'custody %'!$B$15,'caseload data'!$D:$D,"PSO",'caseload data'!$B:$B,"custody")/SUMIFS('caseload data'!Q:Q,'caseload data'!$B:$B,"custody",'caseload data'!$C:$C,'custody %'!$B$15),"")</f>
        <v/>
      </c>
      <c r="P18" s="175" t="str">
        <f>IFERROR(SUMIFS('caseload data'!R:R,'caseload data'!$C:$C,'custody %'!$B$15,'caseload data'!$D:$D,"PSO",'caseload data'!$B:$B,"custody")/SUMIFS('caseload data'!R:R,'caseload data'!$B:$B,"custody",'caseload data'!$C:$C,'custody %'!$B$15),"")</f>
        <v/>
      </c>
      <c r="Q18" s="175" t="str">
        <f>IFERROR(SUMIFS('caseload data'!S:S,'caseload data'!$C:$C,'custody %'!$B$15,'caseload data'!$D:$D,"PSO",'caseload data'!$B:$B,"custody")/SUMIFS('caseload data'!S:S,'caseload data'!$B:$B,"custody",'caseload data'!$C:$C,'custody %'!$B$15),"")</f>
        <v/>
      </c>
      <c r="R18" s="175" t="str">
        <f>IFERROR(SUMIFS('caseload data'!T:T,'caseload data'!$C:$C,'custody %'!$B$15,'caseload data'!$D:$D,"PSO",'caseload data'!$B:$B,"custody")/SUMIFS('caseload data'!T:T,'caseload data'!$B:$B,"custody",'caseload data'!$C:$C,'custody %'!$B$15),"")</f>
        <v/>
      </c>
      <c r="S18" s="68"/>
      <c r="T18" s="101" t="s">
        <v>1172</v>
      </c>
      <c r="U18" s="175" t="str">
        <f>IFERROR(SUMIFS('caseload data'!E:E,'caseload data'!$C:$C,'custody %'!$T$15,'caseload data'!$D:$D,"PSO",'caseload data'!$B:$B,"custody")/SUMIFS('caseload data'!E:E,'caseload data'!$B:$B,"custody",'caseload data'!$C:$C,'custody %'!$T$15),"")</f>
        <v/>
      </c>
      <c r="V18" s="175" t="str">
        <f>IFERROR(SUMIFS('caseload data'!F:F,'caseload data'!$C:$C,'custody %'!$T$15,'caseload data'!$D:$D,"PSO",'caseload data'!$B:$B,"custody")/SUMIFS('caseload data'!F:F,'caseload data'!$B:$B,"custody",'caseload data'!$C:$C,'custody %'!$T$15),"")</f>
        <v/>
      </c>
      <c r="W18" s="175" t="str">
        <f>IFERROR(SUMIFS('caseload data'!G:G,'caseload data'!$C:$C,'custody %'!$T$15,'caseload data'!$D:$D,"PSO",'caseload data'!$B:$B,"custody")/SUMIFS('caseload data'!G:G,'caseload data'!$B:$B,"custody",'caseload data'!$C:$C,'custody %'!$T$15),"")</f>
        <v/>
      </c>
      <c r="X18" s="175" t="str">
        <f>IFERROR(SUMIFS('caseload data'!H:H,'caseload data'!$C:$C,'custody %'!$T$15,'caseload data'!$D:$D,"PSO",'caseload data'!$B:$B,"custody")/SUMIFS('caseload data'!H:H,'caseload data'!$B:$B,"custody",'caseload data'!$C:$C,'custody %'!$T$15),"")</f>
        <v/>
      </c>
      <c r="Y18" s="175" t="str">
        <f>IFERROR(SUMIFS('caseload data'!I:I,'caseload data'!$C:$C,'custody %'!$T$15,'caseload data'!$D:$D,"PSO",'caseload data'!$B:$B,"custody")/SUMIFS('caseload data'!I:I,'caseload data'!$B:$B,"custody",'caseload data'!$C:$C,'custody %'!$T$15),"")</f>
        <v/>
      </c>
      <c r="Z18" s="175" t="str">
        <f>IFERROR(SUMIFS('caseload data'!J:J,'caseload data'!$C:$C,'custody %'!$T$15,'caseload data'!$D:$D,"PSO",'caseload data'!$B:$B,"custody")/SUMIFS('caseload data'!J:J,'caseload data'!$B:$B,"custody",'caseload data'!$C:$C,'custody %'!$T$15),"")</f>
        <v/>
      </c>
      <c r="AA18" s="175" t="str">
        <f>IFERROR(SUMIFS('caseload data'!K:K,'caseload data'!$C:$C,'custody %'!$T$15,'caseload data'!$D:$D,"PSO",'caseload data'!$B:$B,"custody")/SUMIFS('caseload data'!K:K,'caseload data'!$B:$B,"custody",'caseload data'!$C:$C,'custody %'!$T$15),"")</f>
        <v/>
      </c>
      <c r="AB18" s="175" t="str">
        <f>IFERROR(SUMIFS('caseload data'!L:L,'caseload data'!$C:$C,'custody %'!$T$15,'caseload data'!$D:$D,"PSO",'caseload data'!$B:$B,"custody")/SUMIFS('caseload data'!L:L,'caseload data'!$B:$B,"custody",'caseload data'!$C:$C,'custody %'!$T$15),"")</f>
        <v/>
      </c>
      <c r="AC18" s="175" t="str">
        <f>IFERROR(SUMIFS('caseload data'!M:M,'caseload data'!$C:$C,'custody %'!$T$15,'caseload data'!$D:$D,"PSO",'caseload data'!$B:$B,"custody")/SUMIFS('caseload data'!M:M,'caseload data'!$B:$B,"custody",'caseload data'!$C:$C,'custody %'!$T$15),"")</f>
        <v/>
      </c>
      <c r="AD18" s="175" t="str">
        <f>IFERROR(SUMIFS('caseload data'!N:N,'caseload data'!$C:$C,'custody %'!$T$15,'caseload data'!$D:$D,"PSO",'caseload data'!$B:$B,"custody")/SUMIFS('caseload data'!N:N,'caseload data'!$B:$B,"custody",'caseload data'!$C:$C,'custody %'!$T$15),"")</f>
        <v/>
      </c>
      <c r="AE18" s="175" t="str">
        <f>IFERROR(SUMIFS('caseload data'!O:O,'caseload data'!$C:$C,'custody %'!$T$15,'caseload data'!$D:$D,"PSO",'caseload data'!$B:$B,"custody")/SUMIFS('caseload data'!O:O,'caseload data'!$B:$B,"custody",'caseload data'!$C:$C,'custody %'!$T$15),"")</f>
        <v/>
      </c>
      <c r="AF18" s="175" t="str">
        <f>IFERROR(SUMIFS('caseload data'!P:P,'caseload data'!$C:$C,'custody %'!$T$15,'caseload data'!$D:$D,"PSO",'caseload data'!$B:$B,"custody")/SUMIFS('caseload data'!P:P,'caseload data'!$B:$B,"custody",'caseload data'!$C:$C,'custody %'!$T$15),"")</f>
        <v/>
      </c>
      <c r="AG18" s="175" t="str">
        <f>IFERROR(SUMIFS('caseload data'!Q:Q,'caseload data'!$C:$C,'custody %'!$T$15,'caseload data'!$D:$D,"PSO",'caseload data'!$B:$B,"custody")/SUMIFS('caseload data'!Q:Q,'caseload data'!$B:$B,"custody",'caseload data'!$C:$C,'custody %'!$T$15),"")</f>
        <v/>
      </c>
      <c r="AH18" s="175" t="str">
        <f>IFERROR(SUMIFS('caseload data'!R:R,'caseload data'!$C:$C,'custody %'!$T$15,'caseload data'!$D:$D,"PSO",'caseload data'!$B:$B,"custody")/SUMIFS('caseload data'!R:R,'caseload data'!$B:$B,"custody",'caseload data'!$C:$C,'custody %'!$T$15),"")</f>
        <v/>
      </c>
      <c r="AI18" s="175"/>
      <c r="AJ18" s="175"/>
    </row>
    <row r="19" spans="2:36" x14ac:dyDescent="0.15">
      <c r="B19" s="101" t="s">
        <v>1173</v>
      </c>
      <c r="C19" s="175" t="str">
        <f>IFERROR(SUMIFS('caseload data'!E:E,'caseload data'!$C:$C,'custody %'!$B$15,'caseload data'!$D:$D,"TPO",'caseload data'!$B:$B,"custody")/SUMIFS('caseload data'!E:E,'caseload data'!$B:$B,"custody",'caseload data'!$C:$C,'custody %'!$B$15),"")</f>
        <v/>
      </c>
      <c r="D19" s="175" t="str">
        <f>IFERROR(SUMIFS('caseload data'!F:F,'caseload data'!$C:$C,'custody %'!$B$15,'caseload data'!$D:$D,"TPO",'caseload data'!$B:$B,"custody")/SUMIFS('caseload data'!F:F,'caseload data'!$B:$B,"custody",'caseload data'!$C:$C,'custody %'!$B$15),"")</f>
        <v/>
      </c>
      <c r="E19" s="175" t="str">
        <f>IFERROR(SUMIFS('caseload data'!G:G,'caseload data'!$C:$C,'custody %'!$B$15,'caseload data'!$D:$D,"TPO",'caseload data'!$B:$B,"custody")/SUMIFS('caseload data'!G:G,'caseload data'!$B:$B,"custody",'caseload data'!$C:$C,'custody %'!$B$15),"")</f>
        <v/>
      </c>
      <c r="F19" s="175" t="str">
        <f>IFERROR(SUMIFS('caseload data'!H:H,'caseload data'!$C:$C,'custody %'!$B$15,'caseload data'!$D:$D,"TPO",'caseload data'!$B:$B,"custody")/SUMIFS('caseload data'!H:H,'caseload data'!$B:$B,"custody",'caseload data'!$C:$C,'custody %'!$B$15),"")</f>
        <v/>
      </c>
      <c r="G19" s="175" t="str">
        <f>IFERROR(SUMIFS('caseload data'!I:I,'caseload data'!$C:$C,'custody %'!$B$15,'caseload data'!$D:$D,"TPO",'caseload data'!$B:$B,"custody")/SUMIFS('caseload data'!I:I,'caseload data'!$B:$B,"custody",'caseload data'!$C:$C,'custody %'!$B$15),"")</f>
        <v/>
      </c>
      <c r="H19" s="175" t="str">
        <f>IFERROR(SUMIFS('caseload data'!J:J,'caseload data'!$C:$C,'custody %'!$B$15,'caseload data'!$D:$D,"TPO",'caseload data'!$B:$B,"custody")/SUMIFS('caseload data'!J:J,'caseload data'!$B:$B,"custody",'caseload data'!$C:$C,'custody %'!$B$15),"")</f>
        <v/>
      </c>
      <c r="I19" s="175" t="str">
        <f>IFERROR(SUMIFS('caseload data'!K:K,'caseload data'!$C:$C,'custody %'!$B$15,'caseload data'!$D:$D,"TPO",'caseload data'!$B:$B,"custody")/SUMIFS('caseload data'!K:K,'caseload data'!$B:$B,"custody",'caseload data'!$C:$C,'custody %'!$B$15),"")</f>
        <v/>
      </c>
      <c r="J19" s="175" t="str">
        <f>IFERROR(SUMIFS('caseload data'!L:L,'caseload data'!$C:$C,'custody %'!$B$15,'caseload data'!$D:$D,"TPO",'caseload data'!$B:$B,"custody")/SUMIFS('caseload data'!L:L,'caseload data'!$B:$B,"custody",'caseload data'!$C:$C,'custody %'!$B$15),"")</f>
        <v/>
      </c>
      <c r="K19" s="175" t="str">
        <f>IFERROR(SUMIFS('caseload data'!M:M,'caseload data'!$C:$C,'custody %'!$B$15,'caseload data'!$D:$D,"TPO",'caseload data'!$B:$B,"custody")/SUMIFS('caseload data'!M:M,'caseload data'!$B:$B,"custody",'caseload data'!$C:$C,'custody %'!$B$15),"")</f>
        <v/>
      </c>
      <c r="L19" s="175" t="str">
        <f>IFERROR(SUMIFS('caseload data'!N:N,'caseload data'!$C:$C,'custody %'!$B$15,'caseload data'!$D:$D,"TPO",'caseload data'!$B:$B,"custody")/SUMIFS('caseload data'!N:N,'caseload data'!$B:$B,"custody",'caseload data'!$C:$C,'custody %'!$B$15),"")</f>
        <v/>
      </c>
      <c r="M19" s="175" t="str">
        <f>IFERROR(SUMIFS('caseload data'!O:O,'caseload data'!$C:$C,'custody %'!$B$15,'caseload data'!$D:$D,"TPO",'caseload data'!$B:$B,"custody")/SUMIFS('caseload data'!O:O,'caseload data'!$B:$B,"custody",'caseload data'!$C:$C,'custody %'!$B$15),"")</f>
        <v/>
      </c>
      <c r="N19" s="175" t="str">
        <f>IFERROR(SUMIFS('caseload data'!P:P,'caseload data'!$C:$C,'custody %'!$B$15,'caseload data'!$D:$D,"TPO",'caseload data'!$B:$B,"custody")/SUMIFS('caseload data'!P:P,'caseload data'!$B:$B,"custody",'caseload data'!$C:$C,'custody %'!$B$15),"")</f>
        <v/>
      </c>
      <c r="O19" s="175" t="str">
        <f>IFERROR(SUMIFS('caseload data'!Q:Q,'caseload data'!$C:$C,'custody %'!$B$15,'caseload data'!$D:$D,"TPO",'caseload data'!$B:$B,"custody")/SUMIFS('caseload data'!Q:Q,'caseload data'!$B:$B,"custody",'caseload data'!$C:$C,'custody %'!$B$15),"")</f>
        <v/>
      </c>
      <c r="P19" s="175" t="str">
        <f>IFERROR(SUMIFS('caseload data'!R:R,'caseload data'!$C:$C,'custody %'!$B$15,'caseload data'!$D:$D,"TPO",'caseload data'!$B:$B,"custody")/SUMIFS('caseload data'!R:R,'caseload data'!$B:$B,"custody",'caseload data'!$C:$C,'custody %'!$B$15),"")</f>
        <v/>
      </c>
      <c r="Q19" s="175" t="str">
        <f>IFERROR(SUMIFS('caseload data'!S:S,'caseload data'!$C:$C,'custody %'!$B$15,'caseload data'!$D:$D,"TPO",'caseload data'!$B:$B,"custody")/SUMIFS('caseload data'!S:S,'caseload data'!$B:$B,"custody",'caseload data'!$C:$C,'custody %'!$B$15),"")</f>
        <v/>
      </c>
      <c r="R19" s="175" t="str">
        <f>IFERROR(SUMIFS('caseload data'!T:T,'caseload data'!$C:$C,'custody %'!$B$15,'caseload data'!$D:$D,"TPO",'caseload data'!$B:$B,"custody")/SUMIFS('caseload data'!T:T,'caseload data'!$B:$B,"custody",'caseload data'!$C:$C,'custody %'!$B$15),"")</f>
        <v/>
      </c>
      <c r="S19" s="68"/>
      <c r="T19" s="101" t="s">
        <v>1173</v>
      </c>
      <c r="U19" s="175" t="str">
        <f>IFERROR(SUMIFS('caseload data'!E:E,'caseload data'!$C:$C,'custody %'!$T$15,'caseload data'!$D:$D,"TPO",'caseload data'!$B:$B,"custody")/SUMIFS('caseload data'!E:E,'caseload data'!$B:$B,"custody",'caseload data'!$C:$C,'custody %'!$T$15),"")</f>
        <v/>
      </c>
      <c r="V19" s="175" t="str">
        <f>IFERROR(SUMIFS('caseload data'!F:F,'caseload data'!$C:$C,'custody %'!$T$15,'caseload data'!$D:$D,"TPO",'caseload data'!$B:$B,"custody")/SUMIFS('caseload data'!F:F,'caseload data'!$B:$B,"custody",'caseload data'!$C:$C,'custody %'!$T$15),"")</f>
        <v/>
      </c>
      <c r="W19" s="175" t="str">
        <f>IFERROR(SUMIFS('caseload data'!G:G,'caseload data'!$C:$C,'custody %'!$T$15,'caseload data'!$D:$D,"TPO",'caseload data'!$B:$B,"custody")/SUMIFS('caseload data'!G:G,'caseload data'!$B:$B,"custody",'caseload data'!$C:$C,'custody %'!$T$15),"")</f>
        <v/>
      </c>
      <c r="X19" s="175" t="str">
        <f>IFERROR(SUMIFS('caseload data'!H:H,'caseload data'!$C:$C,'custody %'!$T$15,'caseload data'!$D:$D,"TPO",'caseload data'!$B:$B,"custody")/SUMIFS('caseload data'!H:H,'caseload data'!$B:$B,"custody",'caseload data'!$C:$C,'custody %'!$T$15),"")</f>
        <v/>
      </c>
      <c r="Y19" s="175" t="str">
        <f>IFERROR(SUMIFS('caseload data'!I:I,'caseload data'!$C:$C,'custody %'!$T$15,'caseload data'!$D:$D,"TPO",'caseload data'!$B:$B,"custody")/SUMIFS('caseload data'!I:I,'caseload data'!$B:$B,"custody",'caseload data'!$C:$C,'custody %'!$T$15),"")</f>
        <v/>
      </c>
      <c r="Z19" s="175" t="str">
        <f>IFERROR(SUMIFS('caseload data'!J:J,'caseload data'!$C:$C,'custody %'!$T$15,'caseload data'!$D:$D,"TPO",'caseload data'!$B:$B,"custody")/SUMIFS('caseload data'!J:J,'caseload data'!$B:$B,"custody",'caseload data'!$C:$C,'custody %'!$T$15),"")</f>
        <v/>
      </c>
      <c r="AA19" s="175" t="str">
        <f>IFERROR(SUMIFS('caseload data'!K:K,'caseload data'!$C:$C,'custody %'!$T$15,'caseload data'!$D:$D,"TPO",'caseload data'!$B:$B,"custody")/SUMIFS('caseload data'!K:K,'caseload data'!$B:$B,"custody",'caseload data'!$C:$C,'custody %'!$T$15),"")</f>
        <v/>
      </c>
      <c r="AB19" s="175" t="str">
        <f>IFERROR(SUMIFS('caseload data'!L:L,'caseload data'!$C:$C,'custody %'!$T$15,'caseload data'!$D:$D,"TPO",'caseload data'!$B:$B,"custody")/SUMIFS('caseload data'!L:L,'caseload data'!$B:$B,"custody",'caseload data'!$C:$C,'custody %'!$T$15),"")</f>
        <v/>
      </c>
      <c r="AC19" s="175" t="str">
        <f>IFERROR(SUMIFS('caseload data'!M:M,'caseload data'!$C:$C,'custody %'!$T$15,'caseload data'!$D:$D,"TPO",'caseload data'!$B:$B,"custody")/SUMIFS('caseload data'!M:M,'caseload data'!$B:$B,"custody",'caseload data'!$C:$C,'custody %'!$T$15),"")</f>
        <v/>
      </c>
      <c r="AD19" s="175" t="str">
        <f>IFERROR(SUMIFS('caseload data'!N:N,'caseload data'!$C:$C,'custody %'!$T$15,'caseload data'!$D:$D,"TPO",'caseload data'!$B:$B,"custody")/SUMIFS('caseload data'!N:N,'caseload data'!$B:$B,"custody",'caseload data'!$C:$C,'custody %'!$T$15),"")</f>
        <v/>
      </c>
      <c r="AE19" s="175" t="str">
        <f>IFERROR(SUMIFS('caseload data'!O:O,'caseload data'!$C:$C,'custody %'!$T$15,'caseload data'!$D:$D,"TPO",'caseload data'!$B:$B,"custody")/SUMIFS('caseload data'!O:O,'caseload data'!$B:$B,"custody",'caseload data'!$C:$C,'custody %'!$T$15),"")</f>
        <v/>
      </c>
      <c r="AF19" s="175" t="str">
        <f>IFERROR(SUMIFS('caseload data'!P:P,'caseload data'!$C:$C,'custody %'!$T$15,'caseload data'!$D:$D,"TPO",'caseload data'!$B:$B,"custody")/SUMIFS('caseload data'!P:P,'caseload data'!$B:$B,"custody",'caseload data'!$C:$C,'custody %'!$T$15),"")</f>
        <v/>
      </c>
      <c r="AG19" s="175" t="str">
        <f>IFERROR(SUMIFS('caseload data'!Q:Q,'caseload data'!$C:$C,'custody %'!$T$15,'caseload data'!$D:$D,"TPO",'caseload data'!$B:$B,"custody")/SUMIFS('caseload data'!Q:Q,'caseload data'!$B:$B,"custody",'caseload data'!$C:$C,'custody %'!$T$15),"")</f>
        <v/>
      </c>
      <c r="AH19" s="175" t="str">
        <f>IFERROR(SUMIFS('caseload data'!R:R,'caseload data'!$C:$C,'custody %'!$T$15,'caseload data'!$D:$D,"TPO",'caseload data'!$B:$B,"custody")/SUMIFS('caseload data'!R:R,'caseload data'!$B:$B,"custody",'caseload data'!$C:$C,'custody %'!$T$15),"")</f>
        <v/>
      </c>
      <c r="AI19" s="175"/>
      <c r="AJ19" s="175"/>
    </row>
    <row r="20" spans="2:36" x14ac:dyDescent="0.15">
      <c r="B20" s="102" t="s">
        <v>1174</v>
      </c>
      <c r="C20" s="175" t="str">
        <f>IFERROR(SUMIFS('caseload data'!E:E,'caseload data'!$C:$C,'custody %'!$B$15,'caseload data'!$D:$D,"SPO",'caseload data'!$B:$B,"custody")/SUMIFS('caseload data'!E:E,'caseload data'!$B:$B,"custody",'caseload data'!$C:$C,'custody %'!$B$15),"")</f>
        <v/>
      </c>
      <c r="D20" s="175" t="str">
        <f>IFERROR(SUMIFS('caseload data'!F:F,'caseload data'!$C:$C,'custody %'!$B$15,'caseload data'!$D:$D,"SPO",'caseload data'!$B:$B,"custody")/SUMIFS('caseload data'!F:F,'caseload data'!$B:$B,"custody",'caseload data'!$C:$C,'custody %'!$B$15),"")</f>
        <v/>
      </c>
      <c r="E20" s="175" t="str">
        <f>IFERROR(SUMIFS('caseload data'!G:G,'caseload data'!$C:$C,'custody %'!$B$15,'caseload data'!$D:$D,"SPO",'caseload data'!$B:$B,"custody")/SUMIFS('caseload data'!G:G,'caseload data'!$B:$B,"custody",'caseload data'!$C:$C,'custody %'!$B$15),"")</f>
        <v/>
      </c>
      <c r="F20" s="175" t="str">
        <f>IFERROR(SUMIFS('caseload data'!H:H,'caseload data'!$C:$C,'custody %'!$B$15,'caseload data'!$D:$D,"SPO",'caseload data'!$B:$B,"custody")/SUMIFS('caseload data'!H:H,'caseload data'!$B:$B,"custody",'caseload data'!$C:$C,'custody %'!$B$15),"")</f>
        <v/>
      </c>
      <c r="G20" s="175" t="str">
        <f>IFERROR(SUMIFS('caseload data'!I:I,'caseload data'!$C:$C,'custody %'!$B$15,'caseload data'!$D:$D,"SPO",'caseload data'!$B:$B,"custody")/SUMIFS('caseload data'!I:I,'caseload data'!$B:$B,"custody",'caseload data'!$C:$C,'custody %'!$B$15),"")</f>
        <v/>
      </c>
      <c r="H20" s="175" t="str">
        <f>IFERROR(SUMIFS('caseload data'!J:J,'caseload data'!$C:$C,'custody %'!$B$15,'caseload data'!$D:$D,"SPO",'caseload data'!$B:$B,"custody")/SUMIFS('caseload data'!J:J,'caseload data'!$B:$B,"custody",'caseload data'!$C:$C,'custody %'!$B$15),"")</f>
        <v/>
      </c>
      <c r="I20" s="175" t="str">
        <f>IFERROR(SUMIFS('caseload data'!K:K,'caseload data'!$C:$C,'custody %'!$B$15,'caseload data'!$D:$D,"SPO",'caseload data'!$B:$B,"custody")/SUMIFS('caseload data'!K:K,'caseload data'!$B:$B,"custody",'caseload data'!$C:$C,'custody %'!$B$15),"")</f>
        <v/>
      </c>
      <c r="J20" s="175" t="str">
        <f>IFERROR(SUMIFS('caseload data'!L:L,'caseload data'!$C:$C,'custody %'!$B$15,'caseload data'!$D:$D,"SPO",'caseload data'!$B:$B,"custody")/SUMIFS('caseload data'!L:L,'caseload data'!$B:$B,"custody",'caseload data'!$C:$C,'custody %'!$B$15),"")</f>
        <v/>
      </c>
      <c r="K20" s="175" t="str">
        <f>IFERROR(SUMIFS('caseload data'!M:M,'caseload data'!$C:$C,'custody %'!$B$15,'caseload data'!$D:$D,"SPO",'caseload data'!$B:$B,"custody")/SUMIFS('caseload data'!M:M,'caseload data'!$B:$B,"custody",'caseload data'!$C:$C,'custody %'!$B$15),"")</f>
        <v/>
      </c>
      <c r="L20" s="175" t="str">
        <f>IFERROR(SUMIFS('caseload data'!N:N,'caseload data'!$C:$C,'custody %'!$B$15,'caseload data'!$D:$D,"SPO",'caseload data'!$B:$B,"custody")/SUMIFS('caseload data'!N:N,'caseload data'!$B:$B,"custody",'caseload data'!$C:$C,'custody %'!$B$15),"")</f>
        <v/>
      </c>
      <c r="M20" s="175" t="str">
        <f>IFERROR(SUMIFS('caseload data'!O:O,'caseload data'!$C:$C,'custody %'!$B$15,'caseload data'!$D:$D,"SPO",'caseload data'!$B:$B,"custody")/SUMIFS('caseload data'!O:O,'caseload data'!$B:$B,"custody",'caseload data'!$C:$C,'custody %'!$B$15),"")</f>
        <v/>
      </c>
      <c r="N20" s="175" t="str">
        <f>IFERROR(SUMIFS('caseload data'!P:P,'caseload data'!$C:$C,'custody %'!$B$15,'caseload data'!$D:$D,"SPO",'caseload data'!$B:$B,"custody")/SUMIFS('caseload data'!P:P,'caseload data'!$B:$B,"custody",'caseload data'!$C:$C,'custody %'!$B$15),"")</f>
        <v/>
      </c>
      <c r="O20" s="175" t="str">
        <f>IFERROR(SUMIFS('caseload data'!Q:Q,'caseload data'!$C:$C,'custody %'!$B$15,'caseload data'!$D:$D,"SPO",'caseload data'!$B:$B,"custody")/SUMIFS('caseload data'!Q:Q,'caseload data'!$B:$B,"custody",'caseload data'!$C:$C,'custody %'!$B$15),"")</f>
        <v/>
      </c>
      <c r="P20" s="175" t="str">
        <f>IFERROR(SUMIFS('caseload data'!R:R,'caseload data'!$C:$C,'custody %'!$B$15,'caseload data'!$D:$D,"SPO",'caseload data'!$B:$B,"custody")/SUMIFS('caseload data'!R:R,'caseload data'!$B:$B,"custody",'caseload data'!$C:$C,'custody %'!$B$15),"")</f>
        <v/>
      </c>
      <c r="Q20" s="175" t="str">
        <f>IFERROR(SUMIFS('caseload data'!S:S,'caseload data'!$C:$C,'custody %'!$B$15,'caseload data'!$D:$D,"SPO",'caseload data'!$B:$B,"custody")/SUMIFS('caseload data'!S:S,'caseload data'!$B:$B,"custody",'caseload data'!$C:$C,'custody %'!$B$15),"")</f>
        <v/>
      </c>
      <c r="R20" s="175" t="str">
        <f>IFERROR(SUMIFS('caseload data'!T:T,'caseload data'!$C:$C,'custody %'!$B$15,'caseload data'!$D:$D,"SPO",'caseload data'!$B:$B,"custody")/SUMIFS('caseload data'!T:T,'caseload data'!$B:$B,"custody",'caseload data'!$C:$C,'custody %'!$B$15),"")</f>
        <v/>
      </c>
      <c r="S20" s="68"/>
      <c r="T20" s="102" t="s">
        <v>1174</v>
      </c>
      <c r="U20" s="175" t="str">
        <f>IFERROR(SUMIFS('caseload data'!E:E,'caseload data'!$C:$C,'custody %'!$T$15,'caseload data'!$D:$D,"SPO",'caseload data'!$B:$B,"custody")/SUMIFS('caseload data'!E:E,'caseload data'!$B:$B,"custody",'caseload data'!$C:$C,'custody %'!$T$15),"")</f>
        <v/>
      </c>
      <c r="V20" s="175" t="str">
        <f>IFERROR(SUMIFS('caseload data'!F:F,'caseload data'!$C:$C,'custody %'!$T$15,'caseload data'!$D:$D,"SPO",'caseload data'!$B:$B,"custody")/SUMIFS('caseload data'!F:F,'caseload data'!$B:$B,"custody",'caseload data'!$C:$C,'custody %'!$T$15),"")</f>
        <v/>
      </c>
      <c r="W20" s="175" t="str">
        <f>IFERROR(SUMIFS('caseload data'!G:G,'caseload data'!$C:$C,'custody %'!$T$15,'caseload data'!$D:$D,"SPO",'caseload data'!$B:$B,"custody")/SUMIFS('caseload data'!G:G,'caseload data'!$B:$B,"custody",'caseload data'!$C:$C,'custody %'!$T$15),"")</f>
        <v/>
      </c>
      <c r="X20" s="175" t="str">
        <f>IFERROR(SUMIFS('caseload data'!H:H,'caseload data'!$C:$C,'custody %'!$T$15,'caseload data'!$D:$D,"SPO",'caseload data'!$B:$B,"custody")/SUMIFS('caseload data'!H:H,'caseload data'!$B:$B,"custody",'caseload data'!$C:$C,'custody %'!$T$15),"")</f>
        <v/>
      </c>
      <c r="Y20" s="175" t="str">
        <f>IFERROR(SUMIFS('caseload data'!I:I,'caseload data'!$C:$C,'custody %'!$T$15,'caseload data'!$D:$D,"SPO",'caseload data'!$B:$B,"custody")/SUMIFS('caseload data'!I:I,'caseload data'!$B:$B,"custody",'caseload data'!$C:$C,'custody %'!$T$15),"")</f>
        <v/>
      </c>
      <c r="Z20" s="175" t="str">
        <f>IFERROR(SUMIFS('caseload data'!J:J,'caseload data'!$C:$C,'custody %'!$T$15,'caseload data'!$D:$D,"SPO",'caseload data'!$B:$B,"custody")/SUMIFS('caseload data'!J:J,'caseload data'!$B:$B,"custody",'caseload data'!$C:$C,'custody %'!$T$15),"")</f>
        <v/>
      </c>
      <c r="AA20" s="175" t="str">
        <f>IFERROR(SUMIFS('caseload data'!K:K,'caseload data'!$C:$C,'custody %'!$T$15,'caseload data'!$D:$D,"SPO",'caseload data'!$B:$B,"custody")/SUMIFS('caseload data'!K:K,'caseload data'!$B:$B,"custody",'caseload data'!$C:$C,'custody %'!$T$15),"")</f>
        <v/>
      </c>
      <c r="AB20" s="175" t="str">
        <f>IFERROR(SUMIFS('caseload data'!L:L,'caseload data'!$C:$C,'custody %'!$T$15,'caseload data'!$D:$D,"SPO",'caseload data'!$B:$B,"custody")/SUMIFS('caseload data'!L:L,'caseload data'!$B:$B,"custody",'caseload data'!$C:$C,'custody %'!$T$15),"")</f>
        <v/>
      </c>
      <c r="AC20" s="175" t="str">
        <f>IFERROR(SUMIFS('caseload data'!M:M,'caseload data'!$C:$C,'custody %'!$T$15,'caseload data'!$D:$D,"SPO",'caseload data'!$B:$B,"custody")/SUMIFS('caseload data'!M:M,'caseload data'!$B:$B,"custody",'caseload data'!$C:$C,'custody %'!$T$15),"")</f>
        <v/>
      </c>
      <c r="AD20" s="175" t="str">
        <f>IFERROR(SUMIFS('caseload data'!N:N,'caseload data'!$C:$C,'custody %'!$T$15,'caseload data'!$D:$D,"SPO",'caseload data'!$B:$B,"custody")/SUMIFS('caseload data'!N:N,'caseload data'!$B:$B,"custody",'caseload data'!$C:$C,'custody %'!$T$15),"")</f>
        <v/>
      </c>
      <c r="AE20" s="175" t="str">
        <f>IFERROR(SUMIFS('caseload data'!O:O,'caseload data'!$C:$C,'custody %'!$T$15,'caseload data'!$D:$D,"SPO",'caseload data'!$B:$B,"custody")/SUMIFS('caseload data'!O:O,'caseload data'!$B:$B,"custody",'caseload data'!$C:$C,'custody %'!$T$15),"")</f>
        <v/>
      </c>
      <c r="AF20" s="175" t="str">
        <f>IFERROR(SUMIFS('caseload data'!P:P,'caseload data'!$C:$C,'custody %'!$T$15,'caseload data'!$D:$D,"SPO",'caseload data'!$B:$B,"custody")/SUMIFS('caseload data'!P:P,'caseload data'!$B:$B,"custody",'caseload data'!$C:$C,'custody %'!$T$15),"")</f>
        <v/>
      </c>
      <c r="AG20" s="175" t="str">
        <f>IFERROR(SUMIFS('caseload data'!Q:Q,'caseload data'!$C:$C,'custody %'!$T$15,'caseload data'!$D:$D,"SPO",'caseload data'!$B:$B,"custody")/SUMIFS('caseload data'!Q:Q,'caseload data'!$B:$B,"custody",'caseload data'!$C:$C,'custody %'!$T$15),"")</f>
        <v/>
      </c>
      <c r="AH20" s="175" t="str">
        <f>IFERROR(SUMIFS('caseload data'!R:R,'caseload data'!$C:$C,'custody %'!$T$15,'caseload data'!$D:$D,"SPO",'caseload data'!$B:$B,"custody")/SUMIFS('caseload data'!R:R,'caseload data'!$B:$B,"custody",'caseload data'!$C:$C,'custody %'!$T$15),"")</f>
        <v/>
      </c>
      <c r="AI20" s="175"/>
      <c r="AJ20" s="175"/>
    </row>
    <row r="21" spans="2:36" x14ac:dyDescent="0.15">
      <c r="B21" s="95"/>
      <c r="C21" s="68"/>
      <c r="D21" s="68"/>
      <c r="E21" s="68"/>
      <c r="F21" s="68"/>
      <c r="G21" s="68"/>
      <c r="H21" s="68"/>
      <c r="I21" s="68"/>
      <c r="J21" s="68"/>
      <c r="K21" s="68"/>
      <c r="L21" s="68"/>
      <c r="M21" s="68"/>
      <c r="N21" s="68"/>
      <c r="O21" s="68"/>
      <c r="P21" s="68"/>
      <c r="Q21" s="68"/>
      <c r="R21" s="68"/>
      <c r="S21" s="68"/>
      <c r="T21" s="95"/>
      <c r="U21" s="68"/>
      <c r="V21" s="68"/>
      <c r="W21" s="68"/>
      <c r="X21" s="68"/>
      <c r="Y21" s="68"/>
      <c r="Z21" s="68"/>
      <c r="AA21" s="68"/>
      <c r="AB21" s="68"/>
      <c r="AC21" s="68"/>
      <c r="AD21" s="68"/>
      <c r="AE21" s="68"/>
      <c r="AF21" s="68"/>
      <c r="AG21" s="68"/>
      <c r="AH21" s="68"/>
    </row>
    <row r="22" spans="2:36" ht="30.75" customHeight="1" x14ac:dyDescent="0.15">
      <c r="B22" s="302" t="str">
        <f>HLOOKUP($B$5,Region_Table,6,0)</f>
        <v>Corporate Services - N07</v>
      </c>
      <c r="C22" s="467" t="s">
        <v>1305</v>
      </c>
      <c r="D22" s="468"/>
      <c r="E22" s="468"/>
      <c r="F22" s="468"/>
      <c r="G22" s="468"/>
      <c r="H22" s="468"/>
      <c r="I22" s="468"/>
      <c r="J22" s="468"/>
      <c r="K22" s="468"/>
      <c r="L22" s="468"/>
      <c r="M22" s="487"/>
      <c r="N22" s="487"/>
      <c r="O22" s="488"/>
      <c r="P22" s="462">
        <f>SUMIF('caseload data'!$C:$C,'custody %'!B22,'caseload data'!V:V)</f>
        <v>0</v>
      </c>
      <c r="Q22" s="479"/>
      <c r="R22" s="480"/>
      <c r="S22" s="68"/>
      <c r="T22" s="302" t="str">
        <f>HLOOKUP($B$5,Region_Table,7,0)</f>
        <v>Croydon - N07</v>
      </c>
      <c r="U22" s="467" t="s">
        <v>1305</v>
      </c>
      <c r="V22" s="468"/>
      <c r="W22" s="468"/>
      <c r="X22" s="468"/>
      <c r="Y22" s="468"/>
      <c r="Z22" s="468"/>
      <c r="AA22" s="468"/>
      <c r="AB22" s="468"/>
      <c r="AC22" s="487"/>
      <c r="AD22" s="487"/>
      <c r="AE22" s="488"/>
      <c r="AF22" s="462">
        <f>SUMIF('caseload data'!$C:$C,'custody %'!T22,'caseload data'!V:V)</f>
        <v>0</v>
      </c>
      <c r="AG22" s="479"/>
      <c r="AH22" s="480"/>
    </row>
    <row r="23" spans="2:36" x14ac:dyDescent="0.15">
      <c r="B23" s="99" t="s">
        <v>1170</v>
      </c>
      <c r="C23" s="40" t="s">
        <v>1022</v>
      </c>
      <c r="D23" s="40" t="s">
        <v>1023</v>
      </c>
      <c r="E23" s="40" t="s">
        <v>1024</v>
      </c>
      <c r="F23" s="40" t="s">
        <v>1025</v>
      </c>
      <c r="G23" s="40" t="s">
        <v>1026</v>
      </c>
      <c r="H23" s="40" t="s">
        <v>1027</v>
      </c>
      <c r="I23" s="40" t="s">
        <v>1028</v>
      </c>
      <c r="J23" s="40" t="s">
        <v>1029</v>
      </c>
      <c r="K23" s="40" t="s">
        <v>1030</v>
      </c>
      <c r="L23" s="40" t="s">
        <v>1031</v>
      </c>
      <c r="M23" s="40" t="s">
        <v>1032</v>
      </c>
      <c r="N23" s="40" t="s">
        <v>1033</v>
      </c>
      <c r="O23" s="40" t="s">
        <v>1034</v>
      </c>
      <c r="P23" s="40" t="s">
        <v>1035</v>
      </c>
      <c r="Q23" s="40" t="s">
        <v>1036</v>
      </c>
      <c r="R23" s="40" t="s">
        <v>1037</v>
      </c>
      <c r="S23" s="68"/>
      <c r="T23" s="99" t="s">
        <v>1170</v>
      </c>
      <c r="U23" s="40" t="s">
        <v>1022</v>
      </c>
      <c r="V23" s="40" t="s">
        <v>1023</v>
      </c>
      <c r="W23" s="40" t="s">
        <v>1024</v>
      </c>
      <c r="X23" s="40" t="s">
        <v>1025</v>
      </c>
      <c r="Y23" s="40" t="s">
        <v>1026</v>
      </c>
      <c r="Z23" s="40" t="s">
        <v>1027</v>
      </c>
      <c r="AA23" s="40" t="s">
        <v>1028</v>
      </c>
      <c r="AB23" s="40" t="s">
        <v>1029</v>
      </c>
      <c r="AC23" s="40" t="s">
        <v>1030</v>
      </c>
      <c r="AD23" s="40" t="s">
        <v>1031</v>
      </c>
      <c r="AE23" s="40" t="s">
        <v>1032</v>
      </c>
      <c r="AF23" s="40" t="s">
        <v>1033</v>
      </c>
      <c r="AG23" s="40" t="s">
        <v>1034</v>
      </c>
      <c r="AH23" s="40" t="s">
        <v>1035</v>
      </c>
      <c r="AI23" s="40" t="s">
        <v>1036</v>
      </c>
      <c r="AJ23" s="40" t="s">
        <v>1037</v>
      </c>
    </row>
    <row r="24" spans="2:36" x14ac:dyDescent="0.15">
      <c r="B24" s="100" t="s">
        <v>1166</v>
      </c>
      <c r="C24" s="175" t="str">
        <f>IFERROR(SUMIFS('caseload data'!E:E,'caseload data'!$C:$C,'custody %'!$B$22,'caseload data'!$D:$D,"PO",'caseload data'!$B:$B,"custody")/SUMIFS('caseload data'!E:E,'caseload data'!$B:$B,"custody",'caseload data'!$C:$C,'custody %'!$B$22),"")</f>
        <v/>
      </c>
      <c r="D24" s="175" t="str">
        <f>IFERROR(SUMIFS('caseload data'!F:F,'caseload data'!$C:$C,'custody %'!$B$22,'caseload data'!$D:$D,"PO",'caseload data'!$B:$B,"custody")/SUMIFS('caseload data'!F:F,'caseload data'!$B:$B,"custody",'caseload data'!$C:$C,'custody %'!$B$22),"")</f>
        <v/>
      </c>
      <c r="E24" s="175" t="str">
        <f>IFERROR(SUMIFS('caseload data'!G:G,'caseload data'!$C:$C,'custody %'!$B$22,'caseload data'!$D:$D,"PO",'caseload data'!$B:$B,"custody")/SUMIFS('caseload data'!G:G,'caseload data'!$B:$B,"custody",'caseload data'!$C:$C,'custody %'!$B$22),"")</f>
        <v/>
      </c>
      <c r="F24" s="175" t="str">
        <f>IFERROR(SUMIFS('caseload data'!H:H,'caseload data'!$C:$C,'custody %'!$B$22,'caseload data'!$D:$D,"PO",'caseload data'!$B:$B,"custody")/SUMIFS('caseload data'!H:H,'caseload data'!$B:$B,"custody",'caseload data'!$C:$C,'custody %'!$B$22),"")</f>
        <v/>
      </c>
      <c r="G24" s="175" t="str">
        <f>IFERROR(SUMIFS('caseload data'!I:I,'caseload data'!$C:$C,'custody %'!$B$22,'caseload data'!$D:$D,"PO",'caseload data'!$B:$B,"custody")/SUMIFS('caseload data'!I:I,'caseload data'!$B:$B,"custody",'caseload data'!$C:$C,'custody %'!$B$22),"")</f>
        <v/>
      </c>
      <c r="H24" s="175" t="str">
        <f>IFERROR(SUMIFS('caseload data'!J:J,'caseload data'!$C:$C,'custody %'!$B$22,'caseload data'!$D:$D,"PO",'caseload data'!$B:$B,"custody")/SUMIFS('caseload data'!J:J,'caseload data'!$B:$B,"custody",'caseload data'!$C:$C,'custody %'!$B$22),"")</f>
        <v/>
      </c>
      <c r="I24" s="175" t="str">
        <f>IFERROR(SUMIFS('caseload data'!K:K,'caseload data'!$C:$C,'custody %'!$B$22,'caseload data'!$D:$D,"PO",'caseload data'!$B:$B,"custody")/SUMIFS('caseload data'!K:K,'caseload data'!$B:$B,"custody",'caseload data'!$C:$C,'custody %'!$B$22),"")</f>
        <v/>
      </c>
      <c r="J24" s="175" t="str">
        <f>IFERROR(SUMIFS('caseload data'!L:L,'caseload data'!$C:$C,'custody %'!$B$22,'caseload data'!$D:$D,"PO",'caseload data'!$B:$B,"custody")/SUMIFS('caseload data'!L:L,'caseload data'!$B:$B,"custody",'caseload data'!$C:$C,'custody %'!$B$22),"")</f>
        <v/>
      </c>
      <c r="K24" s="175" t="str">
        <f>IFERROR(SUMIFS('caseload data'!M:M,'caseload data'!$C:$C,'custody %'!$B$22,'caseload data'!$D:$D,"PO",'caseload data'!$B:$B,"custody")/SUMIFS('caseload data'!M:M,'caseload data'!$B:$B,"custody",'caseload data'!$C:$C,'custody %'!$B$22),"")</f>
        <v/>
      </c>
      <c r="L24" s="175" t="str">
        <f>IFERROR(SUMIFS('caseload data'!N:N,'caseload data'!$C:$C,'custody %'!$B$22,'caseload data'!$D:$D,"PO",'caseload data'!$B:$B,"custody")/SUMIFS('caseload data'!N:N,'caseload data'!$B:$B,"custody",'caseload data'!$C:$C,'custody %'!$B$22),"")</f>
        <v/>
      </c>
      <c r="M24" s="175" t="str">
        <f>IFERROR(SUMIFS('caseload data'!O:O,'caseload data'!$C:$C,'custody %'!$B$22,'caseload data'!$D:$D,"PO",'caseload data'!$B:$B,"custody")/SUMIFS('caseload data'!O:O,'caseload data'!$B:$B,"custody",'caseload data'!$C:$C,'custody %'!$B$22),"")</f>
        <v/>
      </c>
      <c r="N24" s="175" t="str">
        <f>IFERROR(SUMIFS('caseload data'!P:P,'caseload data'!$C:$C,'custody %'!$B$22,'caseload data'!$D:$D,"PO",'caseload data'!$B:$B,"custody")/SUMIFS('caseload data'!P:P,'caseload data'!$B:$B,"custody",'caseload data'!$C:$C,'custody %'!$B$22),"")</f>
        <v/>
      </c>
      <c r="O24" s="175" t="str">
        <f>IFERROR(SUMIFS('caseload data'!Q:Q,'caseload data'!$C:$C,'custody %'!$B$22,'caseload data'!$D:$D,"PO",'caseload data'!$B:$B,"custody")/SUMIFS('caseload data'!Q:Q,'caseload data'!$B:$B,"custody",'caseload data'!$C:$C,'custody %'!$B$22),"")</f>
        <v/>
      </c>
      <c r="P24" s="175" t="str">
        <f>IFERROR(SUMIFS('caseload data'!R:R,'caseload data'!$C:$C,'custody %'!$B$22,'caseload data'!$D:$D,"PO",'caseload data'!$B:$B,"custody")/SUMIFS('caseload data'!R:R,'caseload data'!$B:$B,"custody",'caseload data'!$C:$C,'custody %'!$B$22),"")</f>
        <v/>
      </c>
      <c r="Q24" s="175" t="str">
        <f>IFERROR(SUMIFS('caseload data'!S:S,'caseload data'!$C:$C,'custody %'!$B$22,'caseload data'!$D:$D,"PO",'caseload data'!$B:$B,"custody")/SUMIFS('caseload data'!S:S,'caseload data'!$B:$B,"custody",'caseload data'!$C:$C,'custody %'!$B$22),"")</f>
        <v/>
      </c>
      <c r="R24" s="175" t="str">
        <f>IFERROR(SUMIFS('caseload data'!T:T,'caseload data'!$C:$C,'custody %'!$B$22,'caseload data'!$D:$D,"PO",'caseload data'!$B:$B,"custody")/SUMIFS('caseload data'!T:T,'caseload data'!$B:$B,"custody",'caseload data'!$C:$C,'custody %'!$B$22),"")</f>
        <v/>
      </c>
      <c r="S24" s="68"/>
      <c r="T24" s="100" t="s">
        <v>1166</v>
      </c>
      <c r="U24" s="175" t="str">
        <f>IFERROR(SUMIFS('caseload data'!E:E,'caseload data'!$C:$C,'custody %'!$T$22,'caseload data'!$D:$D,"PO",'caseload data'!$B:$B,"custody")/SUMIFS('caseload data'!E:E,'caseload data'!$B:$B,"custody",'caseload data'!$C:$C,'custody %'!$T$22),"")</f>
        <v/>
      </c>
      <c r="V24" s="175" t="str">
        <f>IFERROR(SUMIFS('caseload data'!F:F,'caseload data'!$C:$C,'custody %'!$T$22,'caseload data'!$D:$D,"PO",'caseload data'!$B:$B,"custody")/SUMIFS('caseload data'!F:F,'caseload data'!$B:$B,"custody",'caseload data'!$C:$C,'custody %'!$T$22),"")</f>
        <v/>
      </c>
      <c r="W24" s="175" t="str">
        <f>IFERROR(SUMIFS('caseload data'!G:G,'caseload data'!$C:$C,'custody %'!$T$22,'caseload data'!$D:$D,"PO",'caseload data'!$B:$B,"custody")/SUMIFS('caseload data'!G:G,'caseload data'!$B:$B,"custody",'caseload data'!$C:$C,'custody %'!$T$22),"")</f>
        <v/>
      </c>
      <c r="X24" s="175" t="str">
        <f>IFERROR(SUMIFS('caseload data'!H:H,'caseload data'!$C:$C,'custody %'!$T$22,'caseload data'!$D:$D,"PO",'caseload data'!$B:$B,"custody")/SUMIFS('caseload data'!H:H,'caseload data'!$B:$B,"custody",'caseload data'!$C:$C,'custody %'!$T$22),"")</f>
        <v/>
      </c>
      <c r="Y24" s="175" t="str">
        <f>IFERROR(SUMIFS('caseload data'!I:I,'caseload data'!$C:$C,'custody %'!$T$22,'caseload data'!$D:$D,"PO",'caseload data'!$B:$B,"custody")/SUMIFS('caseload data'!I:I,'caseload data'!$B:$B,"custody",'caseload data'!$C:$C,'custody %'!$T$22),"")</f>
        <v/>
      </c>
      <c r="Z24" s="175" t="str">
        <f>IFERROR(SUMIFS('caseload data'!J:J,'caseload data'!$C:$C,'custody %'!$T$22,'caseload data'!$D:$D,"PO",'caseload data'!$B:$B,"custody")/SUMIFS('caseload data'!J:J,'caseload data'!$B:$B,"custody",'caseload data'!$C:$C,'custody %'!$T$22),"")</f>
        <v/>
      </c>
      <c r="AA24" s="175" t="str">
        <f>IFERROR(SUMIFS('caseload data'!K:K,'caseload data'!$C:$C,'custody %'!$T$22,'caseload data'!$D:$D,"PO",'caseload data'!$B:$B,"custody")/SUMIFS('caseload data'!K:K,'caseload data'!$B:$B,"custody",'caseload data'!$C:$C,'custody %'!$T$22),"")</f>
        <v/>
      </c>
      <c r="AB24" s="175" t="str">
        <f>IFERROR(SUMIFS('caseload data'!L:L,'caseload data'!$C:$C,'custody %'!$T$22,'caseload data'!$D:$D,"PO",'caseload data'!$B:$B,"custody")/SUMIFS('caseload data'!L:L,'caseload data'!$B:$B,"custody",'caseload data'!$C:$C,'custody %'!$T$22),"")</f>
        <v/>
      </c>
      <c r="AC24" s="175" t="str">
        <f>IFERROR(SUMIFS('caseload data'!M:M,'caseload data'!$C:$C,'custody %'!$T$22,'caseload data'!$D:$D,"PO",'caseload data'!$B:$B,"custody")/SUMIFS('caseload data'!M:M,'caseload data'!$B:$B,"custody",'caseload data'!$C:$C,'custody %'!$T$22),"")</f>
        <v/>
      </c>
      <c r="AD24" s="175" t="str">
        <f>IFERROR(SUMIFS('caseload data'!N:N,'caseload data'!$C:$C,'custody %'!$T$22,'caseload data'!$D:$D,"PO",'caseload data'!$B:$B,"custody")/SUMIFS('caseload data'!N:N,'caseload data'!$B:$B,"custody",'caseload data'!$C:$C,'custody %'!$T$22),"")</f>
        <v/>
      </c>
      <c r="AE24" s="175" t="str">
        <f>IFERROR(SUMIFS('caseload data'!O:O,'caseload data'!$C:$C,'custody %'!$T$22,'caseload data'!$D:$D,"PO",'caseload data'!$B:$B,"custody")/SUMIFS('caseload data'!O:O,'caseload data'!$B:$B,"custody",'caseload data'!$C:$C,'custody %'!$T$22),"")</f>
        <v/>
      </c>
      <c r="AF24" s="175" t="str">
        <f>IFERROR(SUMIFS('caseload data'!P:P,'caseload data'!$C:$C,'custody %'!$T$22,'caseload data'!$D:$D,"PO",'caseload data'!$B:$B,"custody")/SUMIFS('caseload data'!P:P,'caseload data'!$B:$B,"custody",'caseload data'!$C:$C,'custody %'!$T$22),"")</f>
        <v/>
      </c>
      <c r="AG24" s="175" t="str">
        <f>IFERROR(SUMIFS('caseload data'!Q:Q,'caseload data'!$C:$C,'custody %'!$T$22,'caseload data'!$D:$D,"PO",'caseload data'!$B:$B,"custody")/SUMIFS('caseload data'!Q:Q,'caseload data'!$B:$B,"custody",'caseload data'!$C:$C,'custody %'!$T$22),"")</f>
        <v/>
      </c>
      <c r="AH24" s="175" t="str">
        <f>IFERROR(SUMIFS('caseload data'!R:R,'caseload data'!$C:$C,'custody %'!$T$22,'caseload data'!$D:$D,"PO",'caseload data'!$B:$B,"custody")/SUMIFS('caseload data'!R:R,'caseload data'!$B:$B,"custody",'caseload data'!$C:$C,'custody %'!$T$22),"")</f>
        <v/>
      </c>
      <c r="AI24" s="175"/>
      <c r="AJ24" s="175"/>
    </row>
    <row r="25" spans="2:36" x14ac:dyDescent="0.15">
      <c r="B25" s="101" t="s">
        <v>1172</v>
      </c>
      <c r="C25" s="175" t="str">
        <f>IFERROR(SUMIFS('caseload data'!E:E,'caseload data'!$C:$C,'custody %'!$B$22,'caseload data'!$D:$D,"PSO",'caseload data'!$B:$B,"custody")/SUMIFS('caseload data'!E:E,'caseload data'!$B:$B,"custody",'caseload data'!$C:$C,'custody %'!$B$22),"")</f>
        <v/>
      </c>
      <c r="D25" s="175" t="str">
        <f>IFERROR(SUMIFS('caseload data'!F:F,'caseload data'!$C:$C,'custody %'!$B$22,'caseload data'!$D:$D,"PSO",'caseload data'!$B:$B,"custody")/SUMIFS('caseload data'!F:F,'caseload data'!$B:$B,"custody",'caseload data'!$C:$C,'custody %'!$B$22),"")</f>
        <v/>
      </c>
      <c r="E25" s="175" t="str">
        <f>IFERROR(SUMIFS('caseload data'!G:G,'caseload data'!$C:$C,'custody %'!$B$22,'caseload data'!$D:$D,"PSO",'caseload data'!$B:$B,"custody")/SUMIFS('caseload data'!G:G,'caseload data'!$B:$B,"custody",'caseload data'!$C:$C,'custody %'!$B$22),"")</f>
        <v/>
      </c>
      <c r="F25" s="175" t="str">
        <f>IFERROR(SUMIFS('caseload data'!H:H,'caseload data'!$C:$C,'custody %'!$B$22,'caseload data'!$D:$D,"PSO",'caseload data'!$B:$B,"custody")/SUMIFS('caseload data'!H:H,'caseload data'!$B:$B,"custody",'caseload data'!$C:$C,'custody %'!$B$22),"")</f>
        <v/>
      </c>
      <c r="G25" s="175" t="str">
        <f>IFERROR(SUMIFS('caseload data'!I:I,'caseload data'!$C:$C,'custody %'!$B$22,'caseload data'!$D:$D,"PSO",'caseload data'!$B:$B,"custody")/SUMIFS('caseload data'!I:I,'caseload data'!$B:$B,"custody",'caseload data'!$C:$C,'custody %'!$B$22),"")</f>
        <v/>
      </c>
      <c r="H25" s="175" t="str">
        <f>IFERROR(SUMIFS('caseload data'!J:J,'caseload data'!$C:$C,'custody %'!$B$22,'caseload data'!$D:$D,"PSO",'caseload data'!$B:$B,"custody")/SUMIFS('caseload data'!J:J,'caseload data'!$B:$B,"custody",'caseload data'!$C:$C,'custody %'!$B$22),"")</f>
        <v/>
      </c>
      <c r="I25" s="175" t="str">
        <f>IFERROR(SUMIFS('caseload data'!K:K,'caseload data'!$C:$C,'custody %'!$B$22,'caseload data'!$D:$D,"PSO",'caseload data'!$B:$B,"custody")/SUMIFS('caseload data'!K:K,'caseload data'!$B:$B,"custody",'caseload data'!$C:$C,'custody %'!$B$22),"")</f>
        <v/>
      </c>
      <c r="J25" s="175" t="str">
        <f>IFERROR(SUMIFS('caseload data'!L:L,'caseload data'!$C:$C,'custody %'!$B$22,'caseload data'!$D:$D,"PSO",'caseload data'!$B:$B,"custody")/SUMIFS('caseload data'!L:L,'caseload data'!$B:$B,"custody",'caseload data'!$C:$C,'custody %'!$B$22),"")</f>
        <v/>
      </c>
      <c r="K25" s="175" t="str">
        <f>IFERROR(SUMIFS('caseload data'!M:M,'caseload data'!$C:$C,'custody %'!$B$22,'caseload data'!$D:$D,"PSO",'caseload data'!$B:$B,"custody")/SUMIFS('caseload data'!M:M,'caseload data'!$B:$B,"custody",'caseload data'!$C:$C,'custody %'!$B$22),"")</f>
        <v/>
      </c>
      <c r="L25" s="175" t="str">
        <f>IFERROR(SUMIFS('caseload data'!N:N,'caseload data'!$C:$C,'custody %'!$B$22,'caseload data'!$D:$D,"PSO",'caseload data'!$B:$B,"custody")/SUMIFS('caseload data'!N:N,'caseload data'!$B:$B,"custody",'caseload data'!$C:$C,'custody %'!$B$22),"")</f>
        <v/>
      </c>
      <c r="M25" s="175" t="str">
        <f>IFERROR(SUMIFS('caseload data'!O:O,'caseload data'!$C:$C,'custody %'!$B$22,'caseload data'!$D:$D,"PSO",'caseload data'!$B:$B,"custody")/SUMIFS('caseload data'!O:O,'caseload data'!$B:$B,"custody",'caseload data'!$C:$C,'custody %'!$B$22),"")</f>
        <v/>
      </c>
      <c r="N25" s="175" t="str">
        <f>IFERROR(SUMIFS('caseload data'!P:P,'caseload data'!$C:$C,'custody %'!$B$22,'caseload data'!$D:$D,"PSO",'caseload data'!$B:$B,"custody")/SUMIFS('caseload data'!P:P,'caseload data'!$B:$B,"custody",'caseload data'!$C:$C,'custody %'!$B$22),"")</f>
        <v/>
      </c>
      <c r="O25" s="175" t="str">
        <f>IFERROR(SUMIFS('caseload data'!Q:Q,'caseload data'!$C:$C,'custody %'!$B$22,'caseload data'!$D:$D,"PSO",'caseload data'!$B:$B,"custody")/SUMIFS('caseload data'!Q:Q,'caseload data'!$B:$B,"custody",'caseload data'!$C:$C,'custody %'!$B$22),"")</f>
        <v/>
      </c>
      <c r="P25" s="175" t="str">
        <f>IFERROR(SUMIFS('caseload data'!R:R,'caseload data'!$C:$C,'custody %'!$B$22,'caseload data'!$D:$D,"PSO",'caseload data'!$B:$B,"custody")/SUMIFS('caseload data'!R:R,'caseload data'!$B:$B,"custody",'caseload data'!$C:$C,'custody %'!$B$22),"")</f>
        <v/>
      </c>
      <c r="Q25" s="175" t="str">
        <f>IFERROR(SUMIFS('caseload data'!S:S,'caseload data'!$C:$C,'custody %'!$B$22,'caseload data'!$D:$D,"PSO",'caseload data'!$B:$B,"custody")/SUMIFS('caseload data'!S:S,'caseload data'!$B:$B,"custody",'caseload data'!$C:$C,'custody %'!$B$22),"")</f>
        <v/>
      </c>
      <c r="R25" s="175" t="str">
        <f>IFERROR(SUMIFS('caseload data'!T:T,'caseload data'!$C:$C,'custody %'!$B$22,'caseload data'!$D:$D,"PSO",'caseload data'!$B:$B,"custody")/SUMIFS('caseload data'!T:T,'caseload data'!$B:$B,"custody",'caseload data'!$C:$C,'custody %'!$B$22),"")</f>
        <v/>
      </c>
      <c r="S25" s="68"/>
      <c r="T25" s="101" t="s">
        <v>1172</v>
      </c>
      <c r="U25" s="175" t="str">
        <f>IFERROR(SUMIFS('caseload data'!E:E,'caseload data'!$C:$C,'custody %'!$T$22,'caseload data'!$D:$D,"PSO",'caseload data'!$B:$B,"custody")/SUMIFS('caseload data'!E:E,'caseload data'!$B:$B,"custody",'caseload data'!$C:$C,'custody %'!$T$22),"")</f>
        <v/>
      </c>
      <c r="V25" s="175" t="str">
        <f>IFERROR(SUMIFS('caseload data'!F:F,'caseload data'!$C:$C,'custody %'!$T$22,'caseload data'!$D:$D,"PSO",'caseload data'!$B:$B,"custody")/SUMIFS('caseload data'!F:F,'caseload data'!$B:$B,"custody",'caseload data'!$C:$C,'custody %'!$T$22),"")</f>
        <v/>
      </c>
      <c r="W25" s="175" t="str">
        <f>IFERROR(SUMIFS('caseload data'!G:G,'caseload data'!$C:$C,'custody %'!$T$22,'caseload data'!$D:$D,"PSO",'caseload data'!$B:$B,"custody")/SUMIFS('caseload data'!G:G,'caseload data'!$B:$B,"custody",'caseload data'!$C:$C,'custody %'!$T$22),"")</f>
        <v/>
      </c>
      <c r="X25" s="175" t="str">
        <f>IFERROR(SUMIFS('caseload data'!H:H,'caseload data'!$C:$C,'custody %'!$T$22,'caseload data'!$D:$D,"PSO",'caseload data'!$B:$B,"custody")/SUMIFS('caseload data'!H:H,'caseload data'!$B:$B,"custody",'caseload data'!$C:$C,'custody %'!$T$22),"")</f>
        <v/>
      </c>
      <c r="Y25" s="175" t="str">
        <f>IFERROR(SUMIFS('caseload data'!I:I,'caseload data'!$C:$C,'custody %'!$T$22,'caseload data'!$D:$D,"PSO",'caseload data'!$B:$B,"custody")/SUMIFS('caseload data'!I:I,'caseload data'!$B:$B,"custody",'caseload data'!$C:$C,'custody %'!$T$22),"")</f>
        <v/>
      </c>
      <c r="Z25" s="175" t="str">
        <f>IFERROR(SUMIFS('caseload data'!J:J,'caseload data'!$C:$C,'custody %'!$T$22,'caseload data'!$D:$D,"PSO",'caseload data'!$B:$B,"custody")/SUMIFS('caseload data'!J:J,'caseload data'!$B:$B,"custody",'caseload data'!$C:$C,'custody %'!$T$22),"")</f>
        <v/>
      </c>
      <c r="AA25" s="175" t="str">
        <f>IFERROR(SUMIFS('caseload data'!K:K,'caseload data'!$C:$C,'custody %'!$T$22,'caseload data'!$D:$D,"PSO",'caseload data'!$B:$B,"custody")/SUMIFS('caseload data'!K:K,'caseload data'!$B:$B,"custody",'caseload data'!$C:$C,'custody %'!$T$22),"")</f>
        <v/>
      </c>
      <c r="AB25" s="175" t="str">
        <f>IFERROR(SUMIFS('caseload data'!L:L,'caseload data'!$C:$C,'custody %'!$T$22,'caseload data'!$D:$D,"PSO",'caseload data'!$B:$B,"custody")/SUMIFS('caseload data'!L:L,'caseload data'!$B:$B,"custody",'caseload data'!$C:$C,'custody %'!$T$22),"")</f>
        <v/>
      </c>
      <c r="AC25" s="175" t="str">
        <f>IFERROR(SUMIFS('caseload data'!M:M,'caseload data'!$C:$C,'custody %'!$T$22,'caseload data'!$D:$D,"PSO",'caseload data'!$B:$B,"custody")/SUMIFS('caseload data'!M:M,'caseload data'!$B:$B,"custody",'caseload data'!$C:$C,'custody %'!$T$22),"")</f>
        <v/>
      </c>
      <c r="AD25" s="175" t="str">
        <f>IFERROR(SUMIFS('caseload data'!N:N,'caseload data'!$C:$C,'custody %'!$T$22,'caseload data'!$D:$D,"PSO",'caseload data'!$B:$B,"custody")/SUMIFS('caseload data'!N:N,'caseload data'!$B:$B,"custody",'caseload data'!$C:$C,'custody %'!$T$22),"")</f>
        <v/>
      </c>
      <c r="AE25" s="175" t="str">
        <f>IFERROR(SUMIFS('caseload data'!O:O,'caseload data'!$C:$C,'custody %'!$T$22,'caseload data'!$D:$D,"PSO",'caseload data'!$B:$B,"custody")/SUMIFS('caseload data'!O:O,'caseload data'!$B:$B,"custody",'caseload data'!$C:$C,'custody %'!$T$22),"")</f>
        <v/>
      </c>
      <c r="AF25" s="175" t="str">
        <f>IFERROR(SUMIFS('caseload data'!P:P,'caseload data'!$C:$C,'custody %'!$T$22,'caseload data'!$D:$D,"PSO",'caseload data'!$B:$B,"custody")/SUMIFS('caseload data'!P:P,'caseload data'!$B:$B,"custody",'caseload data'!$C:$C,'custody %'!$T$22),"")</f>
        <v/>
      </c>
      <c r="AG25" s="175" t="str">
        <f>IFERROR(SUMIFS('caseload data'!Q:Q,'caseload data'!$C:$C,'custody %'!$T$22,'caseload data'!$D:$D,"PSO",'caseload data'!$B:$B,"custody")/SUMIFS('caseload data'!Q:Q,'caseload data'!$B:$B,"custody",'caseload data'!$C:$C,'custody %'!$T$22),"")</f>
        <v/>
      </c>
      <c r="AH25" s="175" t="str">
        <f>IFERROR(SUMIFS('caseload data'!R:R,'caseload data'!$C:$C,'custody %'!$T$22,'caseload data'!$D:$D,"PSO",'caseload data'!$B:$B,"custody")/SUMIFS('caseload data'!R:R,'caseload data'!$B:$B,"custody",'caseload data'!$C:$C,'custody %'!$T$22),"")</f>
        <v/>
      </c>
      <c r="AI25" s="175"/>
      <c r="AJ25" s="175"/>
    </row>
    <row r="26" spans="2:36" x14ac:dyDescent="0.15">
      <c r="B26" s="101" t="s">
        <v>1173</v>
      </c>
      <c r="C26" s="175" t="str">
        <f>IFERROR(SUMIFS('caseload data'!E:E,'caseload data'!$C:$C,'custody %'!$B$22,'caseload data'!$D:$D,"TPO",'caseload data'!$B:$B,"custody")/SUMIFS('caseload data'!E:E,'caseload data'!$B:$B,"custody",'caseload data'!$C:$C,'custody %'!$B$22),"")</f>
        <v/>
      </c>
      <c r="D26" s="175" t="str">
        <f>IFERROR(SUMIFS('caseload data'!F:F,'caseload data'!$C:$C,'custody %'!$B$22,'caseload data'!$D:$D,"TPO",'caseload data'!$B:$B,"custody")/SUMIFS('caseload data'!F:F,'caseload data'!$B:$B,"custody",'caseload data'!$C:$C,'custody %'!$B$22),"")</f>
        <v/>
      </c>
      <c r="E26" s="175" t="str">
        <f>IFERROR(SUMIFS('caseload data'!G:G,'caseload data'!$C:$C,'custody %'!$B$22,'caseload data'!$D:$D,"TPO",'caseload data'!$B:$B,"custody")/SUMIFS('caseload data'!G:G,'caseload data'!$B:$B,"custody",'caseload data'!$C:$C,'custody %'!$B$22),"")</f>
        <v/>
      </c>
      <c r="F26" s="175" t="str">
        <f>IFERROR(SUMIFS('caseload data'!H:H,'caseload data'!$C:$C,'custody %'!$B$22,'caseload data'!$D:$D,"TPO",'caseload data'!$B:$B,"custody")/SUMIFS('caseload data'!H:H,'caseload data'!$B:$B,"custody",'caseload data'!$C:$C,'custody %'!$B$22),"")</f>
        <v/>
      </c>
      <c r="G26" s="175" t="str">
        <f>IFERROR(SUMIFS('caseload data'!I:I,'caseload data'!$C:$C,'custody %'!$B$22,'caseload data'!$D:$D,"TPO",'caseload data'!$B:$B,"custody")/SUMIFS('caseload data'!I:I,'caseload data'!$B:$B,"custody",'caseload data'!$C:$C,'custody %'!$B$22),"")</f>
        <v/>
      </c>
      <c r="H26" s="175" t="str">
        <f>IFERROR(SUMIFS('caseload data'!J:J,'caseload data'!$C:$C,'custody %'!$B$22,'caseload data'!$D:$D,"TPO",'caseload data'!$B:$B,"custody")/SUMIFS('caseload data'!J:J,'caseload data'!$B:$B,"custody",'caseload data'!$C:$C,'custody %'!$B$22),"")</f>
        <v/>
      </c>
      <c r="I26" s="175" t="str">
        <f>IFERROR(SUMIFS('caseload data'!K:K,'caseload data'!$C:$C,'custody %'!$B$22,'caseload data'!$D:$D,"TPO",'caseload data'!$B:$B,"custody")/SUMIFS('caseload data'!K:K,'caseload data'!$B:$B,"custody",'caseload data'!$C:$C,'custody %'!$B$22),"")</f>
        <v/>
      </c>
      <c r="J26" s="175" t="str">
        <f>IFERROR(SUMIFS('caseload data'!L:L,'caseload data'!$C:$C,'custody %'!$B$22,'caseload data'!$D:$D,"TPO",'caseload data'!$B:$B,"custody")/SUMIFS('caseload data'!L:L,'caseload data'!$B:$B,"custody",'caseload data'!$C:$C,'custody %'!$B$22),"")</f>
        <v/>
      </c>
      <c r="K26" s="175" t="str">
        <f>IFERROR(SUMIFS('caseload data'!M:M,'caseload data'!$C:$C,'custody %'!$B$22,'caseload data'!$D:$D,"TPO",'caseload data'!$B:$B,"custody")/SUMIFS('caseload data'!M:M,'caseload data'!$B:$B,"custody",'caseload data'!$C:$C,'custody %'!$B$22),"")</f>
        <v/>
      </c>
      <c r="L26" s="175" t="str">
        <f>IFERROR(SUMIFS('caseload data'!N:N,'caseload data'!$C:$C,'custody %'!$B$22,'caseload data'!$D:$D,"TPO",'caseload data'!$B:$B,"custody")/SUMIFS('caseload data'!N:N,'caseload data'!$B:$B,"custody",'caseload data'!$C:$C,'custody %'!$B$22),"")</f>
        <v/>
      </c>
      <c r="M26" s="175" t="str">
        <f>IFERROR(SUMIFS('caseload data'!O:O,'caseload data'!$C:$C,'custody %'!$B$22,'caseload data'!$D:$D,"TPO",'caseload data'!$B:$B,"custody")/SUMIFS('caseload data'!O:O,'caseload data'!$B:$B,"custody",'caseload data'!$C:$C,'custody %'!$B$22),"")</f>
        <v/>
      </c>
      <c r="N26" s="175" t="str">
        <f>IFERROR(SUMIFS('caseload data'!P:P,'caseload data'!$C:$C,'custody %'!$B$22,'caseload data'!$D:$D,"TPO",'caseload data'!$B:$B,"custody")/SUMIFS('caseload data'!P:P,'caseload data'!$B:$B,"custody",'caseload data'!$C:$C,'custody %'!$B$22),"")</f>
        <v/>
      </c>
      <c r="O26" s="175" t="str">
        <f>IFERROR(SUMIFS('caseload data'!Q:Q,'caseload data'!$C:$C,'custody %'!$B$22,'caseload data'!$D:$D,"TPO",'caseload data'!$B:$B,"custody")/SUMIFS('caseload data'!Q:Q,'caseload data'!$B:$B,"custody",'caseload data'!$C:$C,'custody %'!$B$22),"")</f>
        <v/>
      </c>
      <c r="P26" s="175" t="str">
        <f>IFERROR(SUMIFS('caseload data'!R:R,'caseload data'!$C:$C,'custody %'!$B$22,'caseload data'!$D:$D,"TPO",'caseload data'!$B:$B,"custody")/SUMIFS('caseload data'!R:R,'caseload data'!$B:$B,"custody",'caseload data'!$C:$C,'custody %'!$B$22),"")</f>
        <v/>
      </c>
      <c r="Q26" s="175" t="str">
        <f>IFERROR(SUMIFS('caseload data'!S:S,'caseload data'!$C:$C,'custody %'!$B$22,'caseload data'!$D:$D,"TPO",'caseload data'!$B:$B,"custody")/SUMIFS('caseload data'!S:S,'caseload data'!$B:$B,"custody",'caseload data'!$C:$C,'custody %'!$B$22),"")</f>
        <v/>
      </c>
      <c r="R26" s="175" t="str">
        <f>IFERROR(SUMIFS('caseload data'!T:T,'caseload data'!$C:$C,'custody %'!$B$22,'caseload data'!$D:$D,"TPO",'caseload data'!$B:$B,"custody")/SUMIFS('caseload data'!T:T,'caseload data'!$B:$B,"custody",'caseload data'!$C:$C,'custody %'!$B$22),"")</f>
        <v/>
      </c>
      <c r="S26" s="68"/>
      <c r="T26" s="101" t="s">
        <v>1173</v>
      </c>
      <c r="U26" s="175" t="str">
        <f>IFERROR(SUMIFS('caseload data'!E:E,'caseload data'!$C:$C,'custody %'!$T$22,'caseload data'!$D:$D,"TPO",'caseload data'!$B:$B,"custody")/SUMIFS('caseload data'!E:E,'caseload data'!$B:$B,"custody",'caseload data'!$C:$C,'custody %'!$T$22),"")</f>
        <v/>
      </c>
      <c r="V26" s="175" t="str">
        <f>IFERROR(SUMIFS('caseload data'!F:F,'caseload data'!$C:$C,'custody %'!$T$22,'caseload data'!$D:$D,"TPO",'caseload data'!$B:$B,"custody")/SUMIFS('caseload data'!F:F,'caseload data'!$B:$B,"custody",'caseload data'!$C:$C,'custody %'!$T$22),"")</f>
        <v/>
      </c>
      <c r="W26" s="175" t="str">
        <f>IFERROR(SUMIFS('caseload data'!G:G,'caseload data'!$C:$C,'custody %'!$T$22,'caseload data'!$D:$D,"TPO",'caseload data'!$B:$B,"custody")/SUMIFS('caseload data'!G:G,'caseload data'!$B:$B,"custody",'caseload data'!$C:$C,'custody %'!$T$22),"")</f>
        <v/>
      </c>
      <c r="X26" s="175" t="str">
        <f>IFERROR(SUMIFS('caseload data'!H:H,'caseload data'!$C:$C,'custody %'!$T$22,'caseload data'!$D:$D,"TPO",'caseload data'!$B:$B,"custody")/SUMIFS('caseload data'!H:H,'caseload data'!$B:$B,"custody",'caseload data'!$C:$C,'custody %'!$T$22),"")</f>
        <v/>
      </c>
      <c r="Y26" s="175" t="str">
        <f>IFERROR(SUMIFS('caseload data'!I:I,'caseload data'!$C:$C,'custody %'!$T$22,'caseload data'!$D:$D,"TPO",'caseload data'!$B:$B,"custody")/SUMIFS('caseload data'!I:I,'caseload data'!$B:$B,"custody",'caseload data'!$C:$C,'custody %'!$T$22),"")</f>
        <v/>
      </c>
      <c r="Z26" s="175" t="str">
        <f>IFERROR(SUMIFS('caseload data'!J:J,'caseload data'!$C:$C,'custody %'!$T$22,'caseload data'!$D:$D,"TPO",'caseload data'!$B:$B,"custody")/SUMIFS('caseload data'!J:J,'caseload data'!$B:$B,"custody",'caseload data'!$C:$C,'custody %'!$T$22),"")</f>
        <v/>
      </c>
      <c r="AA26" s="175" t="str">
        <f>IFERROR(SUMIFS('caseload data'!K:K,'caseload data'!$C:$C,'custody %'!$T$22,'caseload data'!$D:$D,"TPO",'caseload data'!$B:$B,"custody")/SUMIFS('caseload data'!K:K,'caseload data'!$B:$B,"custody",'caseload data'!$C:$C,'custody %'!$T$22),"")</f>
        <v/>
      </c>
      <c r="AB26" s="175" t="str">
        <f>IFERROR(SUMIFS('caseload data'!L:L,'caseload data'!$C:$C,'custody %'!$T$22,'caseload data'!$D:$D,"TPO",'caseload data'!$B:$B,"custody")/SUMIFS('caseload data'!L:L,'caseload data'!$B:$B,"custody",'caseload data'!$C:$C,'custody %'!$T$22),"")</f>
        <v/>
      </c>
      <c r="AC26" s="175" t="str">
        <f>IFERROR(SUMIFS('caseload data'!M:M,'caseload data'!$C:$C,'custody %'!$T$22,'caseload data'!$D:$D,"TPO",'caseload data'!$B:$B,"custody")/SUMIFS('caseload data'!M:M,'caseload data'!$B:$B,"custody",'caseload data'!$C:$C,'custody %'!$T$22),"")</f>
        <v/>
      </c>
      <c r="AD26" s="175" t="str">
        <f>IFERROR(SUMIFS('caseload data'!N:N,'caseload data'!$C:$C,'custody %'!$T$22,'caseload data'!$D:$D,"TPO",'caseload data'!$B:$B,"custody")/SUMIFS('caseload data'!N:N,'caseload data'!$B:$B,"custody",'caseload data'!$C:$C,'custody %'!$T$22),"")</f>
        <v/>
      </c>
      <c r="AE26" s="175" t="str">
        <f>IFERROR(SUMIFS('caseload data'!O:O,'caseload data'!$C:$C,'custody %'!$T$22,'caseload data'!$D:$D,"TPO",'caseload data'!$B:$B,"custody")/SUMIFS('caseload data'!O:O,'caseload data'!$B:$B,"custody",'caseload data'!$C:$C,'custody %'!$T$22),"")</f>
        <v/>
      </c>
      <c r="AF26" s="175" t="str">
        <f>IFERROR(SUMIFS('caseload data'!P:P,'caseload data'!$C:$C,'custody %'!$T$22,'caseload data'!$D:$D,"TPO",'caseload data'!$B:$B,"custody")/SUMIFS('caseload data'!P:P,'caseload data'!$B:$B,"custody",'caseload data'!$C:$C,'custody %'!$T$22),"")</f>
        <v/>
      </c>
      <c r="AG26" s="175" t="str">
        <f>IFERROR(SUMIFS('caseload data'!Q:Q,'caseload data'!$C:$C,'custody %'!$T$22,'caseload data'!$D:$D,"TPO",'caseload data'!$B:$B,"custody")/SUMIFS('caseload data'!Q:Q,'caseload data'!$B:$B,"custody",'caseload data'!$C:$C,'custody %'!$T$22),"")</f>
        <v/>
      </c>
      <c r="AH26" s="175" t="str">
        <f>IFERROR(SUMIFS('caseload data'!R:R,'caseload data'!$C:$C,'custody %'!$T$22,'caseload data'!$D:$D,"TPO",'caseload data'!$B:$B,"custody")/SUMIFS('caseload data'!R:R,'caseload data'!$B:$B,"custody",'caseload data'!$C:$C,'custody %'!$T$22),"")</f>
        <v/>
      </c>
      <c r="AI26" s="175"/>
      <c r="AJ26" s="175"/>
    </row>
    <row r="27" spans="2:36" x14ac:dyDescent="0.15">
      <c r="B27" s="102" t="s">
        <v>1174</v>
      </c>
      <c r="C27" s="175" t="str">
        <f>IFERROR(SUMIFS('caseload data'!E:E,'caseload data'!$C:$C,'custody %'!$B$22,'caseload data'!$D:$D,"SPO",'caseload data'!$B:$B,"custody")/SUMIFS('caseload data'!E:E,'caseload data'!$B:$B,"custody",'caseload data'!$C:$C,'custody %'!$B$22),"")</f>
        <v/>
      </c>
      <c r="D27" s="175" t="str">
        <f>IFERROR(SUMIFS('caseload data'!F:F,'caseload data'!$C:$C,'custody %'!$B$22,'caseload data'!$D:$D,"SPO",'caseload data'!$B:$B,"custody")/SUMIFS('caseload data'!F:F,'caseload data'!$B:$B,"custody",'caseload data'!$C:$C,'custody %'!$B$22),"")</f>
        <v/>
      </c>
      <c r="E27" s="175" t="str">
        <f>IFERROR(SUMIFS('caseload data'!G:G,'caseload data'!$C:$C,'custody %'!$B$22,'caseload data'!$D:$D,"SPO",'caseload data'!$B:$B,"custody")/SUMIFS('caseload data'!G:G,'caseload data'!$B:$B,"custody",'caseload data'!$C:$C,'custody %'!$B$22),"")</f>
        <v/>
      </c>
      <c r="F27" s="175" t="str">
        <f>IFERROR(SUMIFS('caseload data'!H:H,'caseload data'!$C:$C,'custody %'!$B$22,'caseload data'!$D:$D,"SPO",'caseload data'!$B:$B,"custody")/SUMIFS('caseload data'!H:H,'caseload data'!$B:$B,"custody",'caseload data'!$C:$C,'custody %'!$B$22),"")</f>
        <v/>
      </c>
      <c r="G27" s="175" t="str">
        <f>IFERROR(SUMIFS('caseload data'!I:I,'caseload data'!$C:$C,'custody %'!$B$22,'caseload data'!$D:$D,"SPO",'caseload data'!$B:$B,"custody")/SUMIFS('caseload data'!I:I,'caseload data'!$B:$B,"custody",'caseload data'!$C:$C,'custody %'!$B$22),"")</f>
        <v/>
      </c>
      <c r="H27" s="175" t="str">
        <f>IFERROR(SUMIFS('caseload data'!J:J,'caseload data'!$C:$C,'custody %'!$B$22,'caseload data'!$D:$D,"SPO",'caseload data'!$B:$B,"custody")/SUMIFS('caseload data'!J:J,'caseload data'!$B:$B,"custody",'caseload data'!$C:$C,'custody %'!$B$22),"")</f>
        <v/>
      </c>
      <c r="I27" s="175" t="str">
        <f>IFERROR(SUMIFS('caseload data'!K:K,'caseload data'!$C:$C,'custody %'!$B$22,'caseload data'!$D:$D,"SPO",'caseload data'!$B:$B,"custody")/SUMIFS('caseload data'!K:K,'caseload data'!$B:$B,"custody",'caseload data'!$C:$C,'custody %'!$B$22),"")</f>
        <v/>
      </c>
      <c r="J27" s="175" t="str">
        <f>IFERROR(SUMIFS('caseload data'!L:L,'caseload data'!$C:$C,'custody %'!$B$22,'caseload data'!$D:$D,"SPO",'caseload data'!$B:$B,"custody")/SUMIFS('caseload data'!L:L,'caseload data'!$B:$B,"custody",'caseload data'!$C:$C,'custody %'!$B$22),"")</f>
        <v/>
      </c>
      <c r="K27" s="175" t="str">
        <f>IFERROR(SUMIFS('caseload data'!M:M,'caseload data'!$C:$C,'custody %'!$B$22,'caseload data'!$D:$D,"SPO",'caseload data'!$B:$B,"custody")/SUMIFS('caseload data'!M:M,'caseload data'!$B:$B,"custody",'caseload data'!$C:$C,'custody %'!$B$22),"")</f>
        <v/>
      </c>
      <c r="L27" s="175" t="str">
        <f>IFERROR(SUMIFS('caseload data'!N:N,'caseload data'!$C:$C,'custody %'!$B$22,'caseload data'!$D:$D,"SPO",'caseload data'!$B:$B,"custody")/SUMIFS('caseload data'!N:N,'caseload data'!$B:$B,"custody",'caseload data'!$C:$C,'custody %'!$B$22),"")</f>
        <v/>
      </c>
      <c r="M27" s="175" t="str">
        <f>IFERROR(SUMIFS('caseload data'!O:O,'caseload data'!$C:$C,'custody %'!$B$22,'caseload data'!$D:$D,"SPO",'caseload data'!$B:$B,"custody")/SUMIFS('caseload data'!O:O,'caseload data'!$B:$B,"custody",'caseload data'!$C:$C,'custody %'!$B$22),"")</f>
        <v/>
      </c>
      <c r="N27" s="175" t="str">
        <f>IFERROR(SUMIFS('caseload data'!P:P,'caseload data'!$C:$C,'custody %'!$B$22,'caseload data'!$D:$D,"SPO",'caseload data'!$B:$B,"custody")/SUMIFS('caseload data'!P:P,'caseload data'!$B:$B,"custody",'caseload data'!$C:$C,'custody %'!$B$22),"")</f>
        <v/>
      </c>
      <c r="O27" s="175" t="str">
        <f>IFERROR(SUMIFS('caseload data'!Q:Q,'caseload data'!$C:$C,'custody %'!$B$22,'caseload data'!$D:$D,"SPO",'caseload data'!$B:$B,"custody")/SUMIFS('caseload data'!Q:Q,'caseload data'!$B:$B,"custody",'caseload data'!$C:$C,'custody %'!$B$22),"")</f>
        <v/>
      </c>
      <c r="P27" s="175" t="str">
        <f>IFERROR(SUMIFS('caseload data'!R:R,'caseload data'!$C:$C,'custody %'!$B$22,'caseload data'!$D:$D,"SPO",'caseload data'!$B:$B,"custody")/SUMIFS('caseload data'!R:R,'caseload data'!$B:$B,"custody",'caseload data'!$C:$C,'custody %'!$B$22),"")</f>
        <v/>
      </c>
      <c r="Q27" s="175" t="str">
        <f>IFERROR(SUMIFS('caseload data'!S:S,'caseload data'!$C:$C,'custody %'!$B$22,'caseload data'!$D:$D,"SPO",'caseload data'!$B:$B,"custody")/SUMIFS('caseload data'!S:S,'caseload data'!$B:$B,"custody",'caseload data'!$C:$C,'custody %'!$B$22),"")</f>
        <v/>
      </c>
      <c r="R27" s="175" t="str">
        <f>IFERROR(SUMIFS('caseload data'!T:T,'caseload data'!$C:$C,'custody %'!$B$22,'caseload data'!$D:$D,"SPO",'caseload data'!$B:$B,"custody")/SUMIFS('caseload data'!T:T,'caseload data'!$B:$B,"custody",'caseload data'!$C:$C,'custody %'!$B$22),"")</f>
        <v/>
      </c>
      <c r="S27" s="68"/>
      <c r="T27" s="102" t="s">
        <v>1174</v>
      </c>
      <c r="U27" s="175" t="str">
        <f>IFERROR(SUMIFS('caseload data'!E:E,'caseload data'!$C:$C,'custody %'!$T$22,'caseload data'!$D:$D,"SPO",'caseload data'!$B:$B,"custody")/SUMIFS('caseload data'!E:E,'caseload data'!$B:$B,"custody",'caseload data'!$C:$C,'custody %'!$T$22),"")</f>
        <v/>
      </c>
      <c r="V27" s="175" t="str">
        <f>IFERROR(SUMIFS('caseload data'!F:F,'caseload data'!$C:$C,'custody %'!$T$22,'caseload data'!$D:$D,"SPO",'caseload data'!$B:$B,"custody")/SUMIFS('caseload data'!F:F,'caseload data'!$B:$B,"custody",'caseload data'!$C:$C,'custody %'!$T$22),"")</f>
        <v/>
      </c>
      <c r="W27" s="175" t="str">
        <f>IFERROR(SUMIFS('caseload data'!G:G,'caseload data'!$C:$C,'custody %'!$T$22,'caseload data'!$D:$D,"SPO",'caseload data'!$B:$B,"custody")/SUMIFS('caseload data'!G:G,'caseload data'!$B:$B,"custody",'caseload data'!$C:$C,'custody %'!$T$22),"")</f>
        <v/>
      </c>
      <c r="X27" s="175" t="str">
        <f>IFERROR(SUMIFS('caseload data'!H:H,'caseload data'!$C:$C,'custody %'!$T$22,'caseload data'!$D:$D,"SPO",'caseload data'!$B:$B,"custody")/SUMIFS('caseload data'!H:H,'caseload data'!$B:$B,"custody",'caseload data'!$C:$C,'custody %'!$T$22),"")</f>
        <v/>
      </c>
      <c r="Y27" s="175" t="str">
        <f>IFERROR(SUMIFS('caseload data'!I:I,'caseload data'!$C:$C,'custody %'!$T$22,'caseload data'!$D:$D,"SPO",'caseload data'!$B:$B,"custody")/SUMIFS('caseload data'!I:I,'caseload data'!$B:$B,"custody",'caseload data'!$C:$C,'custody %'!$T$22),"")</f>
        <v/>
      </c>
      <c r="Z27" s="175" t="str">
        <f>IFERROR(SUMIFS('caseload data'!J:J,'caseload data'!$C:$C,'custody %'!$T$22,'caseload data'!$D:$D,"SPO",'caseload data'!$B:$B,"custody")/SUMIFS('caseload data'!J:J,'caseload data'!$B:$B,"custody",'caseload data'!$C:$C,'custody %'!$T$22),"")</f>
        <v/>
      </c>
      <c r="AA27" s="175" t="str">
        <f>IFERROR(SUMIFS('caseload data'!K:K,'caseload data'!$C:$C,'custody %'!$T$22,'caseload data'!$D:$D,"SPO",'caseload data'!$B:$B,"custody")/SUMIFS('caseload data'!K:K,'caseload data'!$B:$B,"custody",'caseload data'!$C:$C,'custody %'!$T$22),"")</f>
        <v/>
      </c>
      <c r="AB27" s="175" t="str">
        <f>IFERROR(SUMIFS('caseload data'!L:L,'caseload data'!$C:$C,'custody %'!$T$22,'caseload data'!$D:$D,"SPO",'caseload data'!$B:$B,"custody")/SUMIFS('caseload data'!L:L,'caseload data'!$B:$B,"custody",'caseload data'!$C:$C,'custody %'!$T$22),"")</f>
        <v/>
      </c>
      <c r="AC27" s="175" t="str">
        <f>IFERROR(SUMIFS('caseload data'!M:M,'caseload data'!$C:$C,'custody %'!$T$22,'caseload data'!$D:$D,"SPO",'caseload data'!$B:$B,"custody")/SUMIFS('caseload data'!M:M,'caseload data'!$B:$B,"custody",'caseload data'!$C:$C,'custody %'!$T$22),"")</f>
        <v/>
      </c>
      <c r="AD27" s="175" t="str">
        <f>IFERROR(SUMIFS('caseload data'!N:N,'caseload data'!$C:$C,'custody %'!$T$22,'caseload data'!$D:$D,"SPO",'caseload data'!$B:$B,"custody")/SUMIFS('caseload data'!N:N,'caseload data'!$B:$B,"custody",'caseload data'!$C:$C,'custody %'!$T$22),"")</f>
        <v/>
      </c>
      <c r="AE27" s="175" t="str">
        <f>IFERROR(SUMIFS('caseload data'!O:O,'caseload data'!$C:$C,'custody %'!$T$22,'caseload data'!$D:$D,"SPO",'caseload data'!$B:$B,"custody")/SUMIFS('caseload data'!O:O,'caseload data'!$B:$B,"custody",'caseload data'!$C:$C,'custody %'!$T$22),"")</f>
        <v/>
      </c>
      <c r="AF27" s="175" t="str">
        <f>IFERROR(SUMIFS('caseload data'!P:P,'caseload data'!$C:$C,'custody %'!$T$22,'caseload data'!$D:$D,"SPO",'caseload data'!$B:$B,"custody")/SUMIFS('caseload data'!P:P,'caseload data'!$B:$B,"custody",'caseload data'!$C:$C,'custody %'!$T$22),"")</f>
        <v/>
      </c>
      <c r="AG27" s="175" t="str">
        <f>IFERROR(SUMIFS('caseload data'!Q:Q,'caseload data'!$C:$C,'custody %'!$T$22,'caseload data'!$D:$D,"SPO",'caseload data'!$B:$B,"custody")/SUMIFS('caseload data'!Q:Q,'caseload data'!$B:$B,"custody",'caseload data'!$C:$C,'custody %'!$T$22),"")</f>
        <v/>
      </c>
      <c r="AH27" s="175" t="str">
        <f>IFERROR(SUMIFS('caseload data'!R:R,'caseload data'!$C:$C,'custody %'!$T$22,'caseload data'!$D:$D,"SPO",'caseload data'!$B:$B,"custody")/SUMIFS('caseload data'!R:R,'caseload data'!$B:$B,"custody",'caseload data'!$C:$C,'custody %'!$T$22),"")</f>
        <v/>
      </c>
      <c r="AI27" s="175"/>
      <c r="AJ27" s="175"/>
    </row>
    <row r="28" spans="2:36" x14ac:dyDescent="0.15">
      <c r="B28" s="95"/>
      <c r="C28" s="68"/>
      <c r="D28" s="68"/>
      <c r="E28" s="68"/>
      <c r="F28" s="68"/>
      <c r="G28" s="68"/>
      <c r="H28" s="68"/>
      <c r="I28" s="68"/>
      <c r="J28" s="68"/>
      <c r="K28" s="68"/>
      <c r="L28" s="68"/>
      <c r="M28" s="68"/>
      <c r="N28" s="68"/>
      <c r="O28" s="68"/>
      <c r="P28" s="68"/>
      <c r="Q28" s="68"/>
      <c r="R28" s="68"/>
      <c r="S28" s="68"/>
      <c r="T28" s="95"/>
      <c r="U28" s="68"/>
      <c r="V28" s="68"/>
      <c r="W28" s="68"/>
      <c r="X28" s="68"/>
      <c r="Y28" s="68"/>
      <c r="Z28" s="68"/>
      <c r="AA28" s="68"/>
      <c r="AB28" s="68"/>
      <c r="AC28" s="68"/>
      <c r="AD28" s="68"/>
      <c r="AE28" s="68"/>
      <c r="AF28" s="68"/>
      <c r="AG28" s="68"/>
      <c r="AH28" s="68"/>
    </row>
    <row r="29" spans="2:36" ht="29.25" customHeight="1" x14ac:dyDescent="0.15">
      <c r="B29" s="302" t="str">
        <f>HLOOKUP($B$5,Region_Table,8,0)</f>
        <v>Ealing and Hillingdon</v>
      </c>
      <c r="C29" s="467" t="s">
        <v>1305</v>
      </c>
      <c r="D29" s="468"/>
      <c r="E29" s="468"/>
      <c r="F29" s="468"/>
      <c r="G29" s="468"/>
      <c r="H29" s="468"/>
      <c r="I29" s="468"/>
      <c r="J29" s="468"/>
      <c r="K29" s="468"/>
      <c r="L29" s="468"/>
      <c r="M29" s="487"/>
      <c r="N29" s="487"/>
      <c r="O29" s="488"/>
      <c r="P29" s="462">
        <f>SUMIF('caseload data'!$C:$C,'custody %'!B29,'caseload data'!V:V)</f>
        <v>0</v>
      </c>
      <c r="Q29" s="479"/>
      <c r="R29" s="480"/>
      <c r="S29" s="68"/>
      <c r="T29" s="302" t="str">
        <f>HLOOKUP($B$5,Region_Table,9,0)</f>
        <v>Enfield and Haringey</v>
      </c>
      <c r="U29" s="467" t="s">
        <v>1305</v>
      </c>
      <c r="V29" s="468"/>
      <c r="W29" s="468"/>
      <c r="X29" s="468"/>
      <c r="Y29" s="468"/>
      <c r="Z29" s="468"/>
      <c r="AA29" s="468"/>
      <c r="AB29" s="468"/>
      <c r="AC29" s="487"/>
      <c r="AD29" s="487"/>
      <c r="AE29" s="488"/>
      <c r="AF29" s="462">
        <f>SUMIF('caseload data'!$C:$C,'custody %'!T29,'caseload data'!V:V)</f>
        <v>0</v>
      </c>
      <c r="AG29" s="479"/>
      <c r="AH29" s="480"/>
    </row>
    <row r="30" spans="2:36" x14ac:dyDescent="0.15">
      <c r="B30" s="99" t="s">
        <v>1170</v>
      </c>
      <c r="C30" s="40" t="s">
        <v>1022</v>
      </c>
      <c r="D30" s="40" t="s">
        <v>1023</v>
      </c>
      <c r="E30" s="40" t="s">
        <v>1024</v>
      </c>
      <c r="F30" s="40" t="s">
        <v>1025</v>
      </c>
      <c r="G30" s="40" t="s">
        <v>1026</v>
      </c>
      <c r="H30" s="40" t="s">
        <v>1027</v>
      </c>
      <c r="I30" s="40" t="s">
        <v>1028</v>
      </c>
      <c r="J30" s="40" t="s">
        <v>1029</v>
      </c>
      <c r="K30" s="40" t="s">
        <v>1030</v>
      </c>
      <c r="L30" s="40" t="s">
        <v>1031</v>
      </c>
      <c r="M30" s="40" t="s">
        <v>1032</v>
      </c>
      <c r="N30" s="40" t="s">
        <v>1033</v>
      </c>
      <c r="O30" s="40" t="s">
        <v>1034</v>
      </c>
      <c r="P30" s="40" t="s">
        <v>1035</v>
      </c>
      <c r="Q30" s="40" t="s">
        <v>1036</v>
      </c>
      <c r="R30" s="40" t="s">
        <v>1037</v>
      </c>
      <c r="S30" s="68"/>
      <c r="T30" s="99" t="s">
        <v>1170</v>
      </c>
      <c r="U30" s="40" t="s">
        <v>1022</v>
      </c>
      <c r="V30" s="40" t="s">
        <v>1023</v>
      </c>
      <c r="W30" s="40" t="s">
        <v>1024</v>
      </c>
      <c r="X30" s="40" t="s">
        <v>1025</v>
      </c>
      <c r="Y30" s="40" t="s">
        <v>1026</v>
      </c>
      <c r="Z30" s="40" t="s">
        <v>1027</v>
      </c>
      <c r="AA30" s="40" t="s">
        <v>1028</v>
      </c>
      <c r="AB30" s="40" t="s">
        <v>1029</v>
      </c>
      <c r="AC30" s="40" t="s">
        <v>1030</v>
      </c>
      <c r="AD30" s="40" t="s">
        <v>1031</v>
      </c>
      <c r="AE30" s="40" t="s">
        <v>1032</v>
      </c>
      <c r="AF30" s="40" t="s">
        <v>1033</v>
      </c>
      <c r="AG30" s="40" t="s">
        <v>1034</v>
      </c>
      <c r="AH30" s="40" t="s">
        <v>1035</v>
      </c>
      <c r="AI30" s="40" t="s">
        <v>1036</v>
      </c>
      <c r="AJ30" s="40" t="s">
        <v>1037</v>
      </c>
    </row>
    <row r="31" spans="2:36" x14ac:dyDescent="0.15">
      <c r="B31" s="100" t="s">
        <v>1166</v>
      </c>
      <c r="C31" s="175" t="str">
        <f>IFERROR(SUMIFS('caseload data'!E:E,'caseload data'!$C:$C,'custody %'!$B$29,'caseload data'!$D:$D,"PO",'caseload data'!$B:$B,"custody")/SUMIFS('caseload data'!E:E,'caseload data'!$B:$B,"custody",'caseload data'!$C:$C,'custody %'!$B$29),"")</f>
        <v/>
      </c>
      <c r="D31" s="175" t="str">
        <f>IFERROR(SUMIFS('caseload data'!F:F,'caseload data'!$C:$C,'custody %'!$B$29,'caseload data'!$D:$D,"PO",'caseload data'!$B:$B,"custody")/SUMIFS('caseload data'!F:F,'caseload data'!$B:$B,"custody",'caseload data'!$C:$C,'custody %'!$B$29),"")</f>
        <v/>
      </c>
      <c r="E31" s="175" t="str">
        <f>IFERROR(SUMIFS('caseload data'!G:G,'caseload data'!$C:$C,'custody %'!$B$29,'caseload data'!$D:$D,"PO",'caseload data'!$B:$B,"custody")/SUMIFS('caseload data'!G:G,'caseload data'!$B:$B,"custody",'caseload data'!$C:$C,'custody %'!$B$29),"")</f>
        <v/>
      </c>
      <c r="F31" s="175" t="str">
        <f>IFERROR(SUMIFS('caseload data'!H:H,'caseload data'!$C:$C,'custody %'!$B$29,'caseload data'!$D:$D,"PO",'caseload data'!$B:$B,"custody")/SUMIFS('caseload data'!H:H,'caseload data'!$B:$B,"custody",'caseload data'!$C:$C,'custody %'!$B$29),"")</f>
        <v/>
      </c>
      <c r="G31" s="175" t="str">
        <f>IFERROR(SUMIFS('caseload data'!I:I,'caseload data'!$C:$C,'custody %'!$B$29,'caseload data'!$D:$D,"PO",'caseload data'!$B:$B,"custody")/SUMIFS('caseload data'!I:I,'caseload data'!$B:$B,"custody",'caseload data'!$C:$C,'custody %'!$B$29),"")</f>
        <v/>
      </c>
      <c r="H31" s="175" t="str">
        <f>IFERROR(SUMIFS('caseload data'!J:J,'caseload data'!$C:$C,'custody %'!$B$29,'caseload data'!$D:$D,"PO",'caseload data'!$B:$B,"custody")/SUMIFS('caseload data'!J:J,'caseload data'!$B:$B,"custody",'caseload data'!$C:$C,'custody %'!$B$29),"")</f>
        <v/>
      </c>
      <c r="I31" s="175" t="str">
        <f>IFERROR(SUMIFS('caseload data'!K:K,'caseload data'!$C:$C,'custody %'!$B$29,'caseload data'!$D:$D,"PO",'caseload data'!$B:$B,"custody")/SUMIFS('caseload data'!K:K,'caseload data'!$B:$B,"custody",'caseload data'!$C:$C,'custody %'!$B$29),"")</f>
        <v/>
      </c>
      <c r="J31" s="175" t="str">
        <f>IFERROR(SUMIFS('caseload data'!L:L,'caseload data'!$C:$C,'custody %'!$B$29,'caseload data'!$D:$D,"PO",'caseload data'!$B:$B,"custody")/SUMIFS('caseload data'!L:L,'caseload data'!$B:$B,"custody",'caseload data'!$C:$C,'custody %'!$B$29),"")</f>
        <v/>
      </c>
      <c r="K31" s="175" t="str">
        <f>IFERROR(SUMIFS('caseload data'!M:M,'caseload data'!$C:$C,'custody %'!$B$29,'caseload data'!$D:$D,"PO",'caseload data'!$B:$B,"custody")/SUMIFS('caseload data'!M:M,'caseload data'!$B:$B,"custody",'caseload data'!$C:$C,'custody %'!$B$29),"")</f>
        <v/>
      </c>
      <c r="L31" s="175" t="str">
        <f>IFERROR(SUMIFS('caseload data'!N:N,'caseload data'!$C:$C,'custody %'!$B$29,'caseload data'!$D:$D,"PO",'caseload data'!$B:$B,"custody")/SUMIFS('caseload data'!N:N,'caseload data'!$B:$B,"custody",'caseload data'!$C:$C,'custody %'!$B$29),"")</f>
        <v/>
      </c>
      <c r="M31" s="175" t="str">
        <f>IFERROR(SUMIFS('caseload data'!O:O,'caseload data'!$C:$C,'custody %'!$B$29,'caseload data'!$D:$D,"PO",'caseload data'!$B:$B,"custody")/SUMIFS('caseload data'!O:O,'caseload data'!$B:$B,"custody",'caseload data'!$C:$C,'custody %'!$B$29),"")</f>
        <v/>
      </c>
      <c r="N31" s="175" t="str">
        <f>IFERROR(SUMIFS('caseload data'!P:P,'caseload data'!$C:$C,'custody %'!$B$29,'caseload data'!$D:$D,"PO",'caseload data'!$B:$B,"custody")/SUMIFS('caseload data'!P:P,'caseload data'!$B:$B,"custody",'caseload data'!$C:$C,'custody %'!$B$29),"")</f>
        <v/>
      </c>
      <c r="O31" s="175" t="str">
        <f>IFERROR(SUMIFS('caseload data'!Q:Q,'caseload data'!$C:$C,'custody %'!$B$29,'caseload data'!$D:$D,"PO",'caseload data'!$B:$B,"custody")/SUMIFS('caseload data'!Q:Q,'caseload data'!$B:$B,"custody",'caseload data'!$C:$C,'custody %'!$B$29),"")</f>
        <v/>
      </c>
      <c r="P31" s="175" t="str">
        <f>IFERROR(SUMIFS('caseload data'!R:R,'caseload data'!$C:$C,'custody %'!$B$29,'caseload data'!$D:$D,"PO",'caseload data'!$B:$B,"custody")/SUMIFS('caseload data'!R:R,'caseload data'!$B:$B,"custody",'caseload data'!$C:$C,'custody %'!$B$29),"")</f>
        <v/>
      </c>
      <c r="Q31" s="175" t="str">
        <f>IFERROR(SUMIFS('caseload data'!S:S,'caseload data'!$C:$C,'custody %'!$B$29,'caseload data'!$D:$D,"PO",'caseload data'!$B:$B,"custody")/SUMIFS('caseload data'!S:S,'caseload data'!$B:$B,"custody",'caseload data'!$C:$C,'custody %'!$B$29),"")</f>
        <v/>
      </c>
      <c r="R31" s="175" t="str">
        <f>IFERROR(SUMIFS('caseload data'!T:T,'caseload data'!$C:$C,'custody %'!$B$29,'caseload data'!$D:$D,"PO",'caseload data'!$B:$B,"custody")/SUMIFS('caseload data'!T:T,'caseload data'!$B:$B,"custody",'caseload data'!$C:$C,'custody %'!$B$29),"")</f>
        <v/>
      </c>
      <c r="S31" s="68"/>
      <c r="T31" s="100" t="s">
        <v>1166</v>
      </c>
      <c r="U31" s="175" t="str">
        <f>IFERROR(SUMIFS('caseload data'!E:E,'caseload data'!$C:$C,'custody %'!$T$29,'caseload data'!$D:$D,"PO",'caseload data'!$B:$B,"custody")/SUMIFS('caseload data'!E:E,'caseload data'!$B:$B,"custody",'caseload data'!$C:$C,'custody %'!$T$29),"")</f>
        <v/>
      </c>
      <c r="V31" s="175" t="str">
        <f>IFERROR(SUMIFS('caseload data'!F:F,'caseload data'!$C:$C,'custody %'!$T$29,'caseload data'!$D:$D,"PO",'caseload data'!$B:$B,"custody")/SUMIFS('caseload data'!F:F,'caseload data'!$B:$B,"custody",'caseload data'!$C:$C,'custody %'!$T$29),"")</f>
        <v/>
      </c>
      <c r="W31" s="175" t="str">
        <f>IFERROR(SUMIFS('caseload data'!G:G,'caseload data'!$C:$C,'custody %'!$T$29,'caseload data'!$D:$D,"PO",'caseload data'!$B:$B,"custody")/SUMIFS('caseload data'!G:G,'caseload data'!$B:$B,"custody",'caseload data'!$C:$C,'custody %'!$T$29),"")</f>
        <v/>
      </c>
      <c r="X31" s="175" t="str">
        <f>IFERROR(SUMIFS('caseload data'!H:H,'caseload data'!$C:$C,'custody %'!$T$29,'caseload data'!$D:$D,"PO",'caseload data'!$B:$B,"custody")/SUMIFS('caseload data'!H:H,'caseload data'!$B:$B,"custody",'caseload data'!$C:$C,'custody %'!$T$29),"")</f>
        <v/>
      </c>
      <c r="Y31" s="175" t="str">
        <f>IFERROR(SUMIFS('caseload data'!I:I,'caseload data'!$C:$C,'custody %'!$T$29,'caseload data'!$D:$D,"PO",'caseload data'!$B:$B,"custody")/SUMIFS('caseload data'!I:I,'caseload data'!$B:$B,"custody",'caseload data'!$C:$C,'custody %'!$T$29),"")</f>
        <v/>
      </c>
      <c r="Z31" s="175" t="str">
        <f>IFERROR(SUMIFS('caseload data'!J:J,'caseload data'!$C:$C,'custody %'!$T$29,'caseload data'!$D:$D,"PO",'caseload data'!$B:$B,"custody")/SUMIFS('caseload data'!J:J,'caseload data'!$B:$B,"custody",'caseload data'!$C:$C,'custody %'!$T$29),"")</f>
        <v/>
      </c>
      <c r="AA31" s="175" t="str">
        <f>IFERROR(SUMIFS('caseload data'!K:K,'caseload data'!$C:$C,'custody %'!$T$29,'caseload data'!$D:$D,"PO",'caseload data'!$B:$B,"custody")/SUMIFS('caseload data'!K:K,'caseload data'!$B:$B,"custody",'caseload data'!$C:$C,'custody %'!$T$29),"")</f>
        <v/>
      </c>
      <c r="AB31" s="175" t="str">
        <f>IFERROR(SUMIFS('caseload data'!L:L,'caseload data'!$C:$C,'custody %'!$T$29,'caseload data'!$D:$D,"PO",'caseload data'!$B:$B,"custody")/SUMIFS('caseload data'!L:L,'caseload data'!$B:$B,"custody",'caseload data'!$C:$C,'custody %'!$T$29),"")</f>
        <v/>
      </c>
      <c r="AC31" s="175" t="str">
        <f>IFERROR(SUMIFS('caseload data'!M:M,'caseload data'!$C:$C,'custody %'!$T$29,'caseload data'!$D:$D,"PO",'caseload data'!$B:$B,"custody")/SUMIFS('caseload data'!M:M,'caseload data'!$B:$B,"custody",'caseload data'!$C:$C,'custody %'!$T$29),"")</f>
        <v/>
      </c>
      <c r="AD31" s="175" t="str">
        <f>IFERROR(SUMIFS('caseload data'!N:N,'caseload data'!$C:$C,'custody %'!$T$29,'caseload data'!$D:$D,"PO",'caseload data'!$B:$B,"custody")/SUMIFS('caseload data'!N:N,'caseload data'!$B:$B,"custody",'caseload data'!$C:$C,'custody %'!$T$29),"")</f>
        <v/>
      </c>
      <c r="AE31" s="175" t="str">
        <f>IFERROR(SUMIFS('caseload data'!O:O,'caseload data'!$C:$C,'custody %'!$T$29,'caseload data'!$D:$D,"PO",'caseload data'!$B:$B,"custody")/SUMIFS('caseload data'!O:O,'caseload data'!$B:$B,"custody",'caseload data'!$C:$C,'custody %'!$T$29),"")</f>
        <v/>
      </c>
      <c r="AF31" s="175" t="str">
        <f>IFERROR(SUMIFS('caseload data'!P:P,'caseload data'!$C:$C,'custody %'!$T$29,'caseload data'!$D:$D,"PO",'caseload data'!$B:$B,"custody")/SUMIFS('caseload data'!P:P,'caseload data'!$B:$B,"custody",'caseload data'!$C:$C,'custody %'!$T$29),"")</f>
        <v/>
      </c>
      <c r="AG31" s="175" t="str">
        <f>IFERROR(SUMIFS('caseload data'!Q:Q,'caseload data'!$C:$C,'custody %'!$T$29,'caseload data'!$D:$D,"PO",'caseload data'!$B:$B,"custody")/SUMIFS('caseload data'!Q:Q,'caseload data'!$B:$B,"custody",'caseload data'!$C:$C,'custody %'!$T$29),"")</f>
        <v/>
      </c>
      <c r="AH31" s="175" t="str">
        <f>IFERROR(SUMIFS('caseload data'!R:R,'caseload data'!$C:$C,'custody %'!$T$29,'caseload data'!$D:$D,"PO",'caseload data'!$B:$B,"custody")/SUMIFS('caseload data'!R:R,'caseload data'!$B:$B,"custody",'caseload data'!$C:$C,'custody %'!$T$29),"")</f>
        <v/>
      </c>
      <c r="AI31" s="175"/>
      <c r="AJ31" s="175"/>
    </row>
    <row r="32" spans="2:36" x14ac:dyDescent="0.15">
      <c r="B32" s="101" t="s">
        <v>1172</v>
      </c>
      <c r="C32" s="175" t="str">
        <f>IFERROR(SUMIFS('caseload data'!E:E,'caseload data'!$C:$C,'custody %'!$B$29,'caseload data'!$D:$D,"PSO",'caseload data'!$B:$B,"custody")/SUMIFS('caseload data'!E:E,'caseload data'!$B:$B,"custody",'caseload data'!$C:$C,'custody %'!$B$29),"")</f>
        <v/>
      </c>
      <c r="D32" s="175" t="str">
        <f>IFERROR(SUMIFS('caseload data'!F:F,'caseload data'!$C:$C,'custody %'!$B$29,'caseload data'!$D:$D,"PSO",'caseload data'!$B:$B,"custody")/SUMIFS('caseload data'!F:F,'caseload data'!$B:$B,"custody",'caseload data'!$C:$C,'custody %'!$B$29),"")</f>
        <v/>
      </c>
      <c r="E32" s="175" t="str">
        <f>IFERROR(SUMIFS('caseload data'!G:G,'caseload data'!$C:$C,'custody %'!$B$29,'caseload data'!$D:$D,"PSO",'caseload data'!$B:$B,"custody")/SUMIFS('caseload data'!G:G,'caseload data'!$B:$B,"custody",'caseload data'!$C:$C,'custody %'!$B$29),"")</f>
        <v/>
      </c>
      <c r="F32" s="175" t="str">
        <f>IFERROR(SUMIFS('caseload data'!H:H,'caseload data'!$C:$C,'custody %'!$B$29,'caseload data'!$D:$D,"PSO",'caseload data'!$B:$B,"custody")/SUMIFS('caseload data'!H:H,'caseload data'!$B:$B,"custody",'caseload data'!$C:$C,'custody %'!$B$29),"")</f>
        <v/>
      </c>
      <c r="G32" s="175" t="str">
        <f>IFERROR(SUMIFS('caseload data'!I:I,'caseload data'!$C:$C,'custody %'!$B$29,'caseload data'!$D:$D,"PSO",'caseload data'!$B:$B,"custody")/SUMIFS('caseload data'!I:I,'caseload data'!$B:$B,"custody",'caseload data'!$C:$C,'custody %'!$B$29),"")</f>
        <v/>
      </c>
      <c r="H32" s="175" t="str">
        <f>IFERROR(SUMIFS('caseload data'!J:J,'caseload data'!$C:$C,'custody %'!$B$29,'caseload data'!$D:$D,"PSO",'caseload data'!$B:$B,"custody")/SUMIFS('caseload data'!J:J,'caseload data'!$B:$B,"custody",'caseload data'!$C:$C,'custody %'!$B$29),"")</f>
        <v/>
      </c>
      <c r="I32" s="175" t="str">
        <f>IFERROR(SUMIFS('caseload data'!K:K,'caseload data'!$C:$C,'custody %'!$B$29,'caseload data'!$D:$D,"PSO",'caseload data'!$B:$B,"custody")/SUMIFS('caseload data'!K:K,'caseload data'!$B:$B,"custody",'caseload data'!$C:$C,'custody %'!$B$29),"")</f>
        <v/>
      </c>
      <c r="J32" s="175" t="str">
        <f>IFERROR(SUMIFS('caseload data'!L:L,'caseload data'!$C:$C,'custody %'!$B$29,'caseload data'!$D:$D,"PSO",'caseload data'!$B:$B,"custody")/SUMIFS('caseload data'!L:L,'caseload data'!$B:$B,"custody",'caseload data'!$C:$C,'custody %'!$B$29),"")</f>
        <v/>
      </c>
      <c r="K32" s="175" t="str">
        <f>IFERROR(SUMIFS('caseload data'!M:M,'caseload data'!$C:$C,'custody %'!$B$29,'caseload data'!$D:$D,"PSO",'caseload data'!$B:$B,"custody")/SUMIFS('caseload data'!M:M,'caseload data'!$B:$B,"custody",'caseload data'!$C:$C,'custody %'!$B$29),"")</f>
        <v/>
      </c>
      <c r="L32" s="175" t="str">
        <f>IFERROR(SUMIFS('caseload data'!N:N,'caseload data'!$C:$C,'custody %'!$B$29,'caseload data'!$D:$D,"PSO",'caseload data'!$B:$B,"custody")/SUMIFS('caseload data'!N:N,'caseload data'!$B:$B,"custody",'caseload data'!$C:$C,'custody %'!$B$29),"")</f>
        <v/>
      </c>
      <c r="M32" s="175" t="str">
        <f>IFERROR(SUMIFS('caseload data'!O:O,'caseload data'!$C:$C,'custody %'!$B$29,'caseload data'!$D:$D,"PSO",'caseload data'!$B:$B,"custody")/SUMIFS('caseload data'!O:O,'caseload data'!$B:$B,"custody",'caseload data'!$C:$C,'custody %'!$B$29),"")</f>
        <v/>
      </c>
      <c r="N32" s="175" t="str">
        <f>IFERROR(SUMIFS('caseload data'!P:P,'caseload data'!$C:$C,'custody %'!$B$29,'caseload data'!$D:$D,"PSO",'caseload data'!$B:$B,"custody")/SUMIFS('caseload data'!P:P,'caseload data'!$B:$B,"custody",'caseload data'!$C:$C,'custody %'!$B$29),"")</f>
        <v/>
      </c>
      <c r="O32" s="175" t="str">
        <f>IFERROR(SUMIFS('caseload data'!Q:Q,'caseload data'!$C:$C,'custody %'!$B$29,'caseload data'!$D:$D,"PSO",'caseload data'!$B:$B,"custody")/SUMIFS('caseload data'!Q:Q,'caseload data'!$B:$B,"custody",'caseload data'!$C:$C,'custody %'!$B$29),"")</f>
        <v/>
      </c>
      <c r="P32" s="175" t="str">
        <f>IFERROR(SUMIFS('caseload data'!R:R,'caseload data'!$C:$C,'custody %'!$B$29,'caseload data'!$D:$D,"PSO",'caseload data'!$B:$B,"custody")/SUMIFS('caseload data'!R:R,'caseload data'!$B:$B,"custody",'caseload data'!$C:$C,'custody %'!$B$29),"")</f>
        <v/>
      </c>
      <c r="Q32" s="175" t="str">
        <f>IFERROR(SUMIFS('caseload data'!S:S,'caseload data'!$C:$C,'custody %'!$B$29,'caseload data'!$D:$D,"PSO",'caseload data'!$B:$B,"custody")/SUMIFS('caseload data'!S:S,'caseload data'!$B:$B,"custody",'caseload data'!$C:$C,'custody %'!$B$29),"")</f>
        <v/>
      </c>
      <c r="R32" s="175" t="str">
        <f>IFERROR(SUMIFS('caseload data'!T:T,'caseload data'!$C:$C,'custody %'!$B$29,'caseload data'!$D:$D,"PSO",'caseload data'!$B:$B,"custody")/SUMIFS('caseload data'!T:T,'caseload data'!$B:$B,"custody",'caseload data'!$C:$C,'custody %'!$B$29),"")</f>
        <v/>
      </c>
      <c r="S32" s="68"/>
      <c r="T32" s="101" t="s">
        <v>1172</v>
      </c>
      <c r="U32" s="175" t="str">
        <f>IFERROR(SUMIFS('caseload data'!E:E,'caseload data'!$C:$C,'custody %'!$T$29,'caseload data'!$D:$D,"PSO",'caseload data'!$B:$B,"custody")/SUMIFS('caseload data'!E:E,'caseload data'!$B:$B,"custody",'caseload data'!$C:$C,'custody %'!$T$29),"")</f>
        <v/>
      </c>
      <c r="V32" s="175" t="str">
        <f>IFERROR(SUMIFS('caseload data'!F:F,'caseload data'!$C:$C,'custody %'!$T$29,'caseload data'!$D:$D,"PSO",'caseload data'!$B:$B,"custody")/SUMIFS('caseload data'!F:F,'caseload data'!$B:$B,"custody",'caseload data'!$C:$C,'custody %'!$T$29),"")</f>
        <v/>
      </c>
      <c r="W32" s="175" t="str">
        <f>IFERROR(SUMIFS('caseload data'!G:G,'caseload data'!$C:$C,'custody %'!$T$29,'caseload data'!$D:$D,"PSO",'caseload data'!$B:$B,"custody")/SUMIFS('caseload data'!G:G,'caseload data'!$B:$B,"custody",'caseload data'!$C:$C,'custody %'!$T$29),"")</f>
        <v/>
      </c>
      <c r="X32" s="175" t="str">
        <f>IFERROR(SUMIFS('caseload data'!H:H,'caseload data'!$C:$C,'custody %'!$T$29,'caseload data'!$D:$D,"PSO",'caseload data'!$B:$B,"custody")/SUMIFS('caseload data'!H:H,'caseload data'!$B:$B,"custody",'caseload data'!$C:$C,'custody %'!$T$29),"")</f>
        <v/>
      </c>
      <c r="Y32" s="175" t="str">
        <f>IFERROR(SUMIFS('caseload data'!I:I,'caseload data'!$C:$C,'custody %'!$T$29,'caseload data'!$D:$D,"PSO",'caseload data'!$B:$B,"custody")/SUMIFS('caseload data'!I:I,'caseload data'!$B:$B,"custody",'caseload data'!$C:$C,'custody %'!$T$29),"")</f>
        <v/>
      </c>
      <c r="Z32" s="175" t="str">
        <f>IFERROR(SUMIFS('caseload data'!J:J,'caseload data'!$C:$C,'custody %'!$T$29,'caseload data'!$D:$D,"PSO",'caseload data'!$B:$B,"custody")/SUMIFS('caseload data'!J:J,'caseload data'!$B:$B,"custody",'caseload data'!$C:$C,'custody %'!$T$29),"")</f>
        <v/>
      </c>
      <c r="AA32" s="175" t="str">
        <f>IFERROR(SUMIFS('caseload data'!K:K,'caseload data'!$C:$C,'custody %'!$T$29,'caseload data'!$D:$D,"PSO",'caseload data'!$B:$B,"custody")/SUMIFS('caseload data'!K:K,'caseload data'!$B:$B,"custody",'caseload data'!$C:$C,'custody %'!$T$29),"")</f>
        <v/>
      </c>
      <c r="AB32" s="175" t="str">
        <f>IFERROR(SUMIFS('caseload data'!L:L,'caseload data'!$C:$C,'custody %'!$T$29,'caseload data'!$D:$D,"PSO",'caseload data'!$B:$B,"custody")/SUMIFS('caseload data'!L:L,'caseload data'!$B:$B,"custody",'caseload data'!$C:$C,'custody %'!$T$29),"")</f>
        <v/>
      </c>
      <c r="AC32" s="175" t="str">
        <f>IFERROR(SUMIFS('caseload data'!M:M,'caseload data'!$C:$C,'custody %'!$T$29,'caseload data'!$D:$D,"PSO",'caseload data'!$B:$B,"custody")/SUMIFS('caseload data'!M:M,'caseload data'!$B:$B,"custody",'caseload data'!$C:$C,'custody %'!$T$29),"")</f>
        <v/>
      </c>
      <c r="AD32" s="175" t="str">
        <f>IFERROR(SUMIFS('caseload data'!N:N,'caseload data'!$C:$C,'custody %'!$T$29,'caseload data'!$D:$D,"PSO",'caseload data'!$B:$B,"custody")/SUMIFS('caseload data'!N:N,'caseload data'!$B:$B,"custody",'caseload data'!$C:$C,'custody %'!$T$29),"")</f>
        <v/>
      </c>
      <c r="AE32" s="175" t="str">
        <f>IFERROR(SUMIFS('caseload data'!O:O,'caseload data'!$C:$C,'custody %'!$T$29,'caseload data'!$D:$D,"PSO",'caseload data'!$B:$B,"custody")/SUMIFS('caseload data'!O:O,'caseload data'!$B:$B,"custody",'caseload data'!$C:$C,'custody %'!$T$29),"")</f>
        <v/>
      </c>
      <c r="AF32" s="175" t="str">
        <f>IFERROR(SUMIFS('caseload data'!P:P,'caseload data'!$C:$C,'custody %'!$T$29,'caseload data'!$D:$D,"PSO",'caseload data'!$B:$B,"custody")/SUMIFS('caseload data'!P:P,'caseload data'!$B:$B,"custody",'caseload data'!$C:$C,'custody %'!$T$29),"")</f>
        <v/>
      </c>
      <c r="AG32" s="175" t="str">
        <f>IFERROR(SUMIFS('caseload data'!Q:Q,'caseload data'!$C:$C,'custody %'!$T$29,'caseload data'!$D:$D,"PSO",'caseload data'!$B:$B,"custody")/SUMIFS('caseload data'!Q:Q,'caseload data'!$B:$B,"custody",'caseload data'!$C:$C,'custody %'!$T$29),"")</f>
        <v/>
      </c>
      <c r="AH32" s="175" t="str">
        <f>IFERROR(SUMIFS('caseload data'!R:R,'caseload data'!$C:$C,'custody %'!$T$29,'caseload data'!$D:$D,"PSO",'caseload data'!$B:$B,"custody")/SUMIFS('caseload data'!R:R,'caseload data'!$B:$B,"custody",'caseload data'!$C:$C,'custody %'!$T$29),"")</f>
        <v/>
      </c>
      <c r="AI32" s="175"/>
      <c r="AJ32" s="175"/>
    </row>
    <row r="33" spans="2:36" x14ac:dyDescent="0.15">
      <c r="B33" s="101" t="s">
        <v>1173</v>
      </c>
      <c r="C33" s="175" t="str">
        <f>IFERROR(SUMIFS('caseload data'!E:E,'caseload data'!$C:$C,'custody %'!$B$29,'caseload data'!$D:$D,"TPO",'caseload data'!$B:$B,"custody")/SUMIFS('caseload data'!E:E,'caseload data'!$B:$B,"custody",'caseload data'!$C:$C,'custody %'!$B$29),"")</f>
        <v/>
      </c>
      <c r="D33" s="175" t="str">
        <f>IFERROR(SUMIFS('caseload data'!F:F,'caseload data'!$C:$C,'custody %'!$B$29,'caseload data'!$D:$D,"TPO",'caseload data'!$B:$B,"custody")/SUMIFS('caseload data'!F:F,'caseload data'!$B:$B,"custody",'caseload data'!$C:$C,'custody %'!$B$29),"")</f>
        <v/>
      </c>
      <c r="E33" s="175" t="str">
        <f>IFERROR(SUMIFS('caseload data'!G:G,'caseload data'!$C:$C,'custody %'!$B$29,'caseload data'!$D:$D,"TPO",'caseload data'!$B:$B,"custody")/SUMIFS('caseload data'!G:G,'caseload data'!$B:$B,"custody",'caseload data'!$C:$C,'custody %'!$B$29),"")</f>
        <v/>
      </c>
      <c r="F33" s="175" t="str">
        <f>IFERROR(SUMIFS('caseload data'!H:H,'caseload data'!$C:$C,'custody %'!$B$29,'caseload data'!$D:$D,"TPO",'caseload data'!$B:$B,"custody")/SUMIFS('caseload data'!H:H,'caseload data'!$B:$B,"custody",'caseload data'!$C:$C,'custody %'!$B$29),"")</f>
        <v/>
      </c>
      <c r="G33" s="175" t="str">
        <f>IFERROR(SUMIFS('caseload data'!I:I,'caseload data'!$C:$C,'custody %'!$B$29,'caseload data'!$D:$D,"TPO",'caseload data'!$B:$B,"custody")/SUMIFS('caseload data'!I:I,'caseload data'!$B:$B,"custody",'caseload data'!$C:$C,'custody %'!$B$29),"")</f>
        <v/>
      </c>
      <c r="H33" s="175" t="str">
        <f>IFERROR(SUMIFS('caseload data'!J:J,'caseload data'!$C:$C,'custody %'!$B$29,'caseload data'!$D:$D,"TPO",'caseload data'!$B:$B,"custody")/SUMIFS('caseload data'!J:J,'caseload data'!$B:$B,"custody",'caseload data'!$C:$C,'custody %'!$B$29),"")</f>
        <v/>
      </c>
      <c r="I33" s="175" t="str">
        <f>IFERROR(SUMIFS('caseload data'!K:K,'caseload data'!$C:$C,'custody %'!$B$29,'caseload data'!$D:$D,"TPO",'caseload data'!$B:$B,"custody")/SUMIFS('caseload data'!K:K,'caseload data'!$B:$B,"custody",'caseload data'!$C:$C,'custody %'!$B$29),"")</f>
        <v/>
      </c>
      <c r="J33" s="175" t="str">
        <f>IFERROR(SUMIFS('caseload data'!L:L,'caseload data'!$C:$C,'custody %'!$B$29,'caseload data'!$D:$D,"TPO",'caseload data'!$B:$B,"custody")/SUMIFS('caseload data'!L:L,'caseload data'!$B:$B,"custody",'caseload data'!$C:$C,'custody %'!$B$29),"")</f>
        <v/>
      </c>
      <c r="K33" s="175" t="str">
        <f>IFERROR(SUMIFS('caseload data'!M:M,'caseload data'!$C:$C,'custody %'!$B$29,'caseload data'!$D:$D,"TPO",'caseload data'!$B:$B,"custody")/SUMIFS('caseload data'!M:M,'caseload data'!$B:$B,"custody",'caseload data'!$C:$C,'custody %'!$B$29),"")</f>
        <v/>
      </c>
      <c r="L33" s="175" t="str">
        <f>IFERROR(SUMIFS('caseload data'!N:N,'caseload data'!$C:$C,'custody %'!$B$29,'caseload data'!$D:$D,"TPO",'caseload data'!$B:$B,"custody")/SUMIFS('caseload data'!N:N,'caseload data'!$B:$B,"custody",'caseload data'!$C:$C,'custody %'!$B$29),"")</f>
        <v/>
      </c>
      <c r="M33" s="175" t="str">
        <f>IFERROR(SUMIFS('caseload data'!O:O,'caseload data'!$C:$C,'custody %'!$B$29,'caseload data'!$D:$D,"TPO",'caseload data'!$B:$B,"custody")/SUMIFS('caseload data'!O:O,'caseload data'!$B:$B,"custody",'caseload data'!$C:$C,'custody %'!$B$29),"")</f>
        <v/>
      </c>
      <c r="N33" s="175" t="str">
        <f>IFERROR(SUMIFS('caseload data'!P:P,'caseload data'!$C:$C,'custody %'!$B$29,'caseload data'!$D:$D,"TPO",'caseload data'!$B:$B,"custody")/SUMIFS('caseload data'!P:P,'caseload data'!$B:$B,"custody",'caseload data'!$C:$C,'custody %'!$B$29),"")</f>
        <v/>
      </c>
      <c r="O33" s="175" t="str">
        <f>IFERROR(SUMIFS('caseload data'!Q:Q,'caseload data'!$C:$C,'custody %'!$B$29,'caseload data'!$D:$D,"TPO",'caseload data'!$B:$B,"custody")/SUMIFS('caseload data'!Q:Q,'caseload data'!$B:$B,"custody",'caseload data'!$C:$C,'custody %'!$B$29),"")</f>
        <v/>
      </c>
      <c r="P33" s="175" t="str">
        <f>IFERROR(SUMIFS('caseload data'!R:R,'caseload data'!$C:$C,'custody %'!$B$29,'caseload data'!$D:$D,"TPO",'caseload data'!$B:$B,"custody")/SUMIFS('caseload data'!R:R,'caseload data'!$B:$B,"custody",'caseload data'!$C:$C,'custody %'!$B$29),"")</f>
        <v/>
      </c>
      <c r="Q33" s="175" t="str">
        <f>IFERROR(SUMIFS('caseload data'!S:S,'caseload data'!$C:$C,'custody %'!$B$29,'caseload data'!$D:$D,"TPO",'caseload data'!$B:$B,"custody")/SUMIFS('caseload data'!S:S,'caseload data'!$B:$B,"custody",'caseload data'!$C:$C,'custody %'!$B$29),"")</f>
        <v/>
      </c>
      <c r="R33" s="175" t="str">
        <f>IFERROR(SUMIFS('caseload data'!T:T,'caseload data'!$C:$C,'custody %'!$B$29,'caseload data'!$D:$D,"TPO",'caseload data'!$B:$B,"custody")/SUMIFS('caseload data'!T:T,'caseload data'!$B:$B,"custody",'caseload data'!$C:$C,'custody %'!$B$29),"")</f>
        <v/>
      </c>
      <c r="S33" s="68"/>
      <c r="T33" s="101" t="s">
        <v>1173</v>
      </c>
      <c r="U33" s="175" t="str">
        <f>IFERROR(SUMIFS('caseload data'!E:E,'caseload data'!$C:$C,'custody %'!$T$29,'caseload data'!$D:$D,"TPO",'caseload data'!$B:$B,"custody")/SUMIFS('caseload data'!E:E,'caseload data'!$B:$B,"custody",'caseload data'!$C:$C,'custody %'!$T$29),"")</f>
        <v/>
      </c>
      <c r="V33" s="175" t="str">
        <f>IFERROR(SUMIFS('caseload data'!F:F,'caseload data'!$C:$C,'custody %'!$T$29,'caseload data'!$D:$D,"TPO",'caseload data'!$B:$B,"custody")/SUMIFS('caseload data'!F:F,'caseload data'!$B:$B,"custody",'caseload data'!$C:$C,'custody %'!$T$29),"")</f>
        <v/>
      </c>
      <c r="W33" s="175" t="str">
        <f>IFERROR(SUMIFS('caseload data'!G:G,'caseload data'!$C:$C,'custody %'!$T$29,'caseload data'!$D:$D,"TPO",'caseload data'!$B:$B,"custody")/SUMIFS('caseload data'!G:G,'caseload data'!$B:$B,"custody",'caseload data'!$C:$C,'custody %'!$T$29),"")</f>
        <v/>
      </c>
      <c r="X33" s="175" t="str">
        <f>IFERROR(SUMIFS('caseload data'!H:H,'caseload data'!$C:$C,'custody %'!$T$29,'caseload data'!$D:$D,"TPO",'caseload data'!$B:$B,"custody")/SUMIFS('caseload data'!H:H,'caseload data'!$B:$B,"custody",'caseload data'!$C:$C,'custody %'!$T$29),"")</f>
        <v/>
      </c>
      <c r="Y33" s="175" t="str">
        <f>IFERROR(SUMIFS('caseload data'!I:I,'caseload data'!$C:$C,'custody %'!$T$29,'caseload data'!$D:$D,"TPO",'caseload data'!$B:$B,"custody")/SUMIFS('caseload data'!I:I,'caseload data'!$B:$B,"custody",'caseload data'!$C:$C,'custody %'!$T$29),"")</f>
        <v/>
      </c>
      <c r="Z33" s="175" t="str">
        <f>IFERROR(SUMIFS('caseload data'!J:J,'caseload data'!$C:$C,'custody %'!$T$29,'caseload data'!$D:$D,"TPO",'caseload data'!$B:$B,"custody")/SUMIFS('caseload data'!J:J,'caseload data'!$B:$B,"custody",'caseload data'!$C:$C,'custody %'!$T$29),"")</f>
        <v/>
      </c>
      <c r="AA33" s="175" t="str">
        <f>IFERROR(SUMIFS('caseload data'!K:K,'caseload data'!$C:$C,'custody %'!$T$29,'caseload data'!$D:$D,"TPO",'caseload data'!$B:$B,"custody")/SUMIFS('caseload data'!K:K,'caseload data'!$B:$B,"custody",'caseload data'!$C:$C,'custody %'!$T$29),"")</f>
        <v/>
      </c>
      <c r="AB33" s="175" t="str">
        <f>IFERROR(SUMIFS('caseload data'!L:L,'caseload data'!$C:$C,'custody %'!$T$29,'caseload data'!$D:$D,"TPO",'caseload data'!$B:$B,"custody")/SUMIFS('caseload data'!L:L,'caseload data'!$B:$B,"custody",'caseload data'!$C:$C,'custody %'!$T$29),"")</f>
        <v/>
      </c>
      <c r="AC33" s="175" t="str">
        <f>IFERROR(SUMIFS('caseload data'!M:M,'caseload data'!$C:$C,'custody %'!$T$29,'caseload data'!$D:$D,"TPO",'caseload data'!$B:$B,"custody")/SUMIFS('caseload data'!M:M,'caseload data'!$B:$B,"custody",'caseload data'!$C:$C,'custody %'!$T$29),"")</f>
        <v/>
      </c>
      <c r="AD33" s="175" t="str">
        <f>IFERROR(SUMIFS('caseload data'!N:N,'caseload data'!$C:$C,'custody %'!$T$29,'caseload data'!$D:$D,"TPO",'caseload data'!$B:$B,"custody")/SUMIFS('caseload data'!N:N,'caseload data'!$B:$B,"custody",'caseload data'!$C:$C,'custody %'!$T$29),"")</f>
        <v/>
      </c>
      <c r="AE33" s="175" t="str">
        <f>IFERROR(SUMIFS('caseload data'!O:O,'caseload data'!$C:$C,'custody %'!$T$29,'caseload data'!$D:$D,"TPO",'caseload data'!$B:$B,"custody")/SUMIFS('caseload data'!O:O,'caseload data'!$B:$B,"custody",'caseload data'!$C:$C,'custody %'!$T$29),"")</f>
        <v/>
      </c>
      <c r="AF33" s="175" t="str">
        <f>IFERROR(SUMIFS('caseload data'!P:P,'caseload data'!$C:$C,'custody %'!$T$29,'caseload data'!$D:$D,"TPO",'caseload data'!$B:$B,"custody")/SUMIFS('caseload data'!P:P,'caseload data'!$B:$B,"custody",'caseload data'!$C:$C,'custody %'!$T$29),"")</f>
        <v/>
      </c>
      <c r="AG33" s="175" t="str">
        <f>IFERROR(SUMIFS('caseload data'!Q:Q,'caseload data'!$C:$C,'custody %'!$T$29,'caseload data'!$D:$D,"TPO",'caseload data'!$B:$B,"custody")/SUMIFS('caseload data'!Q:Q,'caseload data'!$B:$B,"custody",'caseload data'!$C:$C,'custody %'!$T$29),"")</f>
        <v/>
      </c>
      <c r="AH33" s="175" t="str">
        <f>IFERROR(SUMIFS('caseload data'!R:R,'caseload data'!$C:$C,'custody %'!$T$29,'caseload data'!$D:$D,"TPO",'caseload data'!$B:$B,"custody")/SUMIFS('caseload data'!R:R,'caseload data'!$B:$B,"custody",'caseload data'!$C:$C,'custody %'!$T$29),"")</f>
        <v/>
      </c>
      <c r="AI33" s="175"/>
      <c r="AJ33" s="175"/>
    </row>
    <row r="34" spans="2:36" x14ac:dyDescent="0.15">
      <c r="B34" s="102" t="s">
        <v>1174</v>
      </c>
      <c r="C34" s="175" t="str">
        <f>IFERROR(SUMIFS('caseload data'!E:E,'caseload data'!$C:$C,'custody %'!$B$29,'caseload data'!$D:$D,"SPO",'caseload data'!$B:$B,"custody")/SUMIFS('caseload data'!E:E,'caseload data'!$B:$B,"custody",'caseload data'!$C:$C,'custody %'!$B$29),"")</f>
        <v/>
      </c>
      <c r="D34" s="175" t="str">
        <f>IFERROR(SUMIFS('caseload data'!F:F,'caseload data'!$C:$C,'custody %'!$B$29,'caseload data'!$D:$D,"SPO",'caseload data'!$B:$B,"custody")/SUMIFS('caseload data'!F:F,'caseload data'!$B:$B,"custody",'caseload data'!$C:$C,'custody %'!$B$29),"")</f>
        <v/>
      </c>
      <c r="E34" s="175" t="str">
        <f>IFERROR(SUMIFS('caseload data'!G:G,'caseload data'!$C:$C,'custody %'!$B$29,'caseload data'!$D:$D,"SPO",'caseload data'!$B:$B,"custody")/SUMIFS('caseload data'!G:G,'caseload data'!$B:$B,"custody",'caseload data'!$C:$C,'custody %'!$B$29),"")</f>
        <v/>
      </c>
      <c r="F34" s="175" t="str">
        <f>IFERROR(SUMIFS('caseload data'!H:H,'caseload data'!$C:$C,'custody %'!$B$29,'caseload data'!$D:$D,"SPO",'caseload data'!$B:$B,"custody")/SUMIFS('caseload data'!H:H,'caseload data'!$B:$B,"custody",'caseload data'!$C:$C,'custody %'!$B$29),"")</f>
        <v/>
      </c>
      <c r="G34" s="175" t="str">
        <f>IFERROR(SUMIFS('caseload data'!I:I,'caseload data'!$C:$C,'custody %'!$B$29,'caseload data'!$D:$D,"SPO",'caseload data'!$B:$B,"custody")/SUMIFS('caseload data'!I:I,'caseload data'!$B:$B,"custody",'caseload data'!$C:$C,'custody %'!$B$29),"")</f>
        <v/>
      </c>
      <c r="H34" s="175" t="str">
        <f>IFERROR(SUMIFS('caseload data'!J:J,'caseload data'!$C:$C,'custody %'!$B$29,'caseload data'!$D:$D,"SPO",'caseload data'!$B:$B,"custody")/SUMIFS('caseload data'!J:J,'caseload data'!$B:$B,"custody",'caseload data'!$C:$C,'custody %'!$B$29),"")</f>
        <v/>
      </c>
      <c r="I34" s="175" t="str">
        <f>IFERROR(SUMIFS('caseload data'!K:K,'caseload data'!$C:$C,'custody %'!$B$29,'caseload data'!$D:$D,"SPO",'caseload data'!$B:$B,"custody")/SUMIFS('caseload data'!K:K,'caseload data'!$B:$B,"custody",'caseload data'!$C:$C,'custody %'!$B$29),"")</f>
        <v/>
      </c>
      <c r="J34" s="175" t="str">
        <f>IFERROR(SUMIFS('caseload data'!L:L,'caseload data'!$C:$C,'custody %'!$B$29,'caseload data'!$D:$D,"SPO",'caseload data'!$B:$B,"custody")/SUMIFS('caseload data'!L:L,'caseload data'!$B:$B,"custody",'caseload data'!$C:$C,'custody %'!$B$29),"")</f>
        <v/>
      </c>
      <c r="K34" s="175" t="str">
        <f>IFERROR(SUMIFS('caseload data'!M:M,'caseload data'!$C:$C,'custody %'!$B$29,'caseload data'!$D:$D,"SPO",'caseload data'!$B:$B,"custody")/SUMIFS('caseload data'!M:M,'caseload data'!$B:$B,"custody",'caseload data'!$C:$C,'custody %'!$B$29),"")</f>
        <v/>
      </c>
      <c r="L34" s="175" t="str">
        <f>IFERROR(SUMIFS('caseload data'!N:N,'caseload data'!$C:$C,'custody %'!$B$29,'caseload data'!$D:$D,"SPO",'caseload data'!$B:$B,"custody")/SUMIFS('caseload data'!N:N,'caseload data'!$B:$B,"custody",'caseload data'!$C:$C,'custody %'!$B$29),"")</f>
        <v/>
      </c>
      <c r="M34" s="175" t="str">
        <f>IFERROR(SUMIFS('caseload data'!O:O,'caseload data'!$C:$C,'custody %'!$B$29,'caseload data'!$D:$D,"SPO",'caseload data'!$B:$B,"custody")/SUMIFS('caseload data'!O:O,'caseload data'!$B:$B,"custody",'caseload data'!$C:$C,'custody %'!$B$29),"")</f>
        <v/>
      </c>
      <c r="N34" s="175" t="str">
        <f>IFERROR(SUMIFS('caseload data'!P:P,'caseload data'!$C:$C,'custody %'!$B$29,'caseload data'!$D:$D,"SPO",'caseload data'!$B:$B,"custody")/SUMIFS('caseload data'!P:P,'caseload data'!$B:$B,"custody",'caseload data'!$C:$C,'custody %'!$B$29),"")</f>
        <v/>
      </c>
      <c r="O34" s="175" t="str">
        <f>IFERROR(SUMIFS('caseload data'!Q:Q,'caseload data'!$C:$C,'custody %'!$B$29,'caseload data'!$D:$D,"SPO",'caseload data'!$B:$B,"custody")/SUMIFS('caseload data'!Q:Q,'caseload data'!$B:$B,"custody",'caseload data'!$C:$C,'custody %'!$B$29),"")</f>
        <v/>
      </c>
      <c r="P34" s="175" t="str">
        <f>IFERROR(SUMIFS('caseload data'!R:R,'caseload data'!$C:$C,'custody %'!$B$29,'caseload data'!$D:$D,"SPO",'caseload data'!$B:$B,"custody")/SUMIFS('caseload data'!R:R,'caseload data'!$B:$B,"custody",'caseload data'!$C:$C,'custody %'!$B$29),"")</f>
        <v/>
      </c>
      <c r="Q34" s="175" t="str">
        <f>IFERROR(SUMIFS('caseload data'!S:S,'caseload data'!$C:$C,'custody %'!$B$29,'caseload data'!$D:$D,"SPO",'caseload data'!$B:$B,"custody")/SUMIFS('caseload data'!S:S,'caseload data'!$B:$B,"custody",'caseload data'!$C:$C,'custody %'!$B$29),"")</f>
        <v/>
      </c>
      <c r="R34" s="175" t="str">
        <f>IFERROR(SUMIFS('caseload data'!T:T,'caseload data'!$C:$C,'custody %'!$B$29,'caseload data'!$D:$D,"SPO",'caseload data'!$B:$B,"custody")/SUMIFS('caseload data'!T:T,'caseload data'!$B:$B,"custody",'caseload data'!$C:$C,'custody %'!$B$29),"")</f>
        <v/>
      </c>
      <c r="S34" s="68"/>
      <c r="T34" s="102" t="s">
        <v>1174</v>
      </c>
      <c r="U34" s="175" t="str">
        <f>IFERROR(SUMIFS('caseload data'!E:E,'caseload data'!$C:$C,'custody %'!$T$29,'caseload data'!$D:$D,"SPO",'caseload data'!$B:$B,"custody")/SUMIFS('caseload data'!E:E,'caseload data'!$B:$B,"custody",'caseload data'!$C:$C,'custody %'!$T$29),"")</f>
        <v/>
      </c>
      <c r="V34" s="175" t="str">
        <f>IFERROR(SUMIFS('caseload data'!F:F,'caseload data'!$C:$C,'custody %'!$T$29,'caseload data'!$D:$D,"SPO",'caseload data'!$B:$B,"custody")/SUMIFS('caseload data'!F:F,'caseload data'!$B:$B,"custody",'caseload data'!$C:$C,'custody %'!$T$29),"")</f>
        <v/>
      </c>
      <c r="W34" s="175" t="str">
        <f>IFERROR(SUMIFS('caseload data'!G:G,'caseload data'!$C:$C,'custody %'!$T$29,'caseload data'!$D:$D,"SPO",'caseload data'!$B:$B,"custody")/SUMIFS('caseload data'!G:G,'caseload data'!$B:$B,"custody",'caseload data'!$C:$C,'custody %'!$T$29),"")</f>
        <v/>
      </c>
      <c r="X34" s="175" t="str">
        <f>IFERROR(SUMIFS('caseload data'!H:H,'caseload data'!$C:$C,'custody %'!$T$29,'caseload data'!$D:$D,"SPO",'caseload data'!$B:$B,"custody")/SUMIFS('caseload data'!H:H,'caseload data'!$B:$B,"custody",'caseload data'!$C:$C,'custody %'!$T$29),"")</f>
        <v/>
      </c>
      <c r="Y34" s="175" t="str">
        <f>IFERROR(SUMIFS('caseload data'!I:I,'caseload data'!$C:$C,'custody %'!$T$29,'caseload data'!$D:$D,"SPO",'caseload data'!$B:$B,"custody")/SUMIFS('caseload data'!I:I,'caseload data'!$B:$B,"custody",'caseload data'!$C:$C,'custody %'!$T$29),"")</f>
        <v/>
      </c>
      <c r="Z34" s="175" t="str">
        <f>IFERROR(SUMIFS('caseload data'!J:J,'caseload data'!$C:$C,'custody %'!$T$29,'caseload data'!$D:$D,"SPO",'caseload data'!$B:$B,"custody")/SUMIFS('caseload data'!J:J,'caseload data'!$B:$B,"custody",'caseload data'!$C:$C,'custody %'!$T$29),"")</f>
        <v/>
      </c>
      <c r="AA34" s="175" t="str">
        <f>IFERROR(SUMIFS('caseload data'!K:K,'caseload data'!$C:$C,'custody %'!$T$29,'caseload data'!$D:$D,"SPO",'caseload data'!$B:$B,"custody")/SUMIFS('caseload data'!K:K,'caseload data'!$B:$B,"custody",'caseload data'!$C:$C,'custody %'!$T$29),"")</f>
        <v/>
      </c>
      <c r="AB34" s="175" t="str">
        <f>IFERROR(SUMIFS('caseload data'!L:L,'caseload data'!$C:$C,'custody %'!$T$29,'caseload data'!$D:$D,"SPO",'caseload data'!$B:$B,"custody")/SUMIFS('caseload data'!L:L,'caseload data'!$B:$B,"custody",'caseload data'!$C:$C,'custody %'!$T$29),"")</f>
        <v/>
      </c>
      <c r="AC34" s="175" t="str">
        <f>IFERROR(SUMIFS('caseload data'!M:M,'caseload data'!$C:$C,'custody %'!$T$29,'caseload data'!$D:$D,"SPO",'caseload data'!$B:$B,"custody")/SUMIFS('caseload data'!M:M,'caseload data'!$B:$B,"custody",'caseload data'!$C:$C,'custody %'!$T$29),"")</f>
        <v/>
      </c>
      <c r="AD34" s="175" t="str">
        <f>IFERROR(SUMIFS('caseload data'!N:N,'caseload data'!$C:$C,'custody %'!$T$29,'caseload data'!$D:$D,"SPO",'caseload data'!$B:$B,"custody")/SUMIFS('caseload data'!N:N,'caseload data'!$B:$B,"custody",'caseload data'!$C:$C,'custody %'!$T$29),"")</f>
        <v/>
      </c>
      <c r="AE34" s="175" t="str">
        <f>IFERROR(SUMIFS('caseload data'!O:O,'caseload data'!$C:$C,'custody %'!$T$29,'caseload data'!$D:$D,"SPO",'caseload data'!$B:$B,"custody")/SUMIFS('caseload data'!O:O,'caseload data'!$B:$B,"custody",'caseload data'!$C:$C,'custody %'!$T$29),"")</f>
        <v/>
      </c>
      <c r="AF34" s="175" t="str">
        <f>IFERROR(SUMIFS('caseload data'!P:P,'caseload data'!$C:$C,'custody %'!$T$29,'caseload data'!$D:$D,"SPO",'caseload data'!$B:$B,"custody")/SUMIFS('caseload data'!P:P,'caseload data'!$B:$B,"custody",'caseload data'!$C:$C,'custody %'!$T$29),"")</f>
        <v/>
      </c>
      <c r="AG34" s="175" t="str">
        <f>IFERROR(SUMIFS('caseload data'!Q:Q,'caseload data'!$C:$C,'custody %'!$T$29,'caseload data'!$D:$D,"SPO",'caseload data'!$B:$B,"custody")/SUMIFS('caseload data'!Q:Q,'caseload data'!$B:$B,"custody",'caseload data'!$C:$C,'custody %'!$T$29),"")</f>
        <v/>
      </c>
      <c r="AH34" s="175" t="str">
        <f>IFERROR(SUMIFS('caseload data'!R:R,'caseload data'!$C:$C,'custody %'!$T$29,'caseload data'!$D:$D,"SPO",'caseload data'!$B:$B,"custody")/SUMIFS('caseload data'!R:R,'caseload data'!$B:$B,"custody",'caseload data'!$C:$C,'custody %'!$T$29),"")</f>
        <v/>
      </c>
      <c r="AI34" s="175"/>
      <c r="AJ34" s="175"/>
    </row>
    <row r="35" spans="2:36" x14ac:dyDescent="0.15">
      <c r="B35" s="95"/>
      <c r="C35" s="68"/>
      <c r="D35" s="68"/>
      <c r="E35" s="68"/>
      <c r="F35" s="68"/>
      <c r="G35" s="68"/>
      <c r="H35" s="68"/>
      <c r="I35" s="68"/>
      <c r="J35" s="68"/>
      <c r="K35" s="68"/>
      <c r="L35" s="68"/>
      <c r="M35" s="68"/>
      <c r="N35" s="68"/>
      <c r="O35" s="68"/>
      <c r="P35" s="68"/>
      <c r="Q35" s="68"/>
      <c r="R35" s="68"/>
      <c r="S35" s="68"/>
      <c r="T35" s="95"/>
      <c r="U35" s="68"/>
      <c r="V35" s="68"/>
      <c r="W35" s="68"/>
      <c r="X35" s="68"/>
      <c r="Y35" s="68"/>
      <c r="Z35" s="68"/>
      <c r="AA35" s="68"/>
      <c r="AB35" s="68"/>
      <c r="AC35" s="68"/>
      <c r="AD35" s="68"/>
      <c r="AE35" s="68"/>
      <c r="AF35" s="68"/>
      <c r="AG35" s="68"/>
      <c r="AH35" s="68"/>
    </row>
    <row r="36" spans="2:36" ht="27.75" customHeight="1" x14ac:dyDescent="0.15">
      <c r="B36" s="302" t="str">
        <f>HLOOKUP($B$5,Region_Table,10,0)</f>
        <v>Greenwich and Bexley</v>
      </c>
      <c r="C36" s="467" t="s">
        <v>1305</v>
      </c>
      <c r="D36" s="468"/>
      <c r="E36" s="468"/>
      <c r="F36" s="468"/>
      <c r="G36" s="468"/>
      <c r="H36" s="468"/>
      <c r="I36" s="468"/>
      <c r="J36" s="468"/>
      <c r="K36" s="468"/>
      <c r="L36" s="468"/>
      <c r="M36" s="487"/>
      <c r="N36" s="487"/>
      <c r="O36" s="488"/>
      <c r="P36" s="462">
        <f>SUMIF('caseload data'!$C:$C,'custody %'!B36,'caseload data'!V:V)</f>
        <v>0</v>
      </c>
      <c r="Q36" s="479"/>
      <c r="R36" s="480"/>
      <c r="S36" s="68"/>
      <c r="T36" s="302" t="str">
        <f>HLOOKUP($B$5,Region_Table,11,0)</f>
        <v>Hackney and City</v>
      </c>
      <c r="U36" s="467" t="s">
        <v>1305</v>
      </c>
      <c r="V36" s="468"/>
      <c r="W36" s="468"/>
      <c r="X36" s="468"/>
      <c r="Y36" s="468"/>
      <c r="Z36" s="468"/>
      <c r="AA36" s="468"/>
      <c r="AB36" s="468"/>
      <c r="AC36" s="487"/>
      <c r="AD36" s="487"/>
      <c r="AE36" s="488"/>
      <c r="AF36" s="462">
        <f>SUMIF('caseload data'!$C:$C,'custody %'!T36,'caseload data'!V:V)</f>
        <v>0</v>
      </c>
      <c r="AG36" s="479"/>
      <c r="AH36" s="480"/>
    </row>
    <row r="37" spans="2:36" x14ac:dyDescent="0.15">
      <c r="B37" s="99" t="s">
        <v>1170</v>
      </c>
      <c r="C37" s="40" t="s">
        <v>1022</v>
      </c>
      <c r="D37" s="40" t="s">
        <v>1023</v>
      </c>
      <c r="E37" s="40" t="s">
        <v>1024</v>
      </c>
      <c r="F37" s="40" t="s">
        <v>1025</v>
      </c>
      <c r="G37" s="40" t="s">
        <v>1026</v>
      </c>
      <c r="H37" s="40" t="s">
        <v>1027</v>
      </c>
      <c r="I37" s="40" t="s">
        <v>1028</v>
      </c>
      <c r="J37" s="40" t="s">
        <v>1029</v>
      </c>
      <c r="K37" s="40" t="s">
        <v>1030</v>
      </c>
      <c r="L37" s="40" t="s">
        <v>1031</v>
      </c>
      <c r="M37" s="40" t="s">
        <v>1032</v>
      </c>
      <c r="N37" s="40" t="s">
        <v>1033</v>
      </c>
      <c r="O37" s="40" t="s">
        <v>1034</v>
      </c>
      <c r="P37" s="40" t="s">
        <v>1035</v>
      </c>
      <c r="Q37" s="40" t="s">
        <v>1036</v>
      </c>
      <c r="R37" s="40" t="s">
        <v>1037</v>
      </c>
      <c r="S37" s="68"/>
      <c r="T37" s="99" t="s">
        <v>1170</v>
      </c>
      <c r="U37" s="40" t="s">
        <v>1022</v>
      </c>
      <c r="V37" s="40" t="s">
        <v>1023</v>
      </c>
      <c r="W37" s="40" t="s">
        <v>1024</v>
      </c>
      <c r="X37" s="40" t="s">
        <v>1025</v>
      </c>
      <c r="Y37" s="40" t="s">
        <v>1026</v>
      </c>
      <c r="Z37" s="40" t="s">
        <v>1027</v>
      </c>
      <c r="AA37" s="40" t="s">
        <v>1028</v>
      </c>
      <c r="AB37" s="40" t="s">
        <v>1029</v>
      </c>
      <c r="AC37" s="40" t="s">
        <v>1030</v>
      </c>
      <c r="AD37" s="40" t="s">
        <v>1031</v>
      </c>
      <c r="AE37" s="40" t="s">
        <v>1032</v>
      </c>
      <c r="AF37" s="40" t="s">
        <v>1033</v>
      </c>
      <c r="AG37" s="40" t="s">
        <v>1034</v>
      </c>
      <c r="AH37" s="40" t="s">
        <v>1035</v>
      </c>
      <c r="AI37" s="40" t="s">
        <v>1036</v>
      </c>
      <c r="AJ37" s="40" t="s">
        <v>1037</v>
      </c>
    </row>
    <row r="38" spans="2:36" x14ac:dyDescent="0.15">
      <c r="B38" s="100" t="s">
        <v>1166</v>
      </c>
      <c r="C38" s="175" t="str">
        <f>IFERROR(SUMIFS('caseload data'!E:E,'caseload data'!$C:$C,'custody %'!$B$36,'caseload data'!$D:$D,"PO",'caseload data'!$B:$B,"custody")/SUMIFS('caseload data'!E:E,'caseload data'!$B:$B,"custody",'caseload data'!$C:$C,'custody %'!$B$36),"")</f>
        <v/>
      </c>
      <c r="D38" s="175" t="str">
        <f>IFERROR(SUMIFS('caseload data'!F:F,'caseload data'!$C:$C,'custody %'!$B$36,'caseload data'!$D:$D,"PO",'caseload data'!$B:$B,"custody")/SUMIFS('caseload data'!F:F,'caseload data'!$B:$B,"custody",'caseload data'!$C:$C,'custody %'!$B$36),"")</f>
        <v/>
      </c>
      <c r="E38" s="175" t="str">
        <f>IFERROR(SUMIFS('caseload data'!G:G,'caseload data'!$C:$C,'custody %'!$B$36,'caseload data'!$D:$D,"PO",'caseload data'!$B:$B,"custody")/SUMIFS('caseload data'!G:G,'caseload data'!$B:$B,"custody",'caseload data'!$C:$C,'custody %'!$B$36),"")</f>
        <v/>
      </c>
      <c r="F38" s="175" t="str">
        <f>IFERROR(SUMIFS('caseload data'!H:H,'caseload data'!$C:$C,'custody %'!$B$36,'caseload data'!$D:$D,"PO",'caseload data'!$B:$B,"custody")/SUMIFS('caseload data'!H:H,'caseload data'!$B:$B,"custody",'caseload data'!$C:$C,'custody %'!$B$36),"")</f>
        <v/>
      </c>
      <c r="G38" s="175" t="str">
        <f>IFERROR(SUMIFS('caseload data'!I:I,'caseload data'!$C:$C,'custody %'!$B$36,'caseload data'!$D:$D,"PO",'caseload data'!$B:$B,"custody")/SUMIFS('caseload data'!I:I,'caseload data'!$B:$B,"custody",'caseload data'!$C:$C,'custody %'!$B$36),"")</f>
        <v/>
      </c>
      <c r="H38" s="175" t="str">
        <f>IFERROR(SUMIFS('caseload data'!J:J,'caseload data'!$C:$C,'custody %'!$B$36,'caseload data'!$D:$D,"PO",'caseload data'!$B:$B,"custody")/SUMIFS('caseload data'!J:J,'caseload data'!$B:$B,"custody",'caseload data'!$C:$C,'custody %'!$B$36),"")</f>
        <v/>
      </c>
      <c r="I38" s="175" t="str">
        <f>IFERROR(SUMIFS('caseload data'!K:K,'caseload data'!$C:$C,'custody %'!$B$36,'caseload data'!$D:$D,"PO",'caseload data'!$B:$B,"custody")/SUMIFS('caseload data'!K:K,'caseload data'!$B:$B,"custody",'caseload data'!$C:$C,'custody %'!$B$36),"")</f>
        <v/>
      </c>
      <c r="J38" s="175" t="str">
        <f>IFERROR(SUMIFS('caseload data'!L:L,'caseload data'!$C:$C,'custody %'!$B$36,'caseload data'!$D:$D,"PO",'caseload data'!$B:$B,"custody")/SUMIFS('caseload data'!L:L,'caseload data'!$B:$B,"custody",'caseload data'!$C:$C,'custody %'!$B$36),"")</f>
        <v/>
      </c>
      <c r="K38" s="175" t="str">
        <f>IFERROR(SUMIFS('caseload data'!M:M,'caseload data'!$C:$C,'custody %'!$B$36,'caseload data'!$D:$D,"PO",'caseload data'!$B:$B,"custody")/SUMIFS('caseload data'!M:M,'caseload data'!$B:$B,"custody",'caseload data'!$C:$C,'custody %'!$B$36),"")</f>
        <v/>
      </c>
      <c r="L38" s="175" t="str">
        <f>IFERROR(SUMIFS('caseload data'!N:N,'caseload data'!$C:$C,'custody %'!$B$36,'caseload data'!$D:$D,"PO",'caseload data'!$B:$B,"custody")/SUMIFS('caseload data'!N:N,'caseload data'!$B:$B,"custody",'caseload data'!$C:$C,'custody %'!$B$36),"")</f>
        <v/>
      </c>
      <c r="M38" s="175" t="str">
        <f>IFERROR(SUMIFS('caseload data'!O:O,'caseload data'!$C:$C,'custody %'!$B$36,'caseload data'!$D:$D,"PO",'caseload data'!$B:$B,"custody")/SUMIFS('caseload data'!O:O,'caseload data'!$B:$B,"custody",'caseload data'!$C:$C,'custody %'!$B$36),"")</f>
        <v/>
      </c>
      <c r="N38" s="175" t="str">
        <f>IFERROR(SUMIFS('caseload data'!P:P,'caseload data'!$C:$C,'custody %'!$B$36,'caseload data'!$D:$D,"PO",'caseload data'!$B:$B,"custody")/SUMIFS('caseload data'!P:P,'caseload data'!$B:$B,"custody",'caseload data'!$C:$C,'custody %'!$B$36),"")</f>
        <v/>
      </c>
      <c r="O38" s="175" t="str">
        <f>IFERROR(SUMIFS('caseload data'!Q:Q,'caseload data'!$C:$C,'custody %'!$B$36,'caseload data'!$D:$D,"PO",'caseload data'!$B:$B,"custody")/SUMIFS('caseload data'!Q:Q,'caseload data'!$B:$B,"custody",'caseload data'!$C:$C,'custody %'!$B$36),"")</f>
        <v/>
      </c>
      <c r="P38" s="175" t="str">
        <f>IFERROR(SUMIFS('caseload data'!R:R,'caseload data'!$C:$C,'custody %'!$B$36,'caseload data'!$D:$D,"PO",'caseload data'!$B:$B,"custody")/SUMIFS('caseload data'!R:R,'caseload data'!$B:$B,"custody",'caseload data'!$C:$C,'custody %'!$B$36),"")</f>
        <v/>
      </c>
      <c r="Q38" s="175" t="str">
        <f>IFERROR(SUMIFS('caseload data'!S:S,'caseload data'!$C:$C,'custody %'!$B$36,'caseload data'!$D:$D,"PO",'caseload data'!$B:$B,"custody")/SUMIFS('caseload data'!S:S,'caseload data'!$B:$B,"custody",'caseload data'!$C:$C,'custody %'!$B$36),"")</f>
        <v/>
      </c>
      <c r="R38" s="175" t="str">
        <f>IFERROR(SUMIFS('caseload data'!T:T,'caseload data'!$C:$C,'custody %'!$B$36,'caseload data'!$D:$D,"PO",'caseload data'!$B:$B,"custody")/SUMIFS('caseload data'!T:T,'caseload data'!$B:$B,"custody",'caseload data'!$C:$C,'custody %'!$B$36),"")</f>
        <v/>
      </c>
      <c r="S38" s="68"/>
      <c r="T38" s="100" t="s">
        <v>1166</v>
      </c>
      <c r="U38" s="175" t="str">
        <f>IFERROR(SUMIFS('caseload data'!E:E,'caseload data'!$C:$C,'custody %'!$T$36,'caseload data'!$D:$D,"PO",'caseload data'!$B:$B,"custody")/SUMIFS('caseload data'!E:E,'caseload data'!$B:$B,"custody",'caseload data'!$C:$C,'custody %'!$T$36),"")</f>
        <v/>
      </c>
      <c r="V38" s="175" t="str">
        <f>IFERROR(SUMIFS('caseload data'!F:F,'caseload data'!$C:$C,'custody %'!$T$36,'caseload data'!$D:$D,"PO",'caseload data'!$B:$B,"custody")/SUMIFS('caseload data'!F:F,'caseload data'!$B:$B,"custody",'caseload data'!$C:$C,'custody %'!$T$36),"")</f>
        <v/>
      </c>
      <c r="W38" s="175" t="str">
        <f>IFERROR(SUMIFS('caseload data'!G:G,'caseload data'!$C:$C,'custody %'!$T$36,'caseload data'!$D:$D,"PO",'caseload data'!$B:$B,"custody")/SUMIFS('caseload data'!G:G,'caseload data'!$B:$B,"custody",'caseload data'!$C:$C,'custody %'!$T$36),"")</f>
        <v/>
      </c>
      <c r="X38" s="175" t="str">
        <f>IFERROR(SUMIFS('caseload data'!H:H,'caseload data'!$C:$C,'custody %'!$T$36,'caseload data'!$D:$D,"PO",'caseload data'!$B:$B,"custody")/SUMIFS('caseload data'!H:H,'caseload data'!$B:$B,"custody",'caseload data'!$C:$C,'custody %'!$T$36),"")</f>
        <v/>
      </c>
      <c r="Y38" s="175" t="str">
        <f>IFERROR(SUMIFS('caseload data'!I:I,'caseload data'!$C:$C,'custody %'!$T$36,'caseload data'!$D:$D,"PO",'caseload data'!$B:$B,"custody")/SUMIFS('caseload data'!I:I,'caseload data'!$B:$B,"custody",'caseload data'!$C:$C,'custody %'!$T$36),"")</f>
        <v/>
      </c>
      <c r="Z38" s="175" t="str">
        <f>IFERROR(SUMIFS('caseload data'!J:J,'caseload data'!$C:$C,'custody %'!$T$36,'caseload data'!$D:$D,"PO",'caseload data'!$B:$B,"custody")/SUMIFS('caseload data'!J:J,'caseload data'!$B:$B,"custody",'caseload data'!$C:$C,'custody %'!$T$36),"")</f>
        <v/>
      </c>
      <c r="AA38" s="175" t="str">
        <f>IFERROR(SUMIFS('caseload data'!K:K,'caseload data'!$C:$C,'custody %'!$T$36,'caseload data'!$D:$D,"PO",'caseload data'!$B:$B,"custody")/SUMIFS('caseload data'!K:K,'caseload data'!$B:$B,"custody",'caseload data'!$C:$C,'custody %'!$T$36),"")</f>
        <v/>
      </c>
      <c r="AB38" s="175" t="str">
        <f>IFERROR(SUMIFS('caseload data'!L:L,'caseload data'!$C:$C,'custody %'!$T$36,'caseload data'!$D:$D,"PO",'caseload data'!$B:$B,"custody")/SUMIFS('caseload data'!L:L,'caseload data'!$B:$B,"custody",'caseload data'!$C:$C,'custody %'!$T$36),"")</f>
        <v/>
      </c>
      <c r="AC38" s="175" t="str">
        <f>IFERROR(SUMIFS('caseload data'!M:M,'caseload data'!$C:$C,'custody %'!$T$36,'caseload data'!$D:$D,"PO",'caseload data'!$B:$B,"custody")/SUMIFS('caseload data'!M:M,'caseload data'!$B:$B,"custody",'caseload data'!$C:$C,'custody %'!$T$36),"")</f>
        <v/>
      </c>
      <c r="AD38" s="175" t="str">
        <f>IFERROR(SUMIFS('caseload data'!N:N,'caseload data'!$C:$C,'custody %'!$T$36,'caseload data'!$D:$D,"PO",'caseload data'!$B:$B,"custody")/SUMIFS('caseload data'!N:N,'caseload data'!$B:$B,"custody",'caseload data'!$C:$C,'custody %'!$T$36),"")</f>
        <v/>
      </c>
      <c r="AE38" s="175" t="str">
        <f>IFERROR(SUMIFS('caseload data'!O:O,'caseload data'!$C:$C,'custody %'!$T$36,'caseload data'!$D:$D,"PO",'caseload data'!$B:$B,"custody")/SUMIFS('caseload data'!O:O,'caseload data'!$B:$B,"custody",'caseload data'!$C:$C,'custody %'!$T$36),"")</f>
        <v/>
      </c>
      <c r="AF38" s="175" t="str">
        <f>IFERROR(SUMIFS('caseload data'!P:P,'caseload data'!$C:$C,'custody %'!$T$36,'caseload data'!$D:$D,"PO",'caseload data'!$B:$B,"custody")/SUMIFS('caseload data'!P:P,'caseload data'!$B:$B,"custody",'caseload data'!$C:$C,'custody %'!$T$36),"")</f>
        <v/>
      </c>
      <c r="AG38" s="175" t="str">
        <f>IFERROR(SUMIFS('caseload data'!Q:Q,'caseload data'!$C:$C,'custody %'!$T$36,'caseload data'!$D:$D,"PO",'caseload data'!$B:$B,"custody")/SUMIFS('caseload data'!Q:Q,'caseload data'!$B:$B,"custody",'caseload data'!$C:$C,'custody %'!$T$36),"")</f>
        <v/>
      </c>
      <c r="AH38" s="175" t="str">
        <f>IFERROR(SUMIFS('caseload data'!R:R,'caseload data'!$C:$C,'custody %'!$T$36,'caseload data'!$D:$D,"PO",'caseload data'!$B:$B,"custody")/SUMIFS('caseload data'!R:R,'caseload data'!$B:$B,"custody",'caseload data'!$C:$C,'custody %'!$T$36),"")</f>
        <v/>
      </c>
      <c r="AI38" s="175"/>
      <c r="AJ38" s="175"/>
    </row>
    <row r="39" spans="2:36" x14ac:dyDescent="0.15">
      <c r="B39" s="101" t="s">
        <v>1172</v>
      </c>
      <c r="C39" s="175" t="str">
        <f>IFERROR(SUMIFS('caseload data'!E:E,'caseload data'!$C:$C,'custody %'!$B$36,'caseload data'!$D:$D,"PSO",'caseload data'!$B:$B,"custody")/SUMIFS('caseload data'!E:E,'caseload data'!$B:$B,"custody",'caseload data'!$C:$C,'custody %'!$B$36),"")</f>
        <v/>
      </c>
      <c r="D39" s="175" t="str">
        <f>IFERROR(SUMIFS('caseload data'!F:F,'caseload data'!$C:$C,'custody %'!$B$36,'caseload data'!$D:$D,"PSO",'caseload data'!$B:$B,"custody")/SUMIFS('caseload data'!F:F,'caseload data'!$B:$B,"custody",'caseload data'!$C:$C,'custody %'!$B$36),"")</f>
        <v/>
      </c>
      <c r="E39" s="175" t="str">
        <f>IFERROR(SUMIFS('caseload data'!G:G,'caseload data'!$C:$C,'custody %'!$B$36,'caseload data'!$D:$D,"PSO",'caseload data'!$B:$B,"custody")/SUMIFS('caseload data'!G:G,'caseload data'!$B:$B,"custody",'caseload data'!$C:$C,'custody %'!$B$36),"")</f>
        <v/>
      </c>
      <c r="F39" s="175" t="str">
        <f>IFERROR(SUMIFS('caseload data'!H:H,'caseload data'!$C:$C,'custody %'!$B$36,'caseload data'!$D:$D,"PSO",'caseload data'!$B:$B,"custody")/SUMIFS('caseload data'!H:H,'caseload data'!$B:$B,"custody",'caseload data'!$C:$C,'custody %'!$B$36),"")</f>
        <v/>
      </c>
      <c r="G39" s="175" t="str">
        <f>IFERROR(SUMIFS('caseload data'!I:I,'caseload data'!$C:$C,'custody %'!$B$36,'caseload data'!$D:$D,"PSO",'caseload data'!$B:$B,"custody")/SUMIFS('caseload data'!I:I,'caseload data'!$B:$B,"custody",'caseload data'!$C:$C,'custody %'!$B$36),"")</f>
        <v/>
      </c>
      <c r="H39" s="175" t="str">
        <f>IFERROR(SUMIFS('caseload data'!J:J,'caseload data'!$C:$C,'custody %'!$B$36,'caseload data'!$D:$D,"PSO",'caseload data'!$B:$B,"custody")/SUMIFS('caseload data'!J:J,'caseload data'!$B:$B,"custody",'caseload data'!$C:$C,'custody %'!$B$36),"")</f>
        <v/>
      </c>
      <c r="I39" s="175" t="str">
        <f>IFERROR(SUMIFS('caseload data'!K:K,'caseload data'!$C:$C,'custody %'!$B$36,'caseload data'!$D:$D,"PSO",'caseload data'!$B:$B,"custody")/SUMIFS('caseload data'!K:K,'caseload data'!$B:$B,"custody",'caseload data'!$C:$C,'custody %'!$B$36),"")</f>
        <v/>
      </c>
      <c r="J39" s="175" t="str">
        <f>IFERROR(SUMIFS('caseload data'!L:L,'caseload data'!$C:$C,'custody %'!$B$36,'caseload data'!$D:$D,"PSO",'caseload data'!$B:$B,"custody")/SUMIFS('caseload data'!L:L,'caseload data'!$B:$B,"custody",'caseload data'!$C:$C,'custody %'!$B$36),"")</f>
        <v/>
      </c>
      <c r="K39" s="175" t="str">
        <f>IFERROR(SUMIFS('caseload data'!M:M,'caseload data'!$C:$C,'custody %'!$B$36,'caseload data'!$D:$D,"PSO",'caseload data'!$B:$B,"custody")/SUMIFS('caseload data'!M:M,'caseload data'!$B:$B,"custody",'caseload data'!$C:$C,'custody %'!$B$36),"")</f>
        <v/>
      </c>
      <c r="L39" s="175" t="str">
        <f>IFERROR(SUMIFS('caseload data'!N:N,'caseload data'!$C:$C,'custody %'!$B$36,'caseload data'!$D:$D,"PSO",'caseload data'!$B:$B,"custody")/SUMIFS('caseload data'!N:N,'caseload data'!$B:$B,"custody",'caseload data'!$C:$C,'custody %'!$B$36),"")</f>
        <v/>
      </c>
      <c r="M39" s="175" t="str">
        <f>IFERROR(SUMIFS('caseload data'!O:O,'caseload data'!$C:$C,'custody %'!$B$36,'caseload data'!$D:$D,"PSO",'caseload data'!$B:$B,"custody")/SUMIFS('caseload data'!O:O,'caseload data'!$B:$B,"custody",'caseload data'!$C:$C,'custody %'!$B$36),"")</f>
        <v/>
      </c>
      <c r="N39" s="175" t="str">
        <f>IFERROR(SUMIFS('caseload data'!P:P,'caseload data'!$C:$C,'custody %'!$B$36,'caseload data'!$D:$D,"PSO",'caseload data'!$B:$B,"custody")/SUMIFS('caseload data'!P:P,'caseload data'!$B:$B,"custody",'caseload data'!$C:$C,'custody %'!$B$36),"")</f>
        <v/>
      </c>
      <c r="O39" s="175" t="str">
        <f>IFERROR(SUMIFS('caseload data'!Q:Q,'caseload data'!$C:$C,'custody %'!$B$36,'caseload data'!$D:$D,"PSO",'caseload data'!$B:$B,"custody")/SUMIFS('caseload data'!Q:Q,'caseload data'!$B:$B,"custody",'caseload data'!$C:$C,'custody %'!$B$36),"")</f>
        <v/>
      </c>
      <c r="P39" s="175" t="str">
        <f>IFERROR(SUMIFS('caseload data'!R:R,'caseload data'!$C:$C,'custody %'!$B$36,'caseload data'!$D:$D,"PSO",'caseload data'!$B:$B,"custody")/SUMIFS('caseload data'!R:R,'caseload data'!$B:$B,"custody",'caseload data'!$C:$C,'custody %'!$B$36),"")</f>
        <v/>
      </c>
      <c r="Q39" s="175" t="str">
        <f>IFERROR(SUMIFS('caseload data'!S:S,'caseload data'!$C:$C,'custody %'!$B$36,'caseload data'!$D:$D,"PSO",'caseload data'!$B:$B,"custody")/SUMIFS('caseload data'!S:S,'caseload data'!$B:$B,"custody",'caseload data'!$C:$C,'custody %'!$B$36),"")</f>
        <v/>
      </c>
      <c r="R39" s="175" t="str">
        <f>IFERROR(SUMIFS('caseload data'!T:T,'caseload data'!$C:$C,'custody %'!$B$36,'caseload data'!$D:$D,"PSO",'caseload data'!$B:$B,"custody")/SUMIFS('caseload data'!T:T,'caseload data'!$B:$B,"custody",'caseload data'!$C:$C,'custody %'!$B$36),"")</f>
        <v/>
      </c>
      <c r="S39" s="68"/>
      <c r="T39" s="101" t="s">
        <v>1172</v>
      </c>
      <c r="U39" s="175" t="str">
        <f>IFERROR(SUMIFS('caseload data'!E:E,'caseload data'!$C:$C,'custody %'!$T$36,'caseload data'!$D:$D,"PSO",'caseload data'!$B:$B,"custody")/SUMIFS('caseload data'!E:E,'caseload data'!$B:$B,"custody",'caseload data'!$C:$C,'custody %'!$T$36),"")</f>
        <v/>
      </c>
      <c r="V39" s="175" t="str">
        <f>IFERROR(SUMIFS('caseload data'!F:F,'caseload data'!$C:$C,'custody %'!$T$36,'caseload data'!$D:$D,"PSO",'caseload data'!$B:$B,"custody")/SUMIFS('caseload data'!F:F,'caseload data'!$B:$B,"custody",'caseload data'!$C:$C,'custody %'!$T$36),"")</f>
        <v/>
      </c>
      <c r="W39" s="175" t="str">
        <f>IFERROR(SUMIFS('caseload data'!G:G,'caseload data'!$C:$C,'custody %'!$T$36,'caseload data'!$D:$D,"PSO",'caseload data'!$B:$B,"custody")/SUMIFS('caseload data'!G:G,'caseload data'!$B:$B,"custody",'caseload data'!$C:$C,'custody %'!$T$36),"")</f>
        <v/>
      </c>
      <c r="X39" s="175" t="str">
        <f>IFERROR(SUMIFS('caseload data'!H:H,'caseload data'!$C:$C,'custody %'!$T$36,'caseload data'!$D:$D,"PSO",'caseload data'!$B:$B,"custody")/SUMIFS('caseload data'!H:H,'caseload data'!$B:$B,"custody",'caseload data'!$C:$C,'custody %'!$T$36),"")</f>
        <v/>
      </c>
      <c r="Y39" s="175" t="str">
        <f>IFERROR(SUMIFS('caseload data'!I:I,'caseload data'!$C:$C,'custody %'!$T$36,'caseload data'!$D:$D,"PSO",'caseload data'!$B:$B,"custody")/SUMIFS('caseload data'!I:I,'caseload data'!$B:$B,"custody",'caseload data'!$C:$C,'custody %'!$T$36),"")</f>
        <v/>
      </c>
      <c r="Z39" s="175" t="str">
        <f>IFERROR(SUMIFS('caseload data'!J:J,'caseload data'!$C:$C,'custody %'!$T$36,'caseload data'!$D:$D,"PSO",'caseload data'!$B:$B,"custody")/SUMIFS('caseload data'!J:J,'caseload data'!$B:$B,"custody",'caseload data'!$C:$C,'custody %'!$T$36),"")</f>
        <v/>
      </c>
      <c r="AA39" s="175" t="str">
        <f>IFERROR(SUMIFS('caseload data'!K:K,'caseload data'!$C:$C,'custody %'!$T$36,'caseload data'!$D:$D,"PSO",'caseload data'!$B:$B,"custody")/SUMIFS('caseload data'!K:K,'caseload data'!$B:$B,"custody",'caseload data'!$C:$C,'custody %'!$T$36),"")</f>
        <v/>
      </c>
      <c r="AB39" s="175" t="str">
        <f>IFERROR(SUMIFS('caseload data'!L:L,'caseload data'!$C:$C,'custody %'!$T$36,'caseload data'!$D:$D,"PSO",'caseload data'!$B:$B,"custody")/SUMIFS('caseload data'!L:L,'caseload data'!$B:$B,"custody",'caseload data'!$C:$C,'custody %'!$T$36),"")</f>
        <v/>
      </c>
      <c r="AC39" s="175" t="str">
        <f>IFERROR(SUMIFS('caseload data'!M:M,'caseload data'!$C:$C,'custody %'!$T$36,'caseload data'!$D:$D,"PSO",'caseload data'!$B:$B,"custody")/SUMIFS('caseload data'!M:M,'caseload data'!$B:$B,"custody",'caseload data'!$C:$C,'custody %'!$T$36),"")</f>
        <v/>
      </c>
      <c r="AD39" s="175" t="str">
        <f>IFERROR(SUMIFS('caseload data'!N:N,'caseload data'!$C:$C,'custody %'!$T$36,'caseload data'!$D:$D,"PSO",'caseload data'!$B:$B,"custody")/SUMIFS('caseload data'!N:N,'caseload data'!$B:$B,"custody",'caseload data'!$C:$C,'custody %'!$T$36),"")</f>
        <v/>
      </c>
      <c r="AE39" s="175" t="str">
        <f>IFERROR(SUMIFS('caseload data'!O:O,'caseload data'!$C:$C,'custody %'!$T$36,'caseload data'!$D:$D,"PSO",'caseload data'!$B:$B,"custody")/SUMIFS('caseload data'!O:O,'caseload data'!$B:$B,"custody",'caseload data'!$C:$C,'custody %'!$T$36),"")</f>
        <v/>
      </c>
      <c r="AF39" s="175" t="str">
        <f>IFERROR(SUMIFS('caseload data'!P:P,'caseload data'!$C:$C,'custody %'!$T$36,'caseload data'!$D:$D,"PSO",'caseload data'!$B:$B,"custody")/SUMIFS('caseload data'!P:P,'caseload data'!$B:$B,"custody",'caseload data'!$C:$C,'custody %'!$T$36),"")</f>
        <v/>
      </c>
      <c r="AG39" s="175" t="str">
        <f>IFERROR(SUMIFS('caseload data'!Q:Q,'caseload data'!$C:$C,'custody %'!$T$36,'caseload data'!$D:$D,"PSO",'caseload data'!$B:$B,"custody")/SUMIFS('caseload data'!Q:Q,'caseload data'!$B:$B,"custody",'caseload data'!$C:$C,'custody %'!$T$36),"")</f>
        <v/>
      </c>
      <c r="AH39" s="175" t="str">
        <f>IFERROR(SUMIFS('caseload data'!R:R,'caseload data'!$C:$C,'custody %'!$T$36,'caseload data'!$D:$D,"PSO",'caseload data'!$B:$B,"custody")/SUMIFS('caseload data'!R:R,'caseload data'!$B:$B,"custody",'caseload data'!$C:$C,'custody %'!$T$36),"")</f>
        <v/>
      </c>
      <c r="AI39" s="175"/>
      <c r="AJ39" s="175"/>
    </row>
    <row r="40" spans="2:36" x14ac:dyDescent="0.15">
      <c r="B40" s="101" t="s">
        <v>1173</v>
      </c>
      <c r="C40" s="175" t="str">
        <f>IFERROR(SUMIFS('caseload data'!E:E,'caseload data'!$C:$C,'custody %'!$B$36,'caseload data'!$D:$D,"TPO",'caseload data'!$B:$B,"custody")/SUMIFS('caseload data'!E:E,'caseload data'!$B:$B,"custody",'caseload data'!$C:$C,'custody %'!$B$36),"")</f>
        <v/>
      </c>
      <c r="D40" s="175" t="str">
        <f>IFERROR(SUMIFS('caseload data'!F:F,'caseload data'!$C:$C,'custody %'!$B$36,'caseload data'!$D:$D,"TPO",'caseload data'!$B:$B,"custody")/SUMIFS('caseload data'!F:F,'caseload data'!$B:$B,"custody",'caseload data'!$C:$C,'custody %'!$B$36),"")</f>
        <v/>
      </c>
      <c r="E40" s="175" t="str">
        <f>IFERROR(SUMIFS('caseload data'!G:G,'caseload data'!$C:$C,'custody %'!$B$36,'caseload data'!$D:$D,"TPO",'caseload data'!$B:$B,"custody")/SUMIFS('caseload data'!G:G,'caseload data'!$B:$B,"custody",'caseload data'!$C:$C,'custody %'!$B$36),"")</f>
        <v/>
      </c>
      <c r="F40" s="175" t="str">
        <f>IFERROR(SUMIFS('caseload data'!H:H,'caseload data'!$C:$C,'custody %'!$B$36,'caseload data'!$D:$D,"TPO",'caseload data'!$B:$B,"custody")/SUMIFS('caseload data'!H:H,'caseload data'!$B:$B,"custody",'caseload data'!$C:$C,'custody %'!$B$36),"")</f>
        <v/>
      </c>
      <c r="G40" s="175" t="str">
        <f>IFERROR(SUMIFS('caseload data'!I:I,'caseload data'!$C:$C,'custody %'!$B$36,'caseload data'!$D:$D,"TPO",'caseload data'!$B:$B,"custody")/SUMIFS('caseload data'!I:I,'caseload data'!$B:$B,"custody",'caseload data'!$C:$C,'custody %'!$B$36),"")</f>
        <v/>
      </c>
      <c r="H40" s="175" t="str">
        <f>IFERROR(SUMIFS('caseload data'!J:J,'caseload data'!$C:$C,'custody %'!$B$36,'caseload data'!$D:$D,"TPO",'caseload data'!$B:$B,"custody")/SUMIFS('caseload data'!J:J,'caseload data'!$B:$B,"custody",'caseload data'!$C:$C,'custody %'!$B$36),"")</f>
        <v/>
      </c>
      <c r="I40" s="175" t="str">
        <f>IFERROR(SUMIFS('caseload data'!K:K,'caseload data'!$C:$C,'custody %'!$B$36,'caseload data'!$D:$D,"TPO",'caseload data'!$B:$B,"custody")/SUMIFS('caseload data'!K:K,'caseload data'!$B:$B,"custody",'caseload data'!$C:$C,'custody %'!$B$36),"")</f>
        <v/>
      </c>
      <c r="J40" s="175" t="str">
        <f>IFERROR(SUMIFS('caseload data'!L:L,'caseload data'!$C:$C,'custody %'!$B$36,'caseload data'!$D:$D,"TPO",'caseload data'!$B:$B,"custody")/SUMIFS('caseload data'!L:L,'caseload data'!$B:$B,"custody",'caseload data'!$C:$C,'custody %'!$B$36),"")</f>
        <v/>
      </c>
      <c r="K40" s="175" t="str">
        <f>IFERROR(SUMIFS('caseload data'!M:M,'caseload data'!$C:$C,'custody %'!$B$36,'caseload data'!$D:$D,"TPO",'caseload data'!$B:$B,"custody")/SUMIFS('caseload data'!M:M,'caseload data'!$B:$B,"custody",'caseload data'!$C:$C,'custody %'!$B$36),"")</f>
        <v/>
      </c>
      <c r="L40" s="175" t="str">
        <f>IFERROR(SUMIFS('caseload data'!N:N,'caseload data'!$C:$C,'custody %'!$B$36,'caseload data'!$D:$D,"TPO",'caseload data'!$B:$B,"custody")/SUMIFS('caseload data'!N:N,'caseload data'!$B:$B,"custody",'caseload data'!$C:$C,'custody %'!$B$36),"")</f>
        <v/>
      </c>
      <c r="M40" s="175" t="str">
        <f>IFERROR(SUMIFS('caseload data'!O:O,'caseload data'!$C:$C,'custody %'!$B$36,'caseload data'!$D:$D,"TPO",'caseload data'!$B:$B,"custody")/SUMIFS('caseload data'!O:O,'caseload data'!$B:$B,"custody",'caseload data'!$C:$C,'custody %'!$B$36),"")</f>
        <v/>
      </c>
      <c r="N40" s="175" t="str">
        <f>IFERROR(SUMIFS('caseload data'!P:P,'caseload data'!$C:$C,'custody %'!$B$36,'caseload data'!$D:$D,"TPO",'caseload data'!$B:$B,"custody")/SUMIFS('caseload data'!P:P,'caseload data'!$B:$B,"custody",'caseload data'!$C:$C,'custody %'!$B$36),"")</f>
        <v/>
      </c>
      <c r="O40" s="175" t="str">
        <f>IFERROR(SUMIFS('caseload data'!Q:Q,'caseload data'!$C:$C,'custody %'!$B$36,'caseload data'!$D:$D,"TPO",'caseload data'!$B:$B,"custody")/SUMIFS('caseload data'!Q:Q,'caseload data'!$B:$B,"custody",'caseload data'!$C:$C,'custody %'!$B$36),"")</f>
        <v/>
      </c>
      <c r="P40" s="175" t="str">
        <f>IFERROR(SUMIFS('caseload data'!R:R,'caseload data'!$C:$C,'custody %'!$B$36,'caseload data'!$D:$D,"TPO",'caseload data'!$B:$B,"custody")/SUMIFS('caseload data'!R:R,'caseload data'!$B:$B,"custody",'caseload data'!$C:$C,'custody %'!$B$36),"")</f>
        <v/>
      </c>
      <c r="Q40" s="175" t="str">
        <f>IFERROR(SUMIFS('caseload data'!S:S,'caseload data'!$C:$C,'custody %'!$B$36,'caseload data'!$D:$D,"TPO",'caseload data'!$B:$B,"custody")/SUMIFS('caseload data'!S:S,'caseload data'!$B:$B,"custody",'caseload data'!$C:$C,'custody %'!$B$36),"")</f>
        <v/>
      </c>
      <c r="R40" s="175" t="str">
        <f>IFERROR(SUMIFS('caseload data'!T:T,'caseload data'!$C:$C,'custody %'!$B$36,'caseload data'!$D:$D,"TPO",'caseload data'!$B:$B,"custody")/SUMIFS('caseload data'!T:T,'caseload data'!$B:$B,"custody",'caseload data'!$C:$C,'custody %'!$B$36),"")</f>
        <v/>
      </c>
      <c r="S40" s="68"/>
      <c r="T40" s="101" t="s">
        <v>1173</v>
      </c>
      <c r="U40" s="175" t="str">
        <f>IFERROR(SUMIFS('caseload data'!E:E,'caseload data'!$C:$C,'custody %'!$T$36,'caseload data'!$D:$D,"TPO",'caseload data'!$B:$B,"custody")/SUMIFS('caseload data'!E:E,'caseload data'!$B:$B,"custody",'caseload data'!$C:$C,'custody %'!$T$36),"")</f>
        <v/>
      </c>
      <c r="V40" s="175" t="str">
        <f>IFERROR(SUMIFS('caseload data'!F:F,'caseload data'!$C:$C,'custody %'!$T$36,'caseload data'!$D:$D,"TPO",'caseload data'!$B:$B,"custody")/SUMIFS('caseload data'!F:F,'caseload data'!$B:$B,"custody",'caseload data'!$C:$C,'custody %'!$T$36),"")</f>
        <v/>
      </c>
      <c r="W40" s="175" t="str">
        <f>IFERROR(SUMIFS('caseload data'!G:G,'caseload data'!$C:$C,'custody %'!$T$36,'caseload data'!$D:$D,"TPO",'caseload data'!$B:$B,"custody")/SUMIFS('caseload data'!G:G,'caseload data'!$B:$B,"custody",'caseload data'!$C:$C,'custody %'!$T$36),"")</f>
        <v/>
      </c>
      <c r="X40" s="175" t="str">
        <f>IFERROR(SUMIFS('caseload data'!H:H,'caseload data'!$C:$C,'custody %'!$T$36,'caseload data'!$D:$D,"TPO",'caseload data'!$B:$B,"custody")/SUMIFS('caseload data'!H:H,'caseload data'!$B:$B,"custody",'caseload data'!$C:$C,'custody %'!$T$36),"")</f>
        <v/>
      </c>
      <c r="Y40" s="175" t="str">
        <f>IFERROR(SUMIFS('caseload data'!I:I,'caseload data'!$C:$C,'custody %'!$T$36,'caseload data'!$D:$D,"TPO",'caseload data'!$B:$B,"custody")/SUMIFS('caseload data'!I:I,'caseload data'!$B:$B,"custody",'caseload data'!$C:$C,'custody %'!$T$36),"")</f>
        <v/>
      </c>
      <c r="Z40" s="175" t="str">
        <f>IFERROR(SUMIFS('caseload data'!J:J,'caseload data'!$C:$C,'custody %'!$T$36,'caseload data'!$D:$D,"TPO",'caseload data'!$B:$B,"custody")/SUMIFS('caseload data'!J:J,'caseload data'!$B:$B,"custody",'caseload data'!$C:$C,'custody %'!$T$36),"")</f>
        <v/>
      </c>
      <c r="AA40" s="175" t="str">
        <f>IFERROR(SUMIFS('caseload data'!K:K,'caseload data'!$C:$C,'custody %'!$T$36,'caseload data'!$D:$D,"TPO",'caseload data'!$B:$B,"custody")/SUMIFS('caseload data'!K:K,'caseload data'!$B:$B,"custody",'caseload data'!$C:$C,'custody %'!$T$36),"")</f>
        <v/>
      </c>
      <c r="AB40" s="175" t="str">
        <f>IFERROR(SUMIFS('caseload data'!L:L,'caseload data'!$C:$C,'custody %'!$T$36,'caseload data'!$D:$D,"TPO",'caseload data'!$B:$B,"custody")/SUMIFS('caseload data'!L:L,'caseload data'!$B:$B,"custody",'caseload data'!$C:$C,'custody %'!$T$36),"")</f>
        <v/>
      </c>
      <c r="AC40" s="175" t="str">
        <f>IFERROR(SUMIFS('caseload data'!M:M,'caseload data'!$C:$C,'custody %'!$T$36,'caseload data'!$D:$D,"TPO",'caseload data'!$B:$B,"custody")/SUMIFS('caseload data'!M:M,'caseload data'!$B:$B,"custody",'caseload data'!$C:$C,'custody %'!$T$36),"")</f>
        <v/>
      </c>
      <c r="AD40" s="175" t="str">
        <f>IFERROR(SUMIFS('caseload data'!N:N,'caseload data'!$C:$C,'custody %'!$T$36,'caseload data'!$D:$D,"TPO",'caseload data'!$B:$B,"custody")/SUMIFS('caseload data'!N:N,'caseload data'!$B:$B,"custody",'caseload data'!$C:$C,'custody %'!$T$36),"")</f>
        <v/>
      </c>
      <c r="AE40" s="175" t="str">
        <f>IFERROR(SUMIFS('caseload data'!O:O,'caseload data'!$C:$C,'custody %'!$T$36,'caseload data'!$D:$D,"TPO",'caseload data'!$B:$B,"custody")/SUMIFS('caseload data'!O:O,'caseload data'!$B:$B,"custody",'caseload data'!$C:$C,'custody %'!$T$36),"")</f>
        <v/>
      </c>
      <c r="AF40" s="175" t="str">
        <f>IFERROR(SUMIFS('caseload data'!P:P,'caseload data'!$C:$C,'custody %'!$T$36,'caseload data'!$D:$D,"TPO",'caseload data'!$B:$B,"custody")/SUMIFS('caseload data'!P:P,'caseload data'!$B:$B,"custody",'caseload data'!$C:$C,'custody %'!$T$36),"")</f>
        <v/>
      </c>
      <c r="AG40" s="175" t="str">
        <f>IFERROR(SUMIFS('caseload data'!Q:Q,'caseload data'!$C:$C,'custody %'!$T$36,'caseload data'!$D:$D,"TPO",'caseload data'!$B:$B,"custody")/SUMIFS('caseload data'!Q:Q,'caseload data'!$B:$B,"custody",'caseload data'!$C:$C,'custody %'!$T$36),"")</f>
        <v/>
      </c>
      <c r="AH40" s="175" t="str">
        <f>IFERROR(SUMIFS('caseload data'!R:R,'caseload data'!$C:$C,'custody %'!$T$36,'caseload data'!$D:$D,"TPO",'caseload data'!$B:$B,"custody")/SUMIFS('caseload data'!R:R,'caseload data'!$B:$B,"custody",'caseload data'!$C:$C,'custody %'!$T$36),"")</f>
        <v/>
      </c>
      <c r="AI40" s="175"/>
      <c r="AJ40" s="175"/>
    </row>
    <row r="41" spans="2:36" x14ac:dyDescent="0.15">
      <c r="B41" s="102" t="s">
        <v>1174</v>
      </c>
      <c r="C41" s="175" t="str">
        <f>IFERROR(SUMIFS('caseload data'!E:E,'caseload data'!$C:$C,'custody %'!$B$36,'caseload data'!$D:$D,"SPO",'caseload data'!$B:$B,"custody")/SUMIFS('caseload data'!E:E,'caseload data'!$B:$B,"custody",'caseload data'!$C:$C,'custody %'!$B$36),"")</f>
        <v/>
      </c>
      <c r="D41" s="175" t="str">
        <f>IFERROR(SUMIFS('caseload data'!F:F,'caseload data'!$C:$C,'custody %'!$B$36,'caseload data'!$D:$D,"SPO",'caseload data'!$B:$B,"custody")/SUMIFS('caseload data'!F:F,'caseload data'!$B:$B,"custody",'caseload data'!$C:$C,'custody %'!$B$36),"")</f>
        <v/>
      </c>
      <c r="E41" s="175" t="str">
        <f>IFERROR(SUMIFS('caseload data'!G:G,'caseload data'!$C:$C,'custody %'!$B$36,'caseload data'!$D:$D,"SPO",'caseload data'!$B:$B,"custody")/SUMIFS('caseload data'!G:G,'caseload data'!$B:$B,"custody",'caseload data'!$C:$C,'custody %'!$B$36),"")</f>
        <v/>
      </c>
      <c r="F41" s="175" t="str">
        <f>IFERROR(SUMIFS('caseload data'!H:H,'caseload data'!$C:$C,'custody %'!$B$36,'caseload data'!$D:$D,"SPO",'caseload data'!$B:$B,"custody")/SUMIFS('caseload data'!H:H,'caseload data'!$B:$B,"custody",'caseload data'!$C:$C,'custody %'!$B$36),"")</f>
        <v/>
      </c>
      <c r="G41" s="175" t="str">
        <f>IFERROR(SUMIFS('caseload data'!I:I,'caseload data'!$C:$C,'custody %'!$B$36,'caseload data'!$D:$D,"SPO",'caseload data'!$B:$B,"custody")/SUMIFS('caseload data'!I:I,'caseload data'!$B:$B,"custody",'caseload data'!$C:$C,'custody %'!$B$36),"")</f>
        <v/>
      </c>
      <c r="H41" s="175" t="str">
        <f>IFERROR(SUMIFS('caseload data'!J:J,'caseload data'!$C:$C,'custody %'!$B$36,'caseload data'!$D:$D,"SPO",'caseload data'!$B:$B,"custody")/SUMIFS('caseload data'!J:J,'caseload data'!$B:$B,"custody",'caseload data'!$C:$C,'custody %'!$B$36),"")</f>
        <v/>
      </c>
      <c r="I41" s="175" t="str">
        <f>IFERROR(SUMIFS('caseload data'!K:K,'caseload data'!$C:$C,'custody %'!$B$36,'caseload data'!$D:$D,"SPO",'caseload data'!$B:$B,"custody")/SUMIFS('caseload data'!K:K,'caseload data'!$B:$B,"custody",'caseload data'!$C:$C,'custody %'!$B$36),"")</f>
        <v/>
      </c>
      <c r="J41" s="175" t="str">
        <f>IFERROR(SUMIFS('caseload data'!L:L,'caseload data'!$C:$C,'custody %'!$B$36,'caseload data'!$D:$D,"SPO",'caseload data'!$B:$B,"custody")/SUMIFS('caseload data'!L:L,'caseload data'!$B:$B,"custody",'caseload data'!$C:$C,'custody %'!$B$36),"")</f>
        <v/>
      </c>
      <c r="K41" s="175" t="str">
        <f>IFERROR(SUMIFS('caseload data'!M:M,'caseload data'!$C:$C,'custody %'!$B$36,'caseload data'!$D:$D,"SPO",'caseload data'!$B:$B,"custody")/SUMIFS('caseload data'!M:M,'caseload data'!$B:$B,"custody",'caseload data'!$C:$C,'custody %'!$B$36),"")</f>
        <v/>
      </c>
      <c r="L41" s="175" t="str">
        <f>IFERROR(SUMIFS('caseload data'!N:N,'caseload data'!$C:$C,'custody %'!$B$36,'caseload data'!$D:$D,"SPO",'caseload data'!$B:$B,"custody")/SUMIFS('caseload data'!N:N,'caseload data'!$B:$B,"custody",'caseload data'!$C:$C,'custody %'!$B$36),"")</f>
        <v/>
      </c>
      <c r="M41" s="175" t="str">
        <f>IFERROR(SUMIFS('caseload data'!O:O,'caseload data'!$C:$C,'custody %'!$B$36,'caseload data'!$D:$D,"SPO",'caseload data'!$B:$B,"custody")/SUMIFS('caseload data'!O:O,'caseload data'!$B:$B,"custody",'caseload data'!$C:$C,'custody %'!$B$36),"")</f>
        <v/>
      </c>
      <c r="N41" s="175" t="str">
        <f>IFERROR(SUMIFS('caseload data'!P:P,'caseload data'!$C:$C,'custody %'!$B$36,'caseload data'!$D:$D,"SPO",'caseload data'!$B:$B,"custody")/SUMIFS('caseload data'!P:P,'caseload data'!$B:$B,"custody",'caseload data'!$C:$C,'custody %'!$B$36),"")</f>
        <v/>
      </c>
      <c r="O41" s="175" t="str">
        <f>IFERROR(SUMIFS('caseload data'!Q:Q,'caseload data'!$C:$C,'custody %'!$B$36,'caseload data'!$D:$D,"SPO",'caseload data'!$B:$B,"custody")/SUMIFS('caseload data'!Q:Q,'caseload data'!$B:$B,"custody",'caseload data'!$C:$C,'custody %'!$B$36),"")</f>
        <v/>
      </c>
      <c r="P41" s="175" t="str">
        <f>IFERROR(SUMIFS('caseload data'!R:R,'caseload data'!$C:$C,'custody %'!$B$36,'caseload data'!$D:$D,"SPO",'caseload data'!$B:$B,"custody")/SUMIFS('caseload data'!R:R,'caseload data'!$B:$B,"custody",'caseload data'!$C:$C,'custody %'!$B$36),"")</f>
        <v/>
      </c>
      <c r="Q41" s="175" t="str">
        <f>IFERROR(SUMIFS('caseload data'!S:S,'caseload data'!$C:$C,'custody %'!$B$36,'caseload data'!$D:$D,"SPO",'caseload data'!$B:$B,"custody")/SUMIFS('caseload data'!S:S,'caseload data'!$B:$B,"custody",'caseload data'!$C:$C,'custody %'!$B$36),"")</f>
        <v/>
      </c>
      <c r="R41" s="175" t="str">
        <f>IFERROR(SUMIFS('caseload data'!T:T,'caseload data'!$C:$C,'custody %'!$B$36,'caseload data'!$D:$D,"SPO",'caseload data'!$B:$B,"custody")/SUMIFS('caseload data'!T:T,'caseload data'!$B:$B,"custody",'caseload data'!$C:$C,'custody %'!$B$36),"")</f>
        <v/>
      </c>
      <c r="S41" s="68"/>
      <c r="T41" s="102" t="s">
        <v>1174</v>
      </c>
      <c r="U41" s="175" t="str">
        <f>IFERROR(SUMIFS('caseload data'!E:E,'caseload data'!$C:$C,'custody %'!$T$36,'caseload data'!$D:$D,"SPO",'caseload data'!$B:$B,"custody")/SUMIFS('caseload data'!E:E,'caseload data'!$B:$B,"custody",'caseload data'!$C:$C,'custody %'!$T$36),"")</f>
        <v/>
      </c>
      <c r="V41" s="175" t="str">
        <f>IFERROR(SUMIFS('caseload data'!F:F,'caseload data'!$C:$C,'custody %'!$T$36,'caseload data'!$D:$D,"SPO",'caseload data'!$B:$B,"custody")/SUMIFS('caseload data'!F:F,'caseload data'!$B:$B,"custody",'caseload data'!$C:$C,'custody %'!$T$36),"")</f>
        <v/>
      </c>
      <c r="W41" s="175" t="str">
        <f>IFERROR(SUMIFS('caseload data'!G:G,'caseload data'!$C:$C,'custody %'!$T$36,'caseload data'!$D:$D,"SPO",'caseload data'!$B:$B,"custody")/SUMIFS('caseload data'!G:G,'caseload data'!$B:$B,"custody",'caseload data'!$C:$C,'custody %'!$T$36),"")</f>
        <v/>
      </c>
      <c r="X41" s="175" t="str">
        <f>IFERROR(SUMIFS('caseload data'!H:H,'caseload data'!$C:$C,'custody %'!$T$36,'caseload data'!$D:$D,"SPO",'caseload data'!$B:$B,"custody")/SUMIFS('caseload data'!H:H,'caseload data'!$B:$B,"custody",'caseload data'!$C:$C,'custody %'!$T$36),"")</f>
        <v/>
      </c>
      <c r="Y41" s="175" t="str">
        <f>IFERROR(SUMIFS('caseload data'!I:I,'caseload data'!$C:$C,'custody %'!$T$36,'caseload data'!$D:$D,"SPO",'caseload data'!$B:$B,"custody")/SUMIFS('caseload data'!I:I,'caseload data'!$B:$B,"custody",'caseload data'!$C:$C,'custody %'!$T$36),"")</f>
        <v/>
      </c>
      <c r="Z41" s="175" t="str">
        <f>IFERROR(SUMIFS('caseload data'!J:J,'caseload data'!$C:$C,'custody %'!$T$36,'caseload data'!$D:$D,"SPO",'caseload data'!$B:$B,"custody")/SUMIFS('caseload data'!J:J,'caseload data'!$B:$B,"custody",'caseload data'!$C:$C,'custody %'!$T$36),"")</f>
        <v/>
      </c>
      <c r="AA41" s="175" t="str">
        <f>IFERROR(SUMIFS('caseload data'!K:K,'caseload data'!$C:$C,'custody %'!$T$36,'caseload data'!$D:$D,"SPO",'caseload data'!$B:$B,"custody")/SUMIFS('caseload data'!K:K,'caseload data'!$B:$B,"custody",'caseload data'!$C:$C,'custody %'!$T$36),"")</f>
        <v/>
      </c>
      <c r="AB41" s="175" t="str">
        <f>IFERROR(SUMIFS('caseload data'!L:L,'caseload data'!$C:$C,'custody %'!$T$36,'caseload data'!$D:$D,"SPO",'caseload data'!$B:$B,"custody")/SUMIFS('caseload data'!L:L,'caseload data'!$B:$B,"custody",'caseload data'!$C:$C,'custody %'!$T$36),"")</f>
        <v/>
      </c>
      <c r="AC41" s="175" t="str">
        <f>IFERROR(SUMIFS('caseload data'!M:M,'caseload data'!$C:$C,'custody %'!$T$36,'caseload data'!$D:$D,"SPO",'caseload data'!$B:$B,"custody")/SUMIFS('caseload data'!M:M,'caseload data'!$B:$B,"custody",'caseload data'!$C:$C,'custody %'!$T$36),"")</f>
        <v/>
      </c>
      <c r="AD41" s="175" t="str">
        <f>IFERROR(SUMIFS('caseload data'!N:N,'caseload data'!$C:$C,'custody %'!$T$36,'caseload data'!$D:$D,"SPO",'caseload data'!$B:$B,"custody")/SUMIFS('caseload data'!N:N,'caseload data'!$B:$B,"custody",'caseload data'!$C:$C,'custody %'!$T$36),"")</f>
        <v/>
      </c>
      <c r="AE41" s="175" t="str">
        <f>IFERROR(SUMIFS('caseload data'!O:O,'caseload data'!$C:$C,'custody %'!$T$36,'caseload data'!$D:$D,"SPO",'caseload data'!$B:$B,"custody")/SUMIFS('caseload data'!O:O,'caseload data'!$B:$B,"custody",'caseload data'!$C:$C,'custody %'!$T$36),"")</f>
        <v/>
      </c>
      <c r="AF41" s="175" t="str">
        <f>IFERROR(SUMIFS('caseload data'!P:P,'caseload data'!$C:$C,'custody %'!$T$36,'caseload data'!$D:$D,"SPO",'caseload data'!$B:$B,"custody")/SUMIFS('caseload data'!P:P,'caseload data'!$B:$B,"custody",'caseload data'!$C:$C,'custody %'!$T$36),"")</f>
        <v/>
      </c>
      <c r="AG41" s="175" t="str">
        <f>IFERROR(SUMIFS('caseload data'!Q:Q,'caseload data'!$C:$C,'custody %'!$T$36,'caseload data'!$D:$D,"SPO",'caseload data'!$B:$B,"custody")/SUMIFS('caseload data'!Q:Q,'caseload data'!$B:$B,"custody",'caseload data'!$C:$C,'custody %'!$T$36),"")</f>
        <v/>
      </c>
      <c r="AH41" s="175" t="str">
        <f>IFERROR(SUMIFS('caseload data'!R:R,'caseload data'!$C:$C,'custody %'!$T$36,'caseload data'!$D:$D,"SPO",'caseload data'!$B:$B,"custody")/SUMIFS('caseload data'!R:R,'caseload data'!$B:$B,"custody",'caseload data'!$C:$C,'custody %'!$T$36),"")</f>
        <v/>
      </c>
      <c r="AI41" s="175"/>
      <c r="AJ41" s="175"/>
    </row>
    <row r="42" spans="2:36" x14ac:dyDescent="0.15">
      <c r="B42" s="95"/>
      <c r="C42" s="68"/>
      <c r="D42" s="68"/>
      <c r="E42" s="68"/>
      <c r="F42" s="68"/>
      <c r="G42" s="68"/>
      <c r="H42" s="68"/>
      <c r="I42" s="68"/>
      <c r="J42" s="68"/>
      <c r="K42" s="68"/>
      <c r="L42" s="68"/>
      <c r="M42" s="68"/>
      <c r="N42" s="68"/>
      <c r="O42" s="68"/>
      <c r="P42" s="68"/>
      <c r="Q42" s="68"/>
      <c r="R42" s="68"/>
      <c r="S42" s="68"/>
      <c r="T42" s="95"/>
      <c r="U42" s="68"/>
      <c r="V42" s="68"/>
      <c r="W42" s="68"/>
      <c r="X42" s="68"/>
      <c r="Y42" s="68"/>
      <c r="Z42" s="68"/>
      <c r="AA42" s="68"/>
      <c r="AB42" s="68"/>
      <c r="AC42" s="68"/>
      <c r="AD42" s="68"/>
      <c r="AE42" s="68"/>
      <c r="AF42" s="68"/>
      <c r="AG42" s="68"/>
      <c r="AH42" s="68"/>
    </row>
    <row r="43" spans="2:36" ht="29.25" customHeight="1" x14ac:dyDescent="0.15">
      <c r="B43" s="302" t="str">
        <f>HLOOKUP($B$5,Region_Table,12,0)</f>
        <v>Hammersmith, Fulham, Kensington, Chelsea and Westminster</v>
      </c>
      <c r="C43" s="467" t="s">
        <v>1305</v>
      </c>
      <c r="D43" s="468"/>
      <c r="E43" s="468"/>
      <c r="F43" s="468"/>
      <c r="G43" s="468"/>
      <c r="H43" s="468"/>
      <c r="I43" s="468"/>
      <c r="J43" s="468"/>
      <c r="K43" s="468"/>
      <c r="L43" s="468"/>
      <c r="M43" s="487"/>
      <c r="N43" s="487"/>
      <c r="O43" s="488"/>
      <c r="P43" s="462">
        <f>SUMIF('caseload data'!$C:$C,'custody %'!B43,'caseload data'!V:V)</f>
        <v>0</v>
      </c>
      <c r="Q43" s="479"/>
      <c r="R43" s="480"/>
      <c r="S43" s="68"/>
      <c r="T43" s="302" t="str">
        <f>HLOOKUP($B$5,Region_Table,13,0)</f>
        <v>Harrow and Barnet</v>
      </c>
      <c r="U43" s="467" t="s">
        <v>1305</v>
      </c>
      <c r="V43" s="468"/>
      <c r="W43" s="468"/>
      <c r="X43" s="468"/>
      <c r="Y43" s="468"/>
      <c r="Z43" s="468"/>
      <c r="AA43" s="468"/>
      <c r="AB43" s="468"/>
      <c r="AC43" s="487"/>
      <c r="AD43" s="487"/>
      <c r="AE43" s="488"/>
      <c r="AF43" s="462">
        <f>SUMIF('caseload data'!$C:$C,'custody %'!T43,'caseload data'!V:V)</f>
        <v>0</v>
      </c>
      <c r="AG43" s="479"/>
      <c r="AH43" s="480"/>
    </row>
    <row r="44" spans="2:36" x14ac:dyDescent="0.15">
      <c r="B44" s="99" t="s">
        <v>1170</v>
      </c>
      <c r="C44" s="40" t="s">
        <v>1022</v>
      </c>
      <c r="D44" s="40" t="s">
        <v>1023</v>
      </c>
      <c r="E44" s="40" t="s">
        <v>1024</v>
      </c>
      <c r="F44" s="40" t="s">
        <v>1025</v>
      </c>
      <c r="G44" s="40" t="s">
        <v>1026</v>
      </c>
      <c r="H44" s="40" t="s">
        <v>1027</v>
      </c>
      <c r="I44" s="40" t="s">
        <v>1028</v>
      </c>
      <c r="J44" s="40" t="s">
        <v>1029</v>
      </c>
      <c r="K44" s="40" t="s">
        <v>1030</v>
      </c>
      <c r="L44" s="40" t="s">
        <v>1031</v>
      </c>
      <c r="M44" s="40" t="s">
        <v>1032</v>
      </c>
      <c r="N44" s="40" t="s">
        <v>1033</v>
      </c>
      <c r="O44" s="40" t="s">
        <v>1034</v>
      </c>
      <c r="P44" s="40" t="s">
        <v>1035</v>
      </c>
      <c r="Q44" s="40" t="s">
        <v>1036</v>
      </c>
      <c r="R44" s="40" t="s">
        <v>1037</v>
      </c>
      <c r="S44" s="68"/>
      <c r="T44" s="99" t="s">
        <v>1170</v>
      </c>
      <c r="U44" s="40" t="s">
        <v>1022</v>
      </c>
      <c r="V44" s="40" t="s">
        <v>1023</v>
      </c>
      <c r="W44" s="40" t="s">
        <v>1024</v>
      </c>
      <c r="X44" s="40" t="s">
        <v>1025</v>
      </c>
      <c r="Y44" s="40" t="s">
        <v>1026</v>
      </c>
      <c r="Z44" s="40" t="s">
        <v>1027</v>
      </c>
      <c r="AA44" s="40" t="s">
        <v>1028</v>
      </c>
      <c r="AB44" s="40" t="s">
        <v>1029</v>
      </c>
      <c r="AC44" s="40" t="s">
        <v>1030</v>
      </c>
      <c r="AD44" s="40" t="s">
        <v>1031</v>
      </c>
      <c r="AE44" s="40" t="s">
        <v>1032</v>
      </c>
      <c r="AF44" s="40" t="s">
        <v>1033</v>
      </c>
      <c r="AG44" s="40" t="s">
        <v>1034</v>
      </c>
      <c r="AH44" s="40" t="s">
        <v>1035</v>
      </c>
      <c r="AI44" s="40" t="s">
        <v>1036</v>
      </c>
      <c r="AJ44" s="40" t="s">
        <v>1037</v>
      </c>
    </row>
    <row r="45" spans="2:36" x14ac:dyDescent="0.15">
      <c r="B45" s="100" t="s">
        <v>1166</v>
      </c>
      <c r="C45" s="175" t="str">
        <f>IFERROR(SUMIFS('caseload data'!E:E,'caseload data'!$C:$C,'custody %'!$B$43,'caseload data'!$D:$D,"PO",'caseload data'!$B:$B,"custody")/SUMIFS('caseload data'!E:E,'caseload data'!$B:$B,"custody",'caseload data'!$C:$C,'custody %'!$B$43),"")</f>
        <v/>
      </c>
      <c r="D45" s="175" t="str">
        <f>IFERROR(SUMIFS('caseload data'!F:F,'caseload data'!$C:$C,'custody %'!$B$43,'caseload data'!$D:$D,"PO",'caseload data'!$B:$B,"custody")/SUMIFS('caseload data'!F:F,'caseload data'!$B:$B,"custody",'caseload data'!$C:$C,'custody %'!$B$43),"")</f>
        <v/>
      </c>
      <c r="E45" s="175" t="str">
        <f>IFERROR(SUMIFS('caseload data'!G:G,'caseload data'!$C:$C,'custody %'!$B$43,'caseload data'!$D:$D,"PO",'caseload data'!$B:$B,"custody")/SUMIFS('caseload data'!G:G,'caseload data'!$B:$B,"custody",'caseload data'!$C:$C,'custody %'!$B$43),"")</f>
        <v/>
      </c>
      <c r="F45" s="175" t="str">
        <f>IFERROR(SUMIFS('caseload data'!H:H,'caseload data'!$C:$C,'custody %'!$B$43,'caseload data'!$D:$D,"PO",'caseload data'!$B:$B,"custody")/SUMIFS('caseload data'!H:H,'caseload data'!$B:$B,"custody",'caseload data'!$C:$C,'custody %'!$B$43),"")</f>
        <v/>
      </c>
      <c r="G45" s="175" t="str">
        <f>IFERROR(SUMIFS('caseload data'!I:I,'caseload data'!$C:$C,'custody %'!$B$43,'caseload data'!$D:$D,"PO",'caseload data'!$B:$B,"custody")/SUMIFS('caseload data'!I:I,'caseload data'!$B:$B,"custody",'caseload data'!$C:$C,'custody %'!$B$43),"")</f>
        <v/>
      </c>
      <c r="H45" s="175" t="str">
        <f>IFERROR(SUMIFS('caseload data'!J:J,'caseload data'!$C:$C,'custody %'!$B$43,'caseload data'!$D:$D,"PO",'caseload data'!$B:$B,"custody")/SUMIFS('caseload data'!J:J,'caseload data'!$B:$B,"custody",'caseload data'!$C:$C,'custody %'!$B$43),"")</f>
        <v/>
      </c>
      <c r="I45" s="175" t="str">
        <f>IFERROR(SUMIFS('caseload data'!K:K,'caseload data'!$C:$C,'custody %'!$B$43,'caseload data'!$D:$D,"PO",'caseload data'!$B:$B,"custody")/SUMIFS('caseload data'!K:K,'caseload data'!$B:$B,"custody",'caseload data'!$C:$C,'custody %'!$B$43),"")</f>
        <v/>
      </c>
      <c r="J45" s="175" t="str">
        <f>IFERROR(SUMIFS('caseload data'!L:L,'caseload data'!$C:$C,'custody %'!$B$43,'caseload data'!$D:$D,"PO",'caseload data'!$B:$B,"custody")/SUMIFS('caseload data'!L:L,'caseload data'!$B:$B,"custody",'caseload data'!$C:$C,'custody %'!$B$43),"")</f>
        <v/>
      </c>
      <c r="K45" s="175" t="str">
        <f>IFERROR(SUMIFS('caseload data'!M:M,'caseload data'!$C:$C,'custody %'!$B$43,'caseload data'!$D:$D,"PO",'caseload data'!$B:$B,"custody")/SUMIFS('caseload data'!M:M,'caseload data'!$B:$B,"custody",'caseload data'!$C:$C,'custody %'!$B$43),"")</f>
        <v/>
      </c>
      <c r="L45" s="175" t="str">
        <f>IFERROR(SUMIFS('caseload data'!N:N,'caseload data'!$C:$C,'custody %'!$B$43,'caseload data'!$D:$D,"PO",'caseload data'!$B:$B,"custody")/SUMIFS('caseload data'!N:N,'caseload data'!$B:$B,"custody",'caseload data'!$C:$C,'custody %'!$B$43),"")</f>
        <v/>
      </c>
      <c r="M45" s="175" t="str">
        <f>IFERROR(SUMIFS('caseload data'!O:O,'caseload data'!$C:$C,'custody %'!$B$43,'caseload data'!$D:$D,"PO",'caseload data'!$B:$B,"custody")/SUMIFS('caseload data'!O:O,'caseload data'!$B:$B,"custody",'caseload data'!$C:$C,'custody %'!$B$43),"")</f>
        <v/>
      </c>
      <c r="N45" s="175" t="str">
        <f>IFERROR(SUMIFS('caseload data'!P:P,'caseload data'!$C:$C,'custody %'!$B$43,'caseload data'!$D:$D,"PO",'caseload data'!$B:$B,"custody")/SUMIFS('caseload data'!P:P,'caseload data'!$B:$B,"custody",'caseload data'!$C:$C,'custody %'!$B$43),"")</f>
        <v/>
      </c>
      <c r="O45" s="175" t="str">
        <f>IFERROR(SUMIFS('caseload data'!Q:Q,'caseload data'!$C:$C,'custody %'!$B$43,'caseload data'!$D:$D,"PO",'caseload data'!$B:$B,"custody")/SUMIFS('caseload data'!Q:Q,'caseload data'!$B:$B,"custody",'caseload data'!$C:$C,'custody %'!$B$43),"")</f>
        <v/>
      </c>
      <c r="P45" s="175" t="str">
        <f>IFERROR(SUMIFS('caseload data'!R:R,'caseload data'!$C:$C,'custody %'!$B$43,'caseload data'!$D:$D,"PO",'caseload data'!$B:$B,"custody")/SUMIFS('caseload data'!R:R,'caseload data'!$B:$B,"custody",'caseload data'!$C:$C,'custody %'!$B$43),"")</f>
        <v/>
      </c>
      <c r="Q45" s="175" t="str">
        <f>IFERROR(SUMIFS('caseload data'!S:S,'caseload data'!$C:$C,'custody %'!$B$43,'caseload data'!$D:$D,"PO",'caseload data'!$B:$B,"custody")/SUMIFS('caseload data'!S:S,'caseload data'!$B:$B,"custody",'caseload data'!$C:$C,'custody %'!$B$43),"")</f>
        <v/>
      </c>
      <c r="R45" s="175" t="str">
        <f>IFERROR(SUMIFS('caseload data'!T:T,'caseload data'!$C:$C,'custody %'!$B$43,'caseload data'!$D:$D,"PO",'caseload data'!$B:$B,"custody")/SUMIFS('caseload data'!T:T,'caseload data'!$B:$B,"custody",'caseload data'!$C:$C,'custody %'!$B$43),"")</f>
        <v/>
      </c>
      <c r="S45" s="68"/>
      <c r="T45" s="100" t="s">
        <v>1166</v>
      </c>
      <c r="U45" s="175" t="str">
        <f>IFERROR(SUMIFS('caseload data'!E:E,'caseload data'!$C:$C,'custody %'!$T$43,'caseload data'!$D:$D,"PO",'caseload data'!$B:$B,"custody")/SUMIFS('caseload data'!E:E,'caseload data'!$B:$B,"custody",'caseload data'!$C:$C,'custody %'!$T$43),"")</f>
        <v/>
      </c>
      <c r="V45" s="175" t="str">
        <f>IFERROR(SUMIFS('caseload data'!F:F,'caseload data'!$C:$C,'custody %'!$T$43,'caseload data'!$D:$D,"PO",'caseload data'!$B:$B,"custody")/SUMIFS('caseload data'!F:F,'caseload data'!$B:$B,"custody",'caseload data'!$C:$C,'custody %'!$T$43),"")</f>
        <v/>
      </c>
      <c r="W45" s="175" t="str">
        <f>IFERROR(SUMIFS('caseload data'!G:G,'caseload data'!$C:$C,'custody %'!$T$43,'caseload data'!$D:$D,"PO",'caseload data'!$B:$B,"custody")/SUMIFS('caseload data'!G:G,'caseload data'!$B:$B,"custody",'caseload data'!$C:$C,'custody %'!$T$43),"")</f>
        <v/>
      </c>
      <c r="X45" s="175" t="str">
        <f>IFERROR(SUMIFS('caseload data'!H:H,'caseload data'!$C:$C,'custody %'!$T$43,'caseload data'!$D:$D,"PO",'caseload data'!$B:$B,"custody")/SUMIFS('caseload data'!H:H,'caseload data'!$B:$B,"custody",'caseload data'!$C:$C,'custody %'!$T$43),"")</f>
        <v/>
      </c>
      <c r="Y45" s="175" t="str">
        <f>IFERROR(SUMIFS('caseload data'!I:I,'caseload data'!$C:$C,'custody %'!$T$43,'caseload data'!$D:$D,"PO",'caseload data'!$B:$B,"custody")/SUMIFS('caseload data'!I:I,'caseload data'!$B:$B,"custody",'caseload data'!$C:$C,'custody %'!$T$43),"")</f>
        <v/>
      </c>
      <c r="Z45" s="175" t="str">
        <f>IFERROR(SUMIFS('caseload data'!J:J,'caseload data'!$C:$C,'custody %'!$T$43,'caseload data'!$D:$D,"PO",'caseload data'!$B:$B,"custody")/SUMIFS('caseload data'!J:J,'caseload data'!$B:$B,"custody",'caseload data'!$C:$C,'custody %'!$T$43),"")</f>
        <v/>
      </c>
      <c r="AA45" s="175" t="str">
        <f>IFERROR(SUMIFS('caseload data'!K:K,'caseload data'!$C:$C,'custody %'!$T$43,'caseload data'!$D:$D,"PO",'caseload data'!$B:$B,"custody")/SUMIFS('caseload data'!K:K,'caseload data'!$B:$B,"custody",'caseload data'!$C:$C,'custody %'!$T$43),"")</f>
        <v/>
      </c>
      <c r="AB45" s="175" t="str">
        <f>IFERROR(SUMIFS('caseload data'!L:L,'caseload data'!$C:$C,'custody %'!$T$43,'caseload data'!$D:$D,"PO",'caseload data'!$B:$B,"custody")/SUMIFS('caseload data'!L:L,'caseload data'!$B:$B,"custody",'caseload data'!$C:$C,'custody %'!$T$43),"")</f>
        <v/>
      </c>
      <c r="AC45" s="175" t="str">
        <f>IFERROR(SUMIFS('caseload data'!M:M,'caseload data'!$C:$C,'custody %'!$T$43,'caseload data'!$D:$D,"PO",'caseload data'!$B:$B,"custody")/SUMIFS('caseload data'!M:M,'caseload data'!$B:$B,"custody",'caseload data'!$C:$C,'custody %'!$T$43),"")</f>
        <v/>
      </c>
      <c r="AD45" s="175" t="str">
        <f>IFERROR(SUMIFS('caseload data'!N:N,'caseload data'!$C:$C,'custody %'!$T$43,'caseload data'!$D:$D,"PO",'caseload data'!$B:$B,"custody")/SUMIFS('caseload data'!N:N,'caseload data'!$B:$B,"custody",'caseload data'!$C:$C,'custody %'!$T$43),"")</f>
        <v/>
      </c>
      <c r="AE45" s="175" t="str">
        <f>IFERROR(SUMIFS('caseload data'!O:O,'caseload data'!$C:$C,'custody %'!$T$43,'caseload data'!$D:$D,"PO",'caseload data'!$B:$B,"custody")/SUMIFS('caseload data'!O:O,'caseload data'!$B:$B,"custody",'caseload data'!$C:$C,'custody %'!$T$43),"")</f>
        <v/>
      </c>
      <c r="AF45" s="175" t="str">
        <f>IFERROR(SUMIFS('caseload data'!P:P,'caseload data'!$C:$C,'custody %'!$T$43,'caseload data'!$D:$D,"PO",'caseload data'!$B:$B,"custody")/SUMIFS('caseload data'!P:P,'caseload data'!$B:$B,"custody",'caseload data'!$C:$C,'custody %'!$T$43),"")</f>
        <v/>
      </c>
      <c r="AG45" s="175" t="str">
        <f>IFERROR(SUMIFS('caseload data'!Q:Q,'caseload data'!$C:$C,'custody %'!$T$43,'caseload data'!$D:$D,"PO",'caseload data'!$B:$B,"custody")/SUMIFS('caseload data'!Q:Q,'caseload data'!$B:$B,"custody",'caseload data'!$C:$C,'custody %'!$T$43),"")</f>
        <v/>
      </c>
      <c r="AH45" s="175" t="str">
        <f>IFERROR(SUMIFS('caseload data'!R:R,'caseload data'!$C:$C,'custody %'!$T$43,'caseload data'!$D:$D,"PO",'caseload data'!$B:$B,"custody")/SUMIFS('caseload data'!R:R,'caseload data'!$B:$B,"custody",'caseload data'!$C:$C,'custody %'!$T$43),"")</f>
        <v/>
      </c>
      <c r="AI45" s="175"/>
      <c r="AJ45" s="175"/>
    </row>
    <row r="46" spans="2:36" x14ac:dyDescent="0.15">
      <c r="B46" s="101" t="s">
        <v>1172</v>
      </c>
      <c r="C46" s="175" t="str">
        <f>IFERROR(SUMIFS('caseload data'!E:E,'caseload data'!$C:$C,'custody %'!$B$43,'caseload data'!$D:$D,"PSO",'caseload data'!$B:$B,"custody")/SUMIFS('caseload data'!E:E,'caseload data'!$B:$B,"custody",'caseload data'!$C:$C,'custody %'!$B$43),"")</f>
        <v/>
      </c>
      <c r="D46" s="175" t="str">
        <f>IFERROR(SUMIFS('caseload data'!F:F,'caseload data'!$C:$C,'custody %'!$B$43,'caseload data'!$D:$D,"PSO",'caseload data'!$B:$B,"custody")/SUMIFS('caseload data'!F:F,'caseload data'!$B:$B,"custody",'caseload data'!$C:$C,'custody %'!$B$43),"")</f>
        <v/>
      </c>
      <c r="E46" s="175" t="str">
        <f>IFERROR(SUMIFS('caseload data'!G:G,'caseload data'!$C:$C,'custody %'!$B$43,'caseload data'!$D:$D,"PSO",'caseload data'!$B:$B,"custody")/SUMIFS('caseload data'!G:G,'caseload data'!$B:$B,"custody",'caseload data'!$C:$C,'custody %'!$B$43),"")</f>
        <v/>
      </c>
      <c r="F46" s="175" t="str">
        <f>IFERROR(SUMIFS('caseload data'!H:H,'caseload data'!$C:$C,'custody %'!$B$43,'caseload data'!$D:$D,"PSO",'caseload data'!$B:$B,"custody")/SUMIFS('caseload data'!H:H,'caseload data'!$B:$B,"custody",'caseload data'!$C:$C,'custody %'!$B$43),"")</f>
        <v/>
      </c>
      <c r="G46" s="175" t="str">
        <f>IFERROR(SUMIFS('caseload data'!I:I,'caseload data'!$C:$C,'custody %'!$B$43,'caseload data'!$D:$D,"PSO",'caseload data'!$B:$B,"custody")/SUMIFS('caseload data'!I:I,'caseload data'!$B:$B,"custody",'caseload data'!$C:$C,'custody %'!$B$43),"")</f>
        <v/>
      </c>
      <c r="H46" s="175" t="str">
        <f>IFERROR(SUMIFS('caseload data'!J:J,'caseload data'!$C:$C,'custody %'!$B$43,'caseload data'!$D:$D,"PSO",'caseload data'!$B:$B,"custody")/SUMIFS('caseload data'!J:J,'caseload data'!$B:$B,"custody",'caseload data'!$C:$C,'custody %'!$B$43),"")</f>
        <v/>
      </c>
      <c r="I46" s="175" t="str">
        <f>IFERROR(SUMIFS('caseload data'!K:K,'caseload data'!$C:$C,'custody %'!$B$43,'caseload data'!$D:$D,"PSO",'caseload data'!$B:$B,"custody")/SUMIFS('caseload data'!K:K,'caseload data'!$B:$B,"custody",'caseload data'!$C:$C,'custody %'!$B$43),"")</f>
        <v/>
      </c>
      <c r="J46" s="175" t="str">
        <f>IFERROR(SUMIFS('caseload data'!L:L,'caseload data'!$C:$C,'custody %'!$B$43,'caseload data'!$D:$D,"PSO",'caseload data'!$B:$B,"custody")/SUMIFS('caseload data'!L:L,'caseload data'!$B:$B,"custody",'caseload data'!$C:$C,'custody %'!$B$43),"")</f>
        <v/>
      </c>
      <c r="K46" s="175" t="str">
        <f>IFERROR(SUMIFS('caseload data'!M:M,'caseload data'!$C:$C,'custody %'!$B$43,'caseload data'!$D:$D,"PSO",'caseload data'!$B:$B,"custody")/SUMIFS('caseload data'!M:M,'caseload data'!$B:$B,"custody",'caseload data'!$C:$C,'custody %'!$B$43),"")</f>
        <v/>
      </c>
      <c r="L46" s="175" t="str">
        <f>IFERROR(SUMIFS('caseload data'!N:N,'caseload data'!$C:$C,'custody %'!$B$43,'caseload data'!$D:$D,"PSO",'caseload data'!$B:$B,"custody")/SUMIFS('caseload data'!N:N,'caseload data'!$B:$B,"custody",'caseload data'!$C:$C,'custody %'!$B$43),"")</f>
        <v/>
      </c>
      <c r="M46" s="175" t="str">
        <f>IFERROR(SUMIFS('caseload data'!O:O,'caseload data'!$C:$C,'custody %'!$B$43,'caseload data'!$D:$D,"PSO",'caseload data'!$B:$B,"custody")/SUMIFS('caseload data'!O:O,'caseload data'!$B:$B,"custody",'caseload data'!$C:$C,'custody %'!$B$43),"")</f>
        <v/>
      </c>
      <c r="N46" s="175" t="str">
        <f>IFERROR(SUMIFS('caseload data'!P:P,'caseload data'!$C:$C,'custody %'!$B$43,'caseload data'!$D:$D,"PSO",'caseload data'!$B:$B,"custody")/SUMIFS('caseload data'!P:P,'caseload data'!$B:$B,"custody",'caseload data'!$C:$C,'custody %'!$B$43),"")</f>
        <v/>
      </c>
      <c r="O46" s="175" t="str">
        <f>IFERROR(SUMIFS('caseload data'!Q:Q,'caseload data'!$C:$C,'custody %'!$B$43,'caseload data'!$D:$D,"PSO",'caseload data'!$B:$B,"custody")/SUMIFS('caseload data'!Q:Q,'caseload data'!$B:$B,"custody",'caseload data'!$C:$C,'custody %'!$B$43),"")</f>
        <v/>
      </c>
      <c r="P46" s="175" t="str">
        <f>IFERROR(SUMIFS('caseload data'!R:R,'caseload data'!$C:$C,'custody %'!$B$43,'caseload data'!$D:$D,"PSO",'caseload data'!$B:$B,"custody")/SUMIFS('caseload data'!R:R,'caseload data'!$B:$B,"custody",'caseload data'!$C:$C,'custody %'!$B$43),"")</f>
        <v/>
      </c>
      <c r="Q46" s="175" t="str">
        <f>IFERROR(SUMIFS('caseload data'!S:S,'caseload data'!$C:$C,'custody %'!$B$43,'caseload data'!$D:$D,"PSO",'caseload data'!$B:$B,"custody")/SUMIFS('caseload data'!S:S,'caseload data'!$B:$B,"custody",'caseload data'!$C:$C,'custody %'!$B$43),"")</f>
        <v/>
      </c>
      <c r="R46" s="175" t="str">
        <f>IFERROR(SUMIFS('caseload data'!T:T,'caseload data'!$C:$C,'custody %'!$B$43,'caseload data'!$D:$D,"PSO",'caseload data'!$B:$B,"custody")/SUMIFS('caseload data'!T:T,'caseload data'!$B:$B,"custody",'caseload data'!$C:$C,'custody %'!$B$43),"")</f>
        <v/>
      </c>
      <c r="S46" s="68"/>
      <c r="T46" s="101" t="s">
        <v>1172</v>
      </c>
      <c r="U46" s="175" t="str">
        <f>IFERROR(SUMIFS('caseload data'!E:E,'caseload data'!$C:$C,'custody %'!$T$43,'caseload data'!$D:$D,"PSO",'caseload data'!$B:$B,"custody")/SUMIFS('caseload data'!E:E,'caseload data'!$B:$B,"custody",'caseload data'!$C:$C,'custody %'!$T$43),"")</f>
        <v/>
      </c>
      <c r="V46" s="175" t="str">
        <f>IFERROR(SUMIFS('caseload data'!F:F,'caseload data'!$C:$C,'custody %'!$T$43,'caseload data'!$D:$D,"PSO",'caseload data'!$B:$B,"custody")/SUMIFS('caseload data'!F:F,'caseload data'!$B:$B,"custody",'caseload data'!$C:$C,'custody %'!$T$43),"")</f>
        <v/>
      </c>
      <c r="W46" s="175" t="str">
        <f>IFERROR(SUMIFS('caseload data'!G:G,'caseload data'!$C:$C,'custody %'!$T$43,'caseload data'!$D:$D,"PSO",'caseload data'!$B:$B,"custody")/SUMIFS('caseload data'!G:G,'caseload data'!$B:$B,"custody",'caseload data'!$C:$C,'custody %'!$T$43),"")</f>
        <v/>
      </c>
      <c r="X46" s="175" t="str">
        <f>IFERROR(SUMIFS('caseload data'!H:H,'caseload data'!$C:$C,'custody %'!$T$43,'caseload data'!$D:$D,"PSO",'caseload data'!$B:$B,"custody")/SUMIFS('caseload data'!H:H,'caseload data'!$B:$B,"custody",'caseload data'!$C:$C,'custody %'!$T$43),"")</f>
        <v/>
      </c>
      <c r="Y46" s="175" t="str">
        <f>IFERROR(SUMIFS('caseload data'!I:I,'caseload data'!$C:$C,'custody %'!$T$43,'caseload data'!$D:$D,"PSO",'caseload data'!$B:$B,"custody")/SUMIFS('caseload data'!I:I,'caseload data'!$B:$B,"custody",'caseload data'!$C:$C,'custody %'!$T$43),"")</f>
        <v/>
      </c>
      <c r="Z46" s="175" t="str">
        <f>IFERROR(SUMIFS('caseload data'!J:J,'caseload data'!$C:$C,'custody %'!$T$43,'caseload data'!$D:$D,"PSO",'caseload data'!$B:$B,"custody")/SUMIFS('caseload data'!J:J,'caseload data'!$B:$B,"custody",'caseload data'!$C:$C,'custody %'!$T$43),"")</f>
        <v/>
      </c>
      <c r="AA46" s="175" t="str">
        <f>IFERROR(SUMIFS('caseload data'!K:K,'caseload data'!$C:$C,'custody %'!$T$43,'caseload data'!$D:$D,"PSO",'caseload data'!$B:$B,"custody")/SUMIFS('caseload data'!K:K,'caseload data'!$B:$B,"custody",'caseload data'!$C:$C,'custody %'!$T$43),"")</f>
        <v/>
      </c>
      <c r="AB46" s="175" t="str">
        <f>IFERROR(SUMIFS('caseload data'!L:L,'caseload data'!$C:$C,'custody %'!$T$43,'caseload data'!$D:$D,"PSO",'caseload data'!$B:$B,"custody")/SUMIFS('caseload data'!L:L,'caseload data'!$B:$B,"custody",'caseload data'!$C:$C,'custody %'!$T$43),"")</f>
        <v/>
      </c>
      <c r="AC46" s="175" t="str">
        <f>IFERROR(SUMIFS('caseload data'!M:M,'caseload data'!$C:$C,'custody %'!$T$43,'caseload data'!$D:$D,"PSO",'caseload data'!$B:$B,"custody")/SUMIFS('caseload data'!M:M,'caseload data'!$B:$B,"custody",'caseload data'!$C:$C,'custody %'!$T$43),"")</f>
        <v/>
      </c>
      <c r="AD46" s="175" t="str">
        <f>IFERROR(SUMIFS('caseload data'!N:N,'caseload data'!$C:$C,'custody %'!$T$43,'caseload data'!$D:$D,"PSO",'caseload data'!$B:$B,"custody")/SUMIFS('caseload data'!N:N,'caseload data'!$B:$B,"custody",'caseload data'!$C:$C,'custody %'!$T$43),"")</f>
        <v/>
      </c>
      <c r="AE46" s="175" t="str">
        <f>IFERROR(SUMIFS('caseload data'!O:O,'caseload data'!$C:$C,'custody %'!$T$43,'caseload data'!$D:$D,"PSO",'caseload data'!$B:$B,"custody")/SUMIFS('caseload data'!O:O,'caseload data'!$B:$B,"custody",'caseload data'!$C:$C,'custody %'!$T$43),"")</f>
        <v/>
      </c>
      <c r="AF46" s="175" t="str">
        <f>IFERROR(SUMIFS('caseload data'!P:P,'caseload data'!$C:$C,'custody %'!$T$43,'caseload data'!$D:$D,"PSO",'caseload data'!$B:$B,"custody")/SUMIFS('caseload data'!P:P,'caseload data'!$B:$B,"custody",'caseload data'!$C:$C,'custody %'!$T$43),"")</f>
        <v/>
      </c>
      <c r="AG46" s="175" t="str">
        <f>IFERROR(SUMIFS('caseload data'!Q:Q,'caseload data'!$C:$C,'custody %'!$T$43,'caseload data'!$D:$D,"PSO",'caseload data'!$B:$B,"custody")/SUMIFS('caseload data'!Q:Q,'caseload data'!$B:$B,"custody",'caseload data'!$C:$C,'custody %'!$T$43),"")</f>
        <v/>
      </c>
      <c r="AH46" s="175" t="str">
        <f>IFERROR(SUMIFS('caseload data'!R:R,'caseload data'!$C:$C,'custody %'!$T$43,'caseload data'!$D:$D,"PSO",'caseload data'!$B:$B,"custody")/SUMIFS('caseload data'!R:R,'caseload data'!$B:$B,"custody",'caseload data'!$C:$C,'custody %'!$T$43),"")</f>
        <v/>
      </c>
      <c r="AI46" s="175"/>
      <c r="AJ46" s="175"/>
    </row>
    <row r="47" spans="2:36" x14ac:dyDescent="0.15">
      <c r="B47" s="101" t="s">
        <v>1173</v>
      </c>
      <c r="C47" s="175" t="str">
        <f>IFERROR(SUMIFS('caseload data'!E:E,'caseload data'!$C:$C,'custody %'!$B$43,'caseload data'!$D:$D,"TPO",'caseload data'!$B:$B,"custody")/SUMIFS('caseload data'!E:E,'caseload data'!$B:$B,"custody",'caseload data'!$C:$C,'custody %'!$B$43),"")</f>
        <v/>
      </c>
      <c r="D47" s="175" t="str">
        <f>IFERROR(SUMIFS('caseload data'!F:F,'caseload data'!$C:$C,'custody %'!$B$43,'caseload data'!$D:$D,"TPO",'caseload data'!$B:$B,"custody")/SUMIFS('caseload data'!F:F,'caseload data'!$B:$B,"custody",'caseload data'!$C:$C,'custody %'!$B$43),"")</f>
        <v/>
      </c>
      <c r="E47" s="175" t="str">
        <f>IFERROR(SUMIFS('caseload data'!G:G,'caseload data'!$C:$C,'custody %'!$B$43,'caseload data'!$D:$D,"TPO",'caseload data'!$B:$B,"custody")/SUMIFS('caseload data'!G:G,'caseload data'!$B:$B,"custody",'caseload data'!$C:$C,'custody %'!$B$43),"")</f>
        <v/>
      </c>
      <c r="F47" s="175" t="str">
        <f>IFERROR(SUMIFS('caseload data'!H:H,'caseload data'!$C:$C,'custody %'!$B$43,'caseload data'!$D:$D,"TPO",'caseload data'!$B:$B,"custody")/SUMIFS('caseload data'!H:H,'caseload data'!$B:$B,"custody",'caseload data'!$C:$C,'custody %'!$B$43),"")</f>
        <v/>
      </c>
      <c r="G47" s="175" t="str">
        <f>IFERROR(SUMIFS('caseload data'!I:I,'caseload data'!$C:$C,'custody %'!$B$43,'caseload data'!$D:$D,"TPO",'caseload data'!$B:$B,"custody")/SUMIFS('caseload data'!I:I,'caseload data'!$B:$B,"custody",'caseload data'!$C:$C,'custody %'!$B$43),"")</f>
        <v/>
      </c>
      <c r="H47" s="175" t="str">
        <f>IFERROR(SUMIFS('caseload data'!J:J,'caseload data'!$C:$C,'custody %'!$B$43,'caseload data'!$D:$D,"TPO",'caseload data'!$B:$B,"custody")/SUMIFS('caseload data'!J:J,'caseload data'!$B:$B,"custody",'caseload data'!$C:$C,'custody %'!$B$43),"")</f>
        <v/>
      </c>
      <c r="I47" s="175" t="str">
        <f>IFERROR(SUMIFS('caseload data'!K:K,'caseload data'!$C:$C,'custody %'!$B$43,'caseload data'!$D:$D,"TPO",'caseload data'!$B:$B,"custody")/SUMIFS('caseload data'!K:K,'caseload data'!$B:$B,"custody",'caseload data'!$C:$C,'custody %'!$B$43),"")</f>
        <v/>
      </c>
      <c r="J47" s="175" t="str">
        <f>IFERROR(SUMIFS('caseload data'!L:L,'caseload data'!$C:$C,'custody %'!$B$43,'caseload data'!$D:$D,"TPO",'caseload data'!$B:$B,"custody")/SUMIFS('caseload data'!L:L,'caseload data'!$B:$B,"custody",'caseload data'!$C:$C,'custody %'!$B$43),"")</f>
        <v/>
      </c>
      <c r="K47" s="175" t="str">
        <f>IFERROR(SUMIFS('caseload data'!M:M,'caseload data'!$C:$C,'custody %'!$B$43,'caseload data'!$D:$D,"TPO",'caseload data'!$B:$B,"custody")/SUMIFS('caseload data'!M:M,'caseload data'!$B:$B,"custody",'caseload data'!$C:$C,'custody %'!$B$43),"")</f>
        <v/>
      </c>
      <c r="L47" s="175" t="str">
        <f>IFERROR(SUMIFS('caseload data'!N:N,'caseload data'!$C:$C,'custody %'!$B$43,'caseload data'!$D:$D,"TPO",'caseload data'!$B:$B,"custody")/SUMIFS('caseload data'!N:N,'caseload data'!$B:$B,"custody",'caseload data'!$C:$C,'custody %'!$B$43),"")</f>
        <v/>
      </c>
      <c r="M47" s="175" t="str">
        <f>IFERROR(SUMIFS('caseload data'!O:O,'caseload data'!$C:$C,'custody %'!$B$43,'caseload data'!$D:$D,"TPO",'caseload data'!$B:$B,"custody")/SUMIFS('caseload data'!O:O,'caseload data'!$B:$B,"custody",'caseload data'!$C:$C,'custody %'!$B$43),"")</f>
        <v/>
      </c>
      <c r="N47" s="175" t="str">
        <f>IFERROR(SUMIFS('caseload data'!P:P,'caseload data'!$C:$C,'custody %'!$B$43,'caseload data'!$D:$D,"TPO",'caseload data'!$B:$B,"custody")/SUMIFS('caseload data'!P:P,'caseload data'!$B:$B,"custody",'caseload data'!$C:$C,'custody %'!$B$43),"")</f>
        <v/>
      </c>
      <c r="O47" s="175" t="str">
        <f>IFERROR(SUMIFS('caseload data'!Q:Q,'caseload data'!$C:$C,'custody %'!$B$43,'caseload data'!$D:$D,"TPO",'caseload data'!$B:$B,"custody")/SUMIFS('caseload data'!Q:Q,'caseload data'!$B:$B,"custody",'caseload data'!$C:$C,'custody %'!$B$43),"")</f>
        <v/>
      </c>
      <c r="P47" s="175" t="str">
        <f>IFERROR(SUMIFS('caseload data'!R:R,'caseload data'!$C:$C,'custody %'!$B$43,'caseload data'!$D:$D,"TPO",'caseload data'!$B:$B,"custody")/SUMIFS('caseload data'!R:R,'caseload data'!$B:$B,"custody",'caseload data'!$C:$C,'custody %'!$B$43),"")</f>
        <v/>
      </c>
      <c r="Q47" s="175" t="str">
        <f>IFERROR(SUMIFS('caseload data'!S:S,'caseload data'!$C:$C,'custody %'!$B$43,'caseload data'!$D:$D,"TPO",'caseload data'!$B:$B,"custody")/SUMIFS('caseload data'!S:S,'caseload data'!$B:$B,"custody",'caseload data'!$C:$C,'custody %'!$B$43),"")</f>
        <v/>
      </c>
      <c r="R47" s="175" t="str">
        <f>IFERROR(SUMIFS('caseload data'!T:T,'caseload data'!$C:$C,'custody %'!$B$43,'caseload data'!$D:$D,"TPO",'caseload data'!$B:$B,"custody")/SUMIFS('caseload data'!T:T,'caseload data'!$B:$B,"custody",'caseload data'!$C:$C,'custody %'!$B$43),"")</f>
        <v/>
      </c>
      <c r="S47" s="68"/>
      <c r="T47" s="101" t="s">
        <v>1173</v>
      </c>
      <c r="U47" s="175" t="str">
        <f>IFERROR(SUMIFS('caseload data'!E:E,'caseload data'!$C:$C,'custody %'!$T$43,'caseload data'!$D:$D,"TPO",'caseload data'!$B:$B,"custody")/SUMIFS('caseload data'!E:E,'caseload data'!$B:$B,"custody",'caseload data'!$C:$C,'custody %'!$T$43),"")</f>
        <v/>
      </c>
      <c r="V47" s="175" t="str">
        <f>IFERROR(SUMIFS('caseload data'!F:F,'caseload data'!$C:$C,'custody %'!$T$43,'caseload data'!$D:$D,"TPO",'caseload data'!$B:$B,"custody")/SUMIFS('caseload data'!F:F,'caseload data'!$B:$B,"custody",'caseload data'!$C:$C,'custody %'!$T$43),"")</f>
        <v/>
      </c>
      <c r="W47" s="175" t="str">
        <f>IFERROR(SUMIFS('caseload data'!G:G,'caseload data'!$C:$C,'custody %'!$T$43,'caseload data'!$D:$D,"TPO",'caseload data'!$B:$B,"custody")/SUMIFS('caseload data'!G:G,'caseload data'!$B:$B,"custody",'caseload data'!$C:$C,'custody %'!$T$43),"")</f>
        <v/>
      </c>
      <c r="X47" s="175" t="str">
        <f>IFERROR(SUMIFS('caseload data'!H:H,'caseload data'!$C:$C,'custody %'!$T$43,'caseload data'!$D:$D,"TPO",'caseload data'!$B:$B,"custody")/SUMIFS('caseload data'!H:H,'caseload data'!$B:$B,"custody",'caseload data'!$C:$C,'custody %'!$T$43),"")</f>
        <v/>
      </c>
      <c r="Y47" s="175" t="str">
        <f>IFERROR(SUMIFS('caseload data'!I:I,'caseload data'!$C:$C,'custody %'!$T$43,'caseload data'!$D:$D,"TPO",'caseload data'!$B:$B,"custody")/SUMIFS('caseload data'!I:I,'caseload data'!$B:$B,"custody",'caseload data'!$C:$C,'custody %'!$T$43),"")</f>
        <v/>
      </c>
      <c r="Z47" s="175" t="str">
        <f>IFERROR(SUMIFS('caseload data'!J:J,'caseload data'!$C:$C,'custody %'!$T$43,'caseload data'!$D:$D,"TPO",'caseload data'!$B:$B,"custody")/SUMIFS('caseload data'!J:J,'caseload data'!$B:$B,"custody",'caseload data'!$C:$C,'custody %'!$T$43),"")</f>
        <v/>
      </c>
      <c r="AA47" s="175" t="str">
        <f>IFERROR(SUMIFS('caseload data'!K:K,'caseload data'!$C:$C,'custody %'!$T$43,'caseload data'!$D:$D,"TPO",'caseload data'!$B:$B,"custody")/SUMIFS('caseload data'!K:K,'caseload data'!$B:$B,"custody",'caseload data'!$C:$C,'custody %'!$T$43),"")</f>
        <v/>
      </c>
      <c r="AB47" s="175" t="str">
        <f>IFERROR(SUMIFS('caseload data'!L:L,'caseload data'!$C:$C,'custody %'!$T$43,'caseload data'!$D:$D,"TPO",'caseload data'!$B:$B,"custody")/SUMIFS('caseload data'!L:L,'caseload data'!$B:$B,"custody",'caseload data'!$C:$C,'custody %'!$T$43),"")</f>
        <v/>
      </c>
      <c r="AC47" s="175" t="str">
        <f>IFERROR(SUMIFS('caseload data'!M:M,'caseload data'!$C:$C,'custody %'!$T$43,'caseload data'!$D:$D,"TPO",'caseload data'!$B:$B,"custody")/SUMIFS('caseload data'!M:M,'caseload data'!$B:$B,"custody",'caseload data'!$C:$C,'custody %'!$T$43),"")</f>
        <v/>
      </c>
      <c r="AD47" s="175" t="str">
        <f>IFERROR(SUMIFS('caseload data'!N:N,'caseload data'!$C:$C,'custody %'!$T$43,'caseload data'!$D:$D,"TPO",'caseload data'!$B:$B,"custody")/SUMIFS('caseload data'!N:N,'caseload data'!$B:$B,"custody",'caseload data'!$C:$C,'custody %'!$T$43),"")</f>
        <v/>
      </c>
      <c r="AE47" s="175" t="str">
        <f>IFERROR(SUMIFS('caseload data'!O:O,'caseload data'!$C:$C,'custody %'!$T$43,'caseload data'!$D:$D,"TPO",'caseload data'!$B:$B,"custody")/SUMIFS('caseload data'!O:O,'caseload data'!$B:$B,"custody",'caseload data'!$C:$C,'custody %'!$T$43),"")</f>
        <v/>
      </c>
      <c r="AF47" s="175" t="str">
        <f>IFERROR(SUMIFS('caseload data'!P:P,'caseload data'!$C:$C,'custody %'!$T$43,'caseload data'!$D:$D,"TPO",'caseload data'!$B:$B,"custody")/SUMIFS('caseload data'!P:P,'caseload data'!$B:$B,"custody",'caseload data'!$C:$C,'custody %'!$T$43),"")</f>
        <v/>
      </c>
      <c r="AG47" s="175" t="str">
        <f>IFERROR(SUMIFS('caseload data'!Q:Q,'caseload data'!$C:$C,'custody %'!$T$43,'caseload data'!$D:$D,"TPO",'caseload data'!$B:$B,"custody")/SUMIFS('caseload data'!Q:Q,'caseload data'!$B:$B,"custody",'caseload data'!$C:$C,'custody %'!$T$43),"")</f>
        <v/>
      </c>
      <c r="AH47" s="175" t="str">
        <f>IFERROR(SUMIFS('caseload data'!R:R,'caseload data'!$C:$C,'custody %'!$T$43,'caseload data'!$D:$D,"TPO",'caseload data'!$B:$B,"custody")/SUMIFS('caseload data'!R:R,'caseload data'!$B:$B,"custody",'caseload data'!$C:$C,'custody %'!$T$43),"")</f>
        <v/>
      </c>
      <c r="AI47" s="175"/>
      <c r="AJ47" s="175"/>
    </row>
    <row r="48" spans="2:36" x14ac:dyDescent="0.15">
      <c r="B48" s="102" t="s">
        <v>1174</v>
      </c>
      <c r="C48" s="175" t="str">
        <f>IFERROR(SUMIFS('caseload data'!E:E,'caseload data'!$C:$C,'custody %'!$B$43,'caseload data'!$D:$D,"SPO",'caseload data'!$B:$B,"custody")/SUMIFS('caseload data'!E:E,'caseload data'!$B:$B,"custody",'caseload data'!$C:$C,'custody %'!$B$43),"")</f>
        <v/>
      </c>
      <c r="D48" s="175" t="str">
        <f>IFERROR(SUMIFS('caseload data'!F:F,'caseload data'!$C:$C,'custody %'!$B$43,'caseload data'!$D:$D,"SPO",'caseload data'!$B:$B,"custody")/SUMIFS('caseload data'!F:F,'caseload data'!$B:$B,"custody",'caseload data'!$C:$C,'custody %'!$B$43),"")</f>
        <v/>
      </c>
      <c r="E48" s="175" t="str">
        <f>IFERROR(SUMIFS('caseload data'!G:G,'caseload data'!$C:$C,'custody %'!$B$43,'caseload data'!$D:$D,"SPO",'caseload data'!$B:$B,"custody")/SUMIFS('caseload data'!G:G,'caseload data'!$B:$B,"custody",'caseload data'!$C:$C,'custody %'!$B$43),"")</f>
        <v/>
      </c>
      <c r="F48" s="175" t="str">
        <f>IFERROR(SUMIFS('caseload data'!H:H,'caseload data'!$C:$C,'custody %'!$B$43,'caseload data'!$D:$D,"SPO",'caseload data'!$B:$B,"custody")/SUMIFS('caseload data'!H:H,'caseload data'!$B:$B,"custody",'caseload data'!$C:$C,'custody %'!$B$43),"")</f>
        <v/>
      </c>
      <c r="G48" s="175" t="str">
        <f>IFERROR(SUMIFS('caseload data'!I:I,'caseload data'!$C:$C,'custody %'!$B$43,'caseload data'!$D:$D,"SPO",'caseload data'!$B:$B,"custody")/SUMIFS('caseload data'!I:I,'caseload data'!$B:$B,"custody",'caseload data'!$C:$C,'custody %'!$B$43),"")</f>
        <v/>
      </c>
      <c r="H48" s="175" t="str">
        <f>IFERROR(SUMIFS('caseload data'!J:J,'caseload data'!$C:$C,'custody %'!$B$43,'caseload data'!$D:$D,"SPO",'caseload data'!$B:$B,"custody")/SUMIFS('caseload data'!J:J,'caseload data'!$B:$B,"custody",'caseload data'!$C:$C,'custody %'!$B$43),"")</f>
        <v/>
      </c>
      <c r="I48" s="175" t="str">
        <f>IFERROR(SUMIFS('caseload data'!K:K,'caseload data'!$C:$C,'custody %'!$B$43,'caseload data'!$D:$D,"SPO",'caseload data'!$B:$B,"custody")/SUMIFS('caseload data'!K:K,'caseload data'!$B:$B,"custody",'caseload data'!$C:$C,'custody %'!$B$43),"")</f>
        <v/>
      </c>
      <c r="J48" s="175" t="str">
        <f>IFERROR(SUMIFS('caseload data'!L:L,'caseload data'!$C:$C,'custody %'!$B$43,'caseload data'!$D:$D,"SPO",'caseload data'!$B:$B,"custody")/SUMIFS('caseload data'!L:L,'caseload data'!$B:$B,"custody",'caseload data'!$C:$C,'custody %'!$B$43),"")</f>
        <v/>
      </c>
      <c r="K48" s="175" t="str">
        <f>IFERROR(SUMIFS('caseload data'!M:M,'caseload data'!$C:$C,'custody %'!$B$43,'caseload data'!$D:$D,"SPO",'caseload data'!$B:$B,"custody")/SUMIFS('caseload data'!M:M,'caseload data'!$B:$B,"custody",'caseload data'!$C:$C,'custody %'!$B$43),"")</f>
        <v/>
      </c>
      <c r="L48" s="175" t="str">
        <f>IFERROR(SUMIFS('caseload data'!N:N,'caseload data'!$C:$C,'custody %'!$B$43,'caseload data'!$D:$D,"SPO",'caseload data'!$B:$B,"custody")/SUMIFS('caseload data'!N:N,'caseload data'!$B:$B,"custody",'caseload data'!$C:$C,'custody %'!$B$43),"")</f>
        <v/>
      </c>
      <c r="M48" s="175" t="str">
        <f>IFERROR(SUMIFS('caseload data'!O:O,'caseload data'!$C:$C,'custody %'!$B$43,'caseload data'!$D:$D,"SPO",'caseload data'!$B:$B,"custody")/SUMIFS('caseload data'!O:O,'caseload data'!$B:$B,"custody",'caseload data'!$C:$C,'custody %'!$B$43),"")</f>
        <v/>
      </c>
      <c r="N48" s="175" t="str">
        <f>IFERROR(SUMIFS('caseload data'!P:P,'caseload data'!$C:$C,'custody %'!$B$43,'caseload data'!$D:$D,"SPO",'caseload data'!$B:$B,"custody")/SUMIFS('caseload data'!P:P,'caseload data'!$B:$B,"custody",'caseload data'!$C:$C,'custody %'!$B$43),"")</f>
        <v/>
      </c>
      <c r="O48" s="175" t="str">
        <f>IFERROR(SUMIFS('caseload data'!Q:Q,'caseload data'!$C:$C,'custody %'!$B$43,'caseload data'!$D:$D,"SPO",'caseload data'!$B:$B,"custody")/SUMIFS('caseload data'!Q:Q,'caseload data'!$B:$B,"custody",'caseload data'!$C:$C,'custody %'!$B$43),"")</f>
        <v/>
      </c>
      <c r="P48" s="175" t="str">
        <f>IFERROR(SUMIFS('caseload data'!R:R,'caseload data'!$C:$C,'custody %'!$B$43,'caseload data'!$D:$D,"SPO",'caseload data'!$B:$B,"custody")/SUMIFS('caseload data'!R:R,'caseload data'!$B:$B,"custody",'caseload data'!$C:$C,'custody %'!$B$43),"")</f>
        <v/>
      </c>
      <c r="Q48" s="175" t="str">
        <f>IFERROR(SUMIFS('caseload data'!S:S,'caseload data'!$C:$C,'custody %'!$B$43,'caseload data'!$D:$D,"SPO",'caseload data'!$B:$B,"custody")/SUMIFS('caseload data'!S:S,'caseload data'!$B:$B,"custody",'caseload data'!$C:$C,'custody %'!$B$43),"")</f>
        <v/>
      </c>
      <c r="R48" s="175" t="str">
        <f>IFERROR(SUMIFS('caseload data'!T:T,'caseload data'!$C:$C,'custody %'!$B$43,'caseload data'!$D:$D,"SPO",'caseload data'!$B:$B,"custody")/SUMIFS('caseload data'!T:T,'caseload data'!$B:$B,"custody",'caseload data'!$C:$C,'custody %'!$B$43),"")</f>
        <v/>
      </c>
      <c r="S48" s="68"/>
      <c r="T48" s="102" t="s">
        <v>1174</v>
      </c>
      <c r="U48" s="175" t="str">
        <f>IFERROR(SUMIFS('caseload data'!E:E,'caseload data'!$C:$C,'custody %'!$T$43,'caseload data'!$D:$D,"SPO",'caseload data'!$B:$B,"custody")/SUMIFS('caseload data'!E:E,'caseload data'!$B:$B,"custody",'caseload data'!$C:$C,'custody %'!$T$43),"")</f>
        <v/>
      </c>
      <c r="V48" s="175" t="str">
        <f>IFERROR(SUMIFS('caseload data'!F:F,'caseload data'!$C:$C,'custody %'!$T$43,'caseload data'!$D:$D,"SPO",'caseload data'!$B:$B,"custody")/SUMIFS('caseload data'!F:F,'caseload data'!$B:$B,"custody",'caseload data'!$C:$C,'custody %'!$T$43),"")</f>
        <v/>
      </c>
      <c r="W48" s="175" t="str">
        <f>IFERROR(SUMIFS('caseload data'!G:G,'caseload data'!$C:$C,'custody %'!$T$43,'caseload data'!$D:$D,"SPO",'caseload data'!$B:$B,"custody")/SUMIFS('caseload data'!G:G,'caseload data'!$B:$B,"custody",'caseload data'!$C:$C,'custody %'!$T$43),"")</f>
        <v/>
      </c>
      <c r="X48" s="175" t="str">
        <f>IFERROR(SUMIFS('caseload data'!H:H,'caseload data'!$C:$C,'custody %'!$T$43,'caseload data'!$D:$D,"SPO",'caseload data'!$B:$B,"custody")/SUMIFS('caseload data'!H:H,'caseload data'!$B:$B,"custody",'caseload data'!$C:$C,'custody %'!$T$43),"")</f>
        <v/>
      </c>
      <c r="Y48" s="175" t="str">
        <f>IFERROR(SUMIFS('caseload data'!I:I,'caseload data'!$C:$C,'custody %'!$T$43,'caseload data'!$D:$D,"SPO",'caseload data'!$B:$B,"custody")/SUMIFS('caseload data'!I:I,'caseload data'!$B:$B,"custody",'caseload data'!$C:$C,'custody %'!$T$43),"")</f>
        <v/>
      </c>
      <c r="Z48" s="175" t="str">
        <f>IFERROR(SUMIFS('caseload data'!J:J,'caseload data'!$C:$C,'custody %'!$T$43,'caseload data'!$D:$D,"SPO",'caseload data'!$B:$B,"custody")/SUMIFS('caseload data'!J:J,'caseload data'!$B:$B,"custody",'caseload data'!$C:$C,'custody %'!$T$43),"")</f>
        <v/>
      </c>
      <c r="AA48" s="175" t="str">
        <f>IFERROR(SUMIFS('caseload data'!K:K,'caseload data'!$C:$C,'custody %'!$T$43,'caseload data'!$D:$D,"SPO",'caseload data'!$B:$B,"custody")/SUMIFS('caseload data'!K:K,'caseload data'!$B:$B,"custody",'caseload data'!$C:$C,'custody %'!$T$43),"")</f>
        <v/>
      </c>
      <c r="AB48" s="175" t="str">
        <f>IFERROR(SUMIFS('caseload data'!L:L,'caseload data'!$C:$C,'custody %'!$T$43,'caseload data'!$D:$D,"SPO",'caseload data'!$B:$B,"custody")/SUMIFS('caseload data'!L:L,'caseload data'!$B:$B,"custody",'caseload data'!$C:$C,'custody %'!$T$43),"")</f>
        <v/>
      </c>
      <c r="AC48" s="175" t="str">
        <f>IFERROR(SUMIFS('caseload data'!M:M,'caseload data'!$C:$C,'custody %'!$T$43,'caseload data'!$D:$D,"SPO",'caseload data'!$B:$B,"custody")/SUMIFS('caseload data'!M:M,'caseload data'!$B:$B,"custody",'caseload data'!$C:$C,'custody %'!$T$43),"")</f>
        <v/>
      </c>
      <c r="AD48" s="175" t="str">
        <f>IFERROR(SUMIFS('caseload data'!N:N,'caseload data'!$C:$C,'custody %'!$T$43,'caseload data'!$D:$D,"SPO",'caseload data'!$B:$B,"custody")/SUMIFS('caseload data'!N:N,'caseload data'!$B:$B,"custody",'caseload data'!$C:$C,'custody %'!$T$43),"")</f>
        <v/>
      </c>
      <c r="AE48" s="175" t="str">
        <f>IFERROR(SUMIFS('caseload data'!O:O,'caseload data'!$C:$C,'custody %'!$T$43,'caseload data'!$D:$D,"SPO",'caseload data'!$B:$B,"custody")/SUMIFS('caseload data'!O:O,'caseload data'!$B:$B,"custody",'caseload data'!$C:$C,'custody %'!$T$43),"")</f>
        <v/>
      </c>
      <c r="AF48" s="175" t="str">
        <f>IFERROR(SUMIFS('caseload data'!P:P,'caseload data'!$C:$C,'custody %'!$T$43,'caseload data'!$D:$D,"SPO",'caseload data'!$B:$B,"custody")/SUMIFS('caseload data'!P:P,'caseload data'!$B:$B,"custody",'caseload data'!$C:$C,'custody %'!$T$43),"")</f>
        <v/>
      </c>
      <c r="AG48" s="175" t="str">
        <f>IFERROR(SUMIFS('caseload data'!Q:Q,'caseload data'!$C:$C,'custody %'!$T$43,'caseload data'!$D:$D,"SPO",'caseload data'!$B:$B,"custody")/SUMIFS('caseload data'!Q:Q,'caseload data'!$B:$B,"custody",'caseload data'!$C:$C,'custody %'!$T$43),"")</f>
        <v/>
      </c>
      <c r="AH48" s="175" t="str">
        <f>IFERROR(SUMIFS('caseload data'!R:R,'caseload data'!$C:$C,'custody %'!$T$43,'caseload data'!$D:$D,"SPO",'caseload data'!$B:$B,"custody")/SUMIFS('caseload data'!R:R,'caseload data'!$B:$B,"custody",'caseload data'!$C:$C,'custody %'!$T$43),"")</f>
        <v/>
      </c>
      <c r="AI48" s="175"/>
      <c r="AJ48" s="175"/>
    </row>
    <row r="49" spans="2:36" x14ac:dyDescent="0.15">
      <c r="B49" s="95"/>
      <c r="C49" s="68"/>
      <c r="D49" s="68"/>
      <c r="E49" s="68"/>
      <c r="F49" s="68"/>
      <c r="G49" s="68"/>
      <c r="H49" s="68"/>
      <c r="I49" s="68"/>
      <c r="J49" s="68"/>
      <c r="K49" s="68"/>
      <c r="L49" s="68"/>
      <c r="M49" s="68"/>
      <c r="N49" s="68"/>
      <c r="O49" s="68"/>
      <c r="P49" s="68"/>
      <c r="Q49" s="68"/>
      <c r="R49" s="68"/>
      <c r="S49" s="68"/>
      <c r="T49" s="95"/>
      <c r="U49" s="68"/>
      <c r="V49" s="68"/>
      <c r="W49" s="68"/>
      <c r="X49" s="68"/>
      <c r="Y49" s="68"/>
      <c r="Z49" s="68"/>
      <c r="AA49" s="68"/>
      <c r="AB49" s="68"/>
      <c r="AC49" s="68"/>
      <c r="AD49" s="68"/>
      <c r="AE49" s="68"/>
      <c r="AF49" s="68"/>
      <c r="AG49" s="68"/>
      <c r="AH49" s="68"/>
    </row>
    <row r="50" spans="2:36" ht="30" customHeight="1" x14ac:dyDescent="0.15">
      <c r="B50" s="302" t="str">
        <f>HLOOKUP($B$5,Region_Table,14,0)</f>
        <v>Inactive Level 2(N07)</v>
      </c>
      <c r="C50" s="467" t="s">
        <v>1305</v>
      </c>
      <c r="D50" s="468"/>
      <c r="E50" s="468"/>
      <c r="F50" s="468"/>
      <c r="G50" s="468"/>
      <c r="H50" s="468"/>
      <c r="I50" s="468"/>
      <c r="J50" s="468"/>
      <c r="K50" s="468"/>
      <c r="L50" s="468"/>
      <c r="M50" s="487"/>
      <c r="N50" s="487"/>
      <c r="O50" s="488"/>
      <c r="P50" s="462">
        <f>SUMIF('caseload data'!$C:$C,'custody %'!B50,'caseload data'!V:V)</f>
        <v>0</v>
      </c>
      <c r="Q50" s="479"/>
      <c r="R50" s="480"/>
      <c r="S50" s="68"/>
      <c r="T50" s="302" t="str">
        <f>HLOOKUP($B$5,Region_Table,15,0)</f>
        <v>Kingston, Richmond and Hounslow</v>
      </c>
      <c r="U50" s="467" t="s">
        <v>1305</v>
      </c>
      <c r="V50" s="468"/>
      <c r="W50" s="468"/>
      <c r="X50" s="468"/>
      <c r="Y50" s="468"/>
      <c r="Z50" s="468"/>
      <c r="AA50" s="468"/>
      <c r="AB50" s="468"/>
      <c r="AC50" s="487"/>
      <c r="AD50" s="487"/>
      <c r="AE50" s="488"/>
      <c r="AF50" s="462">
        <f>SUMIF('caseload data'!$C:$C,'custody %'!T50,'caseload data'!V:V)</f>
        <v>0</v>
      </c>
      <c r="AG50" s="479"/>
      <c r="AH50" s="480"/>
    </row>
    <row r="51" spans="2:36" x14ac:dyDescent="0.15">
      <c r="B51" s="99" t="s">
        <v>1170</v>
      </c>
      <c r="C51" s="40" t="s">
        <v>1022</v>
      </c>
      <c r="D51" s="40" t="s">
        <v>1023</v>
      </c>
      <c r="E51" s="40" t="s">
        <v>1024</v>
      </c>
      <c r="F51" s="40" t="s">
        <v>1025</v>
      </c>
      <c r="G51" s="40" t="s">
        <v>1026</v>
      </c>
      <c r="H51" s="40" t="s">
        <v>1027</v>
      </c>
      <c r="I51" s="40" t="s">
        <v>1028</v>
      </c>
      <c r="J51" s="40" t="s">
        <v>1029</v>
      </c>
      <c r="K51" s="40" t="s">
        <v>1030</v>
      </c>
      <c r="L51" s="40" t="s">
        <v>1031</v>
      </c>
      <c r="M51" s="40" t="s">
        <v>1032</v>
      </c>
      <c r="N51" s="40" t="s">
        <v>1033</v>
      </c>
      <c r="O51" s="40" t="s">
        <v>1034</v>
      </c>
      <c r="P51" s="40" t="s">
        <v>1035</v>
      </c>
      <c r="Q51" s="40" t="s">
        <v>1036</v>
      </c>
      <c r="R51" s="40" t="s">
        <v>1037</v>
      </c>
      <c r="S51" s="68"/>
      <c r="T51" s="99" t="s">
        <v>1170</v>
      </c>
      <c r="U51" s="40" t="s">
        <v>1022</v>
      </c>
      <c r="V51" s="40" t="s">
        <v>1023</v>
      </c>
      <c r="W51" s="40" t="s">
        <v>1024</v>
      </c>
      <c r="X51" s="40" t="s">
        <v>1025</v>
      </c>
      <c r="Y51" s="40" t="s">
        <v>1026</v>
      </c>
      <c r="Z51" s="40" t="s">
        <v>1027</v>
      </c>
      <c r="AA51" s="40" t="s">
        <v>1028</v>
      </c>
      <c r="AB51" s="40" t="s">
        <v>1029</v>
      </c>
      <c r="AC51" s="40" t="s">
        <v>1030</v>
      </c>
      <c r="AD51" s="40" t="s">
        <v>1031</v>
      </c>
      <c r="AE51" s="40" t="s">
        <v>1032</v>
      </c>
      <c r="AF51" s="40" t="s">
        <v>1033</v>
      </c>
      <c r="AG51" s="40" t="s">
        <v>1034</v>
      </c>
      <c r="AH51" s="40" t="s">
        <v>1035</v>
      </c>
      <c r="AI51" s="40" t="s">
        <v>1036</v>
      </c>
      <c r="AJ51" s="40" t="s">
        <v>1037</v>
      </c>
    </row>
    <row r="52" spans="2:36" x14ac:dyDescent="0.15">
      <c r="B52" s="100" t="s">
        <v>1166</v>
      </c>
      <c r="C52" s="175" t="str">
        <f>IFERROR(SUMIFS('caseload data'!E:E,'caseload data'!$C:$C,'custody %'!$B$50,'caseload data'!$D:$D,"PO",'caseload data'!$B:$B,"custody")/SUMIFS('caseload data'!E:E,'caseload data'!$B:$B,"custody",'caseload data'!$C:$C,'custody %'!$B$50),"")</f>
        <v/>
      </c>
      <c r="D52" s="175" t="str">
        <f>IFERROR(SUMIFS('caseload data'!F:F,'caseload data'!$C:$C,'custody %'!$B$50,'caseload data'!$D:$D,"PO",'caseload data'!$B:$B,"custody")/SUMIFS('caseload data'!F:F,'caseload data'!$B:$B,"custody",'caseload data'!$C:$C,'custody %'!$B$50),"")</f>
        <v/>
      </c>
      <c r="E52" s="175" t="str">
        <f>IFERROR(SUMIFS('caseload data'!G:G,'caseload data'!$C:$C,'custody %'!$B$50,'caseload data'!$D:$D,"PO",'caseload data'!$B:$B,"custody")/SUMIFS('caseload data'!G:G,'caseload data'!$B:$B,"custody",'caseload data'!$C:$C,'custody %'!$B$50),"")</f>
        <v/>
      </c>
      <c r="F52" s="175" t="str">
        <f>IFERROR(SUMIFS('caseload data'!H:H,'caseload data'!$C:$C,'custody %'!$B$50,'caseload data'!$D:$D,"PO",'caseload data'!$B:$B,"custody")/SUMIFS('caseload data'!H:H,'caseload data'!$B:$B,"custody",'caseload data'!$C:$C,'custody %'!$B$50),"")</f>
        <v/>
      </c>
      <c r="G52" s="175" t="str">
        <f>IFERROR(SUMIFS('caseload data'!I:I,'caseload data'!$C:$C,'custody %'!$B$50,'caseload data'!$D:$D,"PO",'caseload data'!$B:$B,"custody")/SUMIFS('caseload data'!I:I,'caseload data'!$B:$B,"custody",'caseload data'!$C:$C,'custody %'!$B$50),"")</f>
        <v/>
      </c>
      <c r="H52" s="175" t="str">
        <f>IFERROR(SUMIFS('caseload data'!J:J,'caseload data'!$C:$C,'custody %'!$B$50,'caseload data'!$D:$D,"PO",'caseload data'!$B:$B,"custody")/SUMIFS('caseload data'!J:J,'caseload data'!$B:$B,"custody",'caseload data'!$C:$C,'custody %'!$B$50),"")</f>
        <v/>
      </c>
      <c r="I52" s="175" t="str">
        <f>IFERROR(SUMIFS('caseload data'!K:K,'caseload data'!$C:$C,'custody %'!$B$50,'caseload data'!$D:$D,"PO",'caseload data'!$B:$B,"custody")/SUMIFS('caseload data'!K:K,'caseload data'!$B:$B,"custody",'caseload data'!$C:$C,'custody %'!$B$50),"")</f>
        <v/>
      </c>
      <c r="J52" s="175" t="str">
        <f>IFERROR(SUMIFS('caseload data'!L:L,'caseload data'!$C:$C,'custody %'!$B$50,'caseload data'!$D:$D,"PO",'caseload data'!$B:$B,"custody")/SUMIFS('caseload data'!L:L,'caseload data'!$B:$B,"custody",'caseload data'!$C:$C,'custody %'!$B$50),"")</f>
        <v/>
      </c>
      <c r="K52" s="175" t="str">
        <f>IFERROR(SUMIFS('caseload data'!M:M,'caseload data'!$C:$C,'custody %'!$B$50,'caseload data'!$D:$D,"PO",'caseload data'!$B:$B,"custody")/SUMIFS('caseload data'!M:M,'caseload data'!$B:$B,"custody",'caseload data'!$C:$C,'custody %'!$B$50),"")</f>
        <v/>
      </c>
      <c r="L52" s="175" t="str">
        <f>IFERROR(SUMIFS('caseload data'!N:N,'caseload data'!$C:$C,'custody %'!$B$50,'caseload data'!$D:$D,"PO",'caseload data'!$B:$B,"custody")/SUMIFS('caseload data'!N:N,'caseload data'!$B:$B,"custody",'caseload data'!$C:$C,'custody %'!$B$50),"")</f>
        <v/>
      </c>
      <c r="M52" s="175" t="str">
        <f>IFERROR(SUMIFS('caseload data'!O:O,'caseload data'!$C:$C,'custody %'!$B$50,'caseload data'!$D:$D,"PO",'caseload data'!$B:$B,"custody")/SUMIFS('caseload data'!O:O,'caseload data'!$B:$B,"custody",'caseload data'!$C:$C,'custody %'!$B$50),"")</f>
        <v/>
      </c>
      <c r="N52" s="175" t="str">
        <f>IFERROR(SUMIFS('caseload data'!P:P,'caseload data'!$C:$C,'custody %'!$B$50,'caseload data'!$D:$D,"PO",'caseload data'!$B:$B,"custody")/SUMIFS('caseload data'!P:P,'caseload data'!$B:$B,"custody",'caseload data'!$C:$C,'custody %'!$B$50),"")</f>
        <v/>
      </c>
      <c r="O52" s="175" t="str">
        <f>IFERROR(SUMIFS('caseload data'!Q:Q,'caseload data'!$C:$C,'custody %'!$B$50,'caseload data'!$D:$D,"PO",'caseload data'!$B:$B,"custody")/SUMIFS('caseload data'!Q:Q,'caseload data'!$B:$B,"custody",'caseload data'!$C:$C,'custody %'!$B$50),"")</f>
        <v/>
      </c>
      <c r="P52" s="175" t="str">
        <f>IFERROR(SUMIFS('caseload data'!R:R,'caseload data'!$C:$C,'custody %'!$B$50,'caseload data'!$D:$D,"PO",'caseload data'!$B:$B,"custody")/SUMIFS('caseload data'!R:R,'caseload data'!$B:$B,"custody",'caseload data'!$C:$C,'custody %'!$B$50),"")</f>
        <v/>
      </c>
      <c r="Q52" s="175" t="str">
        <f>IFERROR(SUMIFS('caseload data'!S:S,'caseload data'!$C:$C,'custody %'!$B$50,'caseload data'!$D:$D,"PO",'caseload data'!$B:$B,"custody")/SUMIFS('caseload data'!S:S,'caseload data'!$B:$B,"custody",'caseload data'!$C:$C,'custody %'!$B$50),"")</f>
        <v/>
      </c>
      <c r="R52" s="175" t="str">
        <f>IFERROR(SUMIFS('caseload data'!T:T,'caseload data'!$C:$C,'custody %'!$B$50,'caseload data'!$D:$D,"PO",'caseload data'!$B:$B,"custody")/SUMIFS('caseload data'!T:T,'caseload data'!$B:$B,"custody",'caseload data'!$C:$C,'custody %'!$B$50),"")</f>
        <v/>
      </c>
      <c r="S52" s="68"/>
      <c r="T52" s="100" t="s">
        <v>1166</v>
      </c>
      <c r="U52" s="175" t="str">
        <f>IFERROR(SUMIFS('caseload data'!E:E,'caseload data'!$C:$C,'custody %'!$T$50,'caseload data'!$D:$D,"PO",'caseload data'!$B:$B,"custody")/SUMIFS('caseload data'!E:E,'caseload data'!$B:$B,"custody",'caseload data'!$C:$C,'custody %'!$T$50),"")</f>
        <v/>
      </c>
      <c r="V52" s="175" t="str">
        <f>IFERROR(SUMIFS('caseload data'!F:F,'caseload data'!$C:$C,'custody %'!$T$50,'caseload data'!$D:$D,"PO",'caseload data'!$B:$B,"custody")/SUMIFS('caseload data'!F:F,'caseload data'!$B:$B,"custody",'caseload data'!$C:$C,'custody %'!$T$50),"")</f>
        <v/>
      </c>
      <c r="W52" s="175" t="str">
        <f>IFERROR(SUMIFS('caseload data'!G:G,'caseload data'!$C:$C,'custody %'!$T$50,'caseload data'!$D:$D,"PO",'caseload data'!$B:$B,"custody")/SUMIFS('caseload data'!G:G,'caseload data'!$B:$B,"custody",'caseload data'!$C:$C,'custody %'!$T$50),"")</f>
        <v/>
      </c>
      <c r="X52" s="175" t="str">
        <f>IFERROR(SUMIFS('caseload data'!H:H,'caseload data'!$C:$C,'custody %'!$T$50,'caseload data'!$D:$D,"PO",'caseload data'!$B:$B,"custody")/SUMIFS('caseload data'!H:H,'caseload data'!$B:$B,"custody",'caseload data'!$C:$C,'custody %'!$T$50),"")</f>
        <v/>
      </c>
      <c r="Y52" s="175" t="str">
        <f>IFERROR(SUMIFS('caseload data'!I:I,'caseload data'!$C:$C,'custody %'!$T$50,'caseload data'!$D:$D,"PO",'caseload data'!$B:$B,"custody")/SUMIFS('caseload data'!I:I,'caseload data'!$B:$B,"custody",'caseload data'!$C:$C,'custody %'!$T$50),"")</f>
        <v/>
      </c>
      <c r="Z52" s="175" t="str">
        <f>IFERROR(SUMIFS('caseload data'!J:J,'caseload data'!$C:$C,'custody %'!$T$50,'caseload data'!$D:$D,"PO",'caseload data'!$B:$B,"custody")/SUMIFS('caseload data'!J:J,'caseload data'!$B:$B,"custody",'caseload data'!$C:$C,'custody %'!$T$50),"")</f>
        <v/>
      </c>
      <c r="AA52" s="175" t="str">
        <f>IFERROR(SUMIFS('caseload data'!K:K,'caseload data'!$C:$C,'custody %'!$T$50,'caseload data'!$D:$D,"PO",'caseload data'!$B:$B,"custody")/SUMIFS('caseload data'!K:K,'caseload data'!$B:$B,"custody",'caseload data'!$C:$C,'custody %'!$T$50),"")</f>
        <v/>
      </c>
      <c r="AB52" s="175" t="str">
        <f>IFERROR(SUMIFS('caseload data'!L:L,'caseload data'!$C:$C,'custody %'!$T$50,'caseload data'!$D:$D,"PO",'caseload data'!$B:$B,"custody")/SUMIFS('caseload data'!L:L,'caseload data'!$B:$B,"custody",'caseload data'!$C:$C,'custody %'!$T$50),"")</f>
        <v/>
      </c>
      <c r="AC52" s="175" t="str">
        <f>IFERROR(SUMIFS('caseload data'!M:M,'caseload data'!$C:$C,'custody %'!$T$50,'caseload data'!$D:$D,"PO",'caseload data'!$B:$B,"custody")/SUMIFS('caseload data'!M:M,'caseload data'!$B:$B,"custody",'caseload data'!$C:$C,'custody %'!$T$50),"")</f>
        <v/>
      </c>
      <c r="AD52" s="175" t="str">
        <f>IFERROR(SUMIFS('caseload data'!N:N,'caseload data'!$C:$C,'custody %'!$T$50,'caseload data'!$D:$D,"PO",'caseload data'!$B:$B,"custody")/SUMIFS('caseload data'!N:N,'caseload data'!$B:$B,"custody",'caseload data'!$C:$C,'custody %'!$T$50),"")</f>
        <v/>
      </c>
      <c r="AE52" s="175" t="str">
        <f>IFERROR(SUMIFS('caseload data'!O:O,'caseload data'!$C:$C,'custody %'!$T$50,'caseload data'!$D:$D,"PO",'caseload data'!$B:$B,"custody")/SUMIFS('caseload data'!O:O,'caseload data'!$B:$B,"custody",'caseload data'!$C:$C,'custody %'!$T$50),"")</f>
        <v/>
      </c>
      <c r="AF52" s="175" t="str">
        <f>IFERROR(SUMIFS('caseload data'!P:P,'caseload data'!$C:$C,'custody %'!$T$50,'caseload data'!$D:$D,"PO",'caseload data'!$B:$B,"custody")/SUMIFS('caseload data'!P:P,'caseload data'!$B:$B,"custody",'caseload data'!$C:$C,'custody %'!$T$50),"")</f>
        <v/>
      </c>
      <c r="AG52" s="175" t="str">
        <f>IFERROR(SUMIFS('caseload data'!Q:Q,'caseload data'!$C:$C,'custody %'!$T$50,'caseload data'!$D:$D,"PO",'caseload data'!$B:$B,"custody")/SUMIFS('caseload data'!Q:Q,'caseload data'!$B:$B,"custody",'caseload data'!$C:$C,'custody %'!$T$50),"")</f>
        <v/>
      </c>
      <c r="AH52" s="175" t="str">
        <f>IFERROR(SUMIFS('caseload data'!R:R,'caseload data'!$C:$C,'custody %'!$T$50,'caseload data'!$D:$D,"PO",'caseload data'!$B:$B,"custody")/SUMIFS('caseload data'!R:R,'caseload data'!$B:$B,"custody",'caseload data'!$C:$C,'custody %'!$T$50),"")</f>
        <v/>
      </c>
      <c r="AI52" s="175"/>
      <c r="AJ52" s="175"/>
    </row>
    <row r="53" spans="2:36" x14ac:dyDescent="0.15">
      <c r="B53" s="101" t="s">
        <v>1172</v>
      </c>
      <c r="C53" s="175" t="str">
        <f>IFERROR(SUMIFS('caseload data'!E:E,'caseload data'!$C:$C,'custody %'!$B$50,'caseload data'!$D:$D,"PSO",'caseload data'!$B:$B,"custody")/SUMIFS('caseload data'!E:E,'caseload data'!$B:$B,"custody",'caseload data'!$C:$C,'custody %'!$B$50),"")</f>
        <v/>
      </c>
      <c r="D53" s="175" t="str">
        <f>IFERROR(SUMIFS('caseload data'!F:F,'caseload data'!$C:$C,'custody %'!$B$50,'caseload data'!$D:$D,"PSO",'caseload data'!$B:$B,"custody")/SUMIFS('caseload data'!F:F,'caseload data'!$B:$B,"custody",'caseload data'!$C:$C,'custody %'!$B$50),"")</f>
        <v/>
      </c>
      <c r="E53" s="175" t="str">
        <f>IFERROR(SUMIFS('caseload data'!G:G,'caseload data'!$C:$C,'custody %'!$B$50,'caseload data'!$D:$D,"PSO",'caseload data'!$B:$B,"custody")/SUMIFS('caseload data'!G:G,'caseload data'!$B:$B,"custody",'caseload data'!$C:$C,'custody %'!$B$50),"")</f>
        <v/>
      </c>
      <c r="F53" s="175" t="str">
        <f>IFERROR(SUMIFS('caseload data'!H:H,'caseload data'!$C:$C,'custody %'!$B$50,'caseload data'!$D:$D,"PSO",'caseload data'!$B:$B,"custody")/SUMIFS('caseload data'!H:H,'caseload data'!$B:$B,"custody",'caseload data'!$C:$C,'custody %'!$B$50),"")</f>
        <v/>
      </c>
      <c r="G53" s="175" t="str">
        <f>IFERROR(SUMIFS('caseload data'!I:I,'caseload data'!$C:$C,'custody %'!$B$50,'caseload data'!$D:$D,"PSO",'caseload data'!$B:$B,"custody")/SUMIFS('caseload data'!I:I,'caseload data'!$B:$B,"custody",'caseload data'!$C:$C,'custody %'!$B$50),"")</f>
        <v/>
      </c>
      <c r="H53" s="175" t="str">
        <f>IFERROR(SUMIFS('caseload data'!J:J,'caseload data'!$C:$C,'custody %'!$B$50,'caseload data'!$D:$D,"PSO",'caseload data'!$B:$B,"custody")/SUMIFS('caseload data'!J:J,'caseload data'!$B:$B,"custody",'caseload data'!$C:$C,'custody %'!$B$50),"")</f>
        <v/>
      </c>
      <c r="I53" s="175" t="str">
        <f>IFERROR(SUMIFS('caseload data'!K:K,'caseload data'!$C:$C,'custody %'!$B$50,'caseload data'!$D:$D,"PSO",'caseload data'!$B:$B,"custody")/SUMIFS('caseload data'!K:K,'caseload data'!$B:$B,"custody",'caseload data'!$C:$C,'custody %'!$B$50),"")</f>
        <v/>
      </c>
      <c r="J53" s="175" t="str">
        <f>IFERROR(SUMIFS('caseload data'!L:L,'caseload data'!$C:$C,'custody %'!$B$50,'caseload data'!$D:$D,"PSO",'caseload data'!$B:$B,"custody")/SUMIFS('caseload data'!L:L,'caseload data'!$B:$B,"custody",'caseload data'!$C:$C,'custody %'!$B$50),"")</f>
        <v/>
      </c>
      <c r="K53" s="175" t="str">
        <f>IFERROR(SUMIFS('caseload data'!M:M,'caseload data'!$C:$C,'custody %'!$B$50,'caseload data'!$D:$D,"PSO",'caseload data'!$B:$B,"custody")/SUMIFS('caseload data'!M:M,'caseload data'!$B:$B,"custody",'caseload data'!$C:$C,'custody %'!$B$50),"")</f>
        <v/>
      </c>
      <c r="L53" s="175" t="str">
        <f>IFERROR(SUMIFS('caseload data'!N:N,'caseload data'!$C:$C,'custody %'!$B$50,'caseload data'!$D:$D,"PSO",'caseload data'!$B:$B,"custody")/SUMIFS('caseload data'!N:N,'caseload data'!$B:$B,"custody",'caseload data'!$C:$C,'custody %'!$B$50),"")</f>
        <v/>
      </c>
      <c r="M53" s="175" t="str">
        <f>IFERROR(SUMIFS('caseload data'!O:O,'caseload data'!$C:$C,'custody %'!$B$50,'caseload data'!$D:$D,"PSO",'caseload data'!$B:$B,"custody")/SUMIFS('caseload data'!O:O,'caseload data'!$B:$B,"custody",'caseload data'!$C:$C,'custody %'!$B$50),"")</f>
        <v/>
      </c>
      <c r="N53" s="175" t="str">
        <f>IFERROR(SUMIFS('caseload data'!P:P,'caseload data'!$C:$C,'custody %'!$B$50,'caseload data'!$D:$D,"PSO",'caseload data'!$B:$B,"custody")/SUMIFS('caseload data'!P:P,'caseload data'!$B:$B,"custody",'caseload data'!$C:$C,'custody %'!$B$50),"")</f>
        <v/>
      </c>
      <c r="O53" s="175" t="str">
        <f>IFERROR(SUMIFS('caseload data'!Q:Q,'caseload data'!$C:$C,'custody %'!$B$50,'caseload data'!$D:$D,"PSO",'caseload data'!$B:$B,"custody")/SUMIFS('caseload data'!Q:Q,'caseload data'!$B:$B,"custody",'caseload data'!$C:$C,'custody %'!$B$50),"")</f>
        <v/>
      </c>
      <c r="P53" s="175" t="str">
        <f>IFERROR(SUMIFS('caseload data'!R:R,'caseload data'!$C:$C,'custody %'!$B$50,'caseload data'!$D:$D,"PSO",'caseload data'!$B:$B,"custody")/SUMIFS('caseload data'!R:R,'caseload data'!$B:$B,"custody",'caseload data'!$C:$C,'custody %'!$B$50),"")</f>
        <v/>
      </c>
      <c r="Q53" s="175" t="str">
        <f>IFERROR(SUMIFS('caseload data'!S:S,'caseload data'!$C:$C,'custody %'!$B$50,'caseload data'!$D:$D,"PSO",'caseload data'!$B:$B,"custody")/SUMIFS('caseload data'!S:S,'caseload data'!$B:$B,"custody",'caseload data'!$C:$C,'custody %'!$B$50),"")</f>
        <v/>
      </c>
      <c r="R53" s="175" t="str">
        <f>IFERROR(SUMIFS('caseload data'!T:T,'caseload data'!$C:$C,'custody %'!$B$50,'caseload data'!$D:$D,"PSO",'caseload data'!$B:$B,"custody")/SUMIFS('caseload data'!T:T,'caseload data'!$B:$B,"custody",'caseload data'!$C:$C,'custody %'!$B$50),"")</f>
        <v/>
      </c>
      <c r="S53" s="68"/>
      <c r="T53" s="101" t="s">
        <v>1172</v>
      </c>
      <c r="U53" s="175" t="str">
        <f>IFERROR(SUMIFS('caseload data'!E:E,'caseload data'!$C:$C,'custody %'!$T$50,'caseload data'!$D:$D,"PSO",'caseload data'!$B:$B,"custody")/SUMIFS('caseload data'!E:E,'caseload data'!$B:$B,"custody",'caseload data'!$C:$C,'custody %'!$T$50),"")</f>
        <v/>
      </c>
      <c r="V53" s="175" t="str">
        <f>IFERROR(SUMIFS('caseload data'!F:F,'caseload data'!$C:$C,'custody %'!$T$50,'caseload data'!$D:$D,"PSO",'caseload data'!$B:$B,"custody")/SUMIFS('caseload data'!F:F,'caseload data'!$B:$B,"custody",'caseload data'!$C:$C,'custody %'!$T$50),"")</f>
        <v/>
      </c>
      <c r="W53" s="175" t="str">
        <f>IFERROR(SUMIFS('caseload data'!G:G,'caseload data'!$C:$C,'custody %'!$T$50,'caseload data'!$D:$D,"PSO",'caseload data'!$B:$B,"custody")/SUMIFS('caseload data'!G:G,'caseload data'!$B:$B,"custody",'caseload data'!$C:$C,'custody %'!$T$50),"")</f>
        <v/>
      </c>
      <c r="X53" s="175" t="str">
        <f>IFERROR(SUMIFS('caseload data'!H:H,'caseload data'!$C:$C,'custody %'!$T$50,'caseload data'!$D:$D,"PSO",'caseload data'!$B:$B,"custody")/SUMIFS('caseload data'!H:H,'caseload data'!$B:$B,"custody",'caseload data'!$C:$C,'custody %'!$T$50),"")</f>
        <v/>
      </c>
      <c r="Y53" s="175" t="str">
        <f>IFERROR(SUMIFS('caseload data'!I:I,'caseload data'!$C:$C,'custody %'!$T$50,'caseload data'!$D:$D,"PSO",'caseload data'!$B:$B,"custody")/SUMIFS('caseload data'!I:I,'caseload data'!$B:$B,"custody",'caseload data'!$C:$C,'custody %'!$T$50),"")</f>
        <v/>
      </c>
      <c r="Z53" s="175" t="str">
        <f>IFERROR(SUMIFS('caseload data'!J:J,'caseload data'!$C:$C,'custody %'!$T$50,'caseload data'!$D:$D,"PSO",'caseload data'!$B:$B,"custody")/SUMIFS('caseload data'!J:J,'caseload data'!$B:$B,"custody",'caseload data'!$C:$C,'custody %'!$T$50),"")</f>
        <v/>
      </c>
      <c r="AA53" s="175" t="str">
        <f>IFERROR(SUMIFS('caseload data'!K:K,'caseload data'!$C:$C,'custody %'!$T$50,'caseload data'!$D:$D,"PSO",'caseload data'!$B:$B,"custody")/SUMIFS('caseload data'!K:K,'caseload data'!$B:$B,"custody",'caseload data'!$C:$C,'custody %'!$T$50),"")</f>
        <v/>
      </c>
      <c r="AB53" s="175" t="str">
        <f>IFERROR(SUMIFS('caseload data'!L:L,'caseload data'!$C:$C,'custody %'!$T$50,'caseload data'!$D:$D,"PSO",'caseload data'!$B:$B,"custody")/SUMIFS('caseload data'!L:L,'caseload data'!$B:$B,"custody",'caseload data'!$C:$C,'custody %'!$T$50),"")</f>
        <v/>
      </c>
      <c r="AC53" s="175" t="str">
        <f>IFERROR(SUMIFS('caseload data'!M:M,'caseload data'!$C:$C,'custody %'!$T$50,'caseload data'!$D:$D,"PSO",'caseload data'!$B:$B,"custody")/SUMIFS('caseload data'!M:M,'caseload data'!$B:$B,"custody",'caseload data'!$C:$C,'custody %'!$T$50),"")</f>
        <v/>
      </c>
      <c r="AD53" s="175" t="str">
        <f>IFERROR(SUMIFS('caseload data'!N:N,'caseload data'!$C:$C,'custody %'!$T$50,'caseload data'!$D:$D,"PSO",'caseload data'!$B:$B,"custody")/SUMIFS('caseload data'!N:N,'caseload data'!$B:$B,"custody",'caseload data'!$C:$C,'custody %'!$T$50),"")</f>
        <v/>
      </c>
      <c r="AE53" s="175" t="str">
        <f>IFERROR(SUMIFS('caseload data'!O:O,'caseload data'!$C:$C,'custody %'!$T$50,'caseload data'!$D:$D,"PSO",'caseload data'!$B:$B,"custody")/SUMIFS('caseload data'!O:O,'caseload data'!$B:$B,"custody",'caseload data'!$C:$C,'custody %'!$T$50),"")</f>
        <v/>
      </c>
      <c r="AF53" s="175" t="str">
        <f>IFERROR(SUMIFS('caseload data'!P:P,'caseload data'!$C:$C,'custody %'!$T$50,'caseload data'!$D:$D,"PSO",'caseload data'!$B:$B,"custody")/SUMIFS('caseload data'!P:P,'caseload data'!$B:$B,"custody",'caseload data'!$C:$C,'custody %'!$T$50),"")</f>
        <v/>
      </c>
      <c r="AG53" s="175" t="str">
        <f>IFERROR(SUMIFS('caseload data'!Q:Q,'caseload data'!$C:$C,'custody %'!$T$50,'caseload data'!$D:$D,"PSO",'caseload data'!$B:$B,"custody")/SUMIFS('caseload data'!Q:Q,'caseload data'!$B:$B,"custody",'caseload data'!$C:$C,'custody %'!$T$50),"")</f>
        <v/>
      </c>
      <c r="AH53" s="175" t="str">
        <f>IFERROR(SUMIFS('caseload data'!R:R,'caseload data'!$C:$C,'custody %'!$T$50,'caseload data'!$D:$D,"PSO",'caseload data'!$B:$B,"custody")/SUMIFS('caseload data'!R:R,'caseload data'!$B:$B,"custody",'caseload data'!$C:$C,'custody %'!$T$50),"")</f>
        <v/>
      </c>
      <c r="AI53" s="175"/>
      <c r="AJ53" s="175"/>
    </row>
    <row r="54" spans="2:36" x14ac:dyDescent="0.15">
      <c r="B54" s="101" t="s">
        <v>1173</v>
      </c>
      <c r="C54" s="175" t="str">
        <f>IFERROR(SUMIFS('caseload data'!E:E,'caseload data'!$C:$C,'custody %'!$B$50,'caseload data'!$D:$D,"TPO",'caseload data'!$B:$B,"custody")/SUMIFS('caseload data'!E:E,'caseload data'!$B:$B,"custody",'caseload data'!$C:$C,'custody %'!$B$50),"")</f>
        <v/>
      </c>
      <c r="D54" s="175" t="str">
        <f>IFERROR(SUMIFS('caseload data'!F:F,'caseload data'!$C:$C,'custody %'!$B$50,'caseload data'!$D:$D,"TPO",'caseload data'!$B:$B,"custody")/SUMIFS('caseload data'!F:F,'caseload data'!$B:$B,"custody",'caseload data'!$C:$C,'custody %'!$B$50),"")</f>
        <v/>
      </c>
      <c r="E54" s="175" t="str">
        <f>IFERROR(SUMIFS('caseload data'!G:G,'caseload data'!$C:$C,'custody %'!$B$50,'caseload data'!$D:$D,"TPO",'caseload data'!$B:$B,"custody")/SUMIFS('caseload data'!G:G,'caseload data'!$B:$B,"custody",'caseload data'!$C:$C,'custody %'!$B$50),"")</f>
        <v/>
      </c>
      <c r="F54" s="175" t="str">
        <f>IFERROR(SUMIFS('caseload data'!H:H,'caseload data'!$C:$C,'custody %'!$B$50,'caseload data'!$D:$D,"TPO",'caseload data'!$B:$B,"custody")/SUMIFS('caseload data'!H:H,'caseload data'!$B:$B,"custody",'caseload data'!$C:$C,'custody %'!$B$50),"")</f>
        <v/>
      </c>
      <c r="G54" s="175" t="str">
        <f>IFERROR(SUMIFS('caseload data'!I:I,'caseload data'!$C:$C,'custody %'!$B$50,'caseload data'!$D:$D,"TPO",'caseload data'!$B:$B,"custody")/SUMIFS('caseload data'!I:I,'caseload data'!$B:$B,"custody",'caseload data'!$C:$C,'custody %'!$B$50),"")</f>
        <v/>
      </c>
      <c r="H54" s="175" t="str">
        <f>IFERROR(SUMIFS('caseload data'!J:J,'caseload data'!$C:$C,'custody %'!$B$50,'caseload data'!$D:$D,"TPO",'caseload data'!$B:$B,"custody")/SUMIFS('caseload data'!J:J,'caseload data'!$B:$B,"custody",'caseload data'!$C:$C,'custody %'!$B$50),"")</f>
        <v/>
      </c>
      <c r="I54" s="175" t="str">
        <f>IFERROR(SUMIFS('caseload data'!K:K,'caseload data'!$C:$C,'custody %'!$B$50,'caseload data'!$D:$D,"TPO",'caseload data'!$B:$B,"custody")/SUMIFS('caseload data'!K:K,'caseload data'!$B:$B,"custody",'caseload data'!$C:$C,'custody %'!$B$50),"")</f>
        <v/>
      </c>
      <c r="J54" s="175" t="str">
        <f>IFERROR(SUMIFS('caseload data'!L:L,'caseload data'!$C:$C,'custody %'!$B$50,'caseload data'!$D:$D,"TPO",'caseload data'!$B:$B,"custody")/SUMIFS('caseload data'!L:L,'caseload data'!$B:$B,"custody",'caseload data'!$C:$C,'custody %'!$B$50),"")</f>
        <v/>
      </c>
      <c r="K54" s="175" t="str">
        <f>IFERROR(SUMIFS('caseload data'!M:M,'caseload data'!$C:$C,'custody %'!$B$50,'caseload data'!$D:$D,"TPO",'caseload data'!$B:$B,"custody")/SUMIFS('caseload data'!M:M,'caseload data'!$B:$B,"custody",'caseload data'!$C:$C,'custody %'!$B$50),"")</f>
        <v/>
      </c>
      <c r="L54" s="175" t="str">
        <f>IFERROR(SUMIFS('caseload data'!N:N,'caseload data'!$C:$C,'custody %'!$B$50,'caseload data'!$D:$D,"TPO",'caseload data'!$B:$B,"custody")/SUMIFS('caseload data'!N:N,'caseload data'!$B:$B,"custody",'caseload data'!$C:$C,'custody %'!$B$50),"")</f>
        <v/>
      </c>
      <c r="M54" s="175" t="str">
        <f>IFERROR(SUMIFS('caseload data'!O:O,'caseload data'!$C:$C,'custody %'!$B$50,'caseload data'!$D:$D,"TPO",'caseload data'!$B:$B,"custody")/SUMIFS('caseload data'!O:O,'caseload data'!$B:$B,"custody",'caseload data'!$C:$C,'custody %'!$B$50),"")</f>
        <v/>
      </c>
      <c r="N54" s="175" t="str">
        <f>IFERROR(SUMIFS('caseload data'!P:P,'caseload data'!$C:$C,'custody %'!$B$50,'caseload data'!$D:$D,"TPO",'caseload data'!$B:$B,"custody")/SUMIFS('caseload data'!P:P,'caseload data'!$B:$B,"custody",'caseload data'!$C:$C,'custody %'!$B$50),"")</f>
        <v/>
      </c>
      <c r="O54" s="175" t="str">
        <f>IFERROR(SUMIFS('caseload data'!Q:Q,'caseload data'!$C:$C,'custody %'!$B$50,'caseload data'!$D:$D,"TPO",'caseload data'!$B:$B,"custody")/SUMIFS('caseload data'!Q:Q,'caseload data'!$B:$B,"custody",'caseload data'!$C:$C,'custody %'!$B$50),"")</f>
        <v/>
      </c>
      <c r="P54" s="175" t="str">
        <f>IFERROR(SUMIFS('caseload data'!R:R,'caseload data'!$C:$C,'custody %'!$B$50,'caseload data'!$D:$D,"TPO",'caseload data'!$B:$B,"custody")/SUMIFS('caseload data'!R:R,'caseload data'!$B:$B,"custody",'caseload data'!$C:$C,'custody %'!$B$50),"")</f>
        <v/>
      </c>
      <c r="Q54" s="175" t="str">
        <f>IFERROR(SUMIFS('caseload data'!S:S,'caseload data'!$C:$C,'custody %'!$B$50,'caseload data'!$D:$D,"TPO",'caseload data'!$B:$B,"custody")/SUMIFS('caseload data'!S:S,'caseload data'!$B:$B,"custody",'caseload data'!$C:$C,'custody %'!$B$50),"")</f>
        <v/>
      </c>
      <c r="R54" s="175" t="str">
        <f>IFERROR(SUMIFS('caseload data'!T:T,'caseload data'!$C:$C,'custody %'!$B$50,'caseload data'!$D:$D,"TPO",'caseload data'!$B:$B,"custody")/SUMIFS('caseload data'!T:T,'caseload data'!$B:$B,"custody",'caseload data'!$C:$C,'custody %'!$B$50),"")</f>
        <v/>
      </c>
      <c r="S54" s="68"/>
      <c r="T54" s="101" t="s">
        <v>1173</v>
      </c>
      <c r="U54" s="175" t="str">
        <f>IFERROR(SUMIFS('caseload data'!E:E,'caseload data'!$C:$C,'custody %'!$T$50,'caseload data'!$D:$D,"TPO",'caseload data'!$B:$B,"custody")/SUMIFS('caseload data'!E:E,'caseload data'!$B:$B,"custody",'caseload data'!$C:$C,'custody %'!$T$50),"")</f>
        <v/>
      </c>
      <c r="V54" s="175" t="str">
        <f>IFERROR(SUMIFS('caseload data'!F:F,'caseload data'!$C:$C,'custody %'!$T$50,'caseload data'!$D:$D,"TPO",'caseload data'!$B:$B,"custody")/SUMIFS('caseload data'!F:F,'caseload data'!$B:$B,"custody",'caseload data'!$C:$C,'custody %'!$T$50),"")</f>
        <v/>
      </c>
      <c r="W54" s="175" t="str">
        <f>IFERROR(SUMIFS('caseload data'!G:G,'caseload data'!$C:$C,'custody %'!$T$50,'caseload data'!$D:$D,"TPO",'caseload data'!$B:$B,"custody")/SUMIFS('caseload data'!G:G,'caseload data'!$B:$B,"custody",'caseload data'!$C:$C,'custody %'!$T$50),"")</f>
        <v/>
      </c>
      <c r="X54" s="175" t="str">
        <f>IFERROR(SUMIFS('caseload data'!H:H,'caseload data'!$C:$C,'custody %'!$T$50,'caseload data'!$D:$D,"TPO",'caseload data'!$B:$B,"custody")/SUMIFS('caseload data'!H:H,'caseload data'!$B:$B,"custody",'caseload data'!$C:$C,'custody %'!$T$50),"")</f>
        <v/>
      </c>
      <c r="Y54" s="175" t="str">
        <f>IFERROR(SUMIFS('caseload data'!I:I,'caseload data'!$C:$C,'custody %'!$T$50,'caseload data'!$D:$D,"TPO",'caseload data'!$B:$B,"custody")/SUMIFS('caseload data'!I:I,'caseload data'!$B:$B,"custody",'caseload data'!$C:$C,'custody %'!$T$50),"")</f>
        <v/>
      </c>
      <c r="Z54" s="175" t="str">
        <f>IFERROR(SUMIFS('caseload data'!J:J,'caseload data'!$C:$C,'custody %'!$T$50,'caseload data'!$D:$D,"TPO",'caseload data'!$B:$B,"custody")/SUMIFS('caseload data'!J:J,'caseload data'!$B:$B,"custody",'caseload data'!$C:$C,'custody %'!$T$50),"")</f>
        <v/>
      </c>
      <c r="AA54" s="175" t="str">
        <f>IFERROR(SUMIFS('caseload data'!K:K,'caseload data'!$C:$C,'custody %'!$T$50,'caseload data'!$D:$D,"TPO",'caseload data'!$B:$B,"custody")/SUMIFS('caseload data'!K:K,'caseload data'!$B:$B,"custody",'caseload data'!$C:$C,'custody %'!$T$50),"")</f>
        <v/>
      </c>
      <c r="AB54" s="175" t="str">
        <f>IFERROR(SUMIFS('caseload data'!L:L,'caseload data'!$C:$C,'custody %'!$T$50,'caseload data'!$D:$D,"TPO",'caseload data'!$B:$B,"custody")/SUMIFS('caseload data'!L:L,'caseload data'!$B:$B,"custody",'caseload data'!$C:$C,'custody %'!$T$50),"")</f>
        <v/>
      </c>
      <c r="AC54" s="175" t="str">
        <f>IFERROR(SUMIFS('caseload data'!M:M,'caseload data'!$C:$C,'custody %'!$T$50,'caseload data'!$D:$D,"TPO",'caseload data'!$B:$B,"custody")/SUMIFS('caseload data'!M:M,'caseload data'!$B:$B,"custody",'caseload data'!$C:$C,'custody %'!$T$50),"")</f>
        <v/>
      </c>
      <c r="AD54" s="175" t="str">
        <f>IFERROR(SUMIFS('caseload data'!N:N,'caseload data'!$C:$C,'custody %'!$T$50,'caseload data'!$D:$D,"TPO",'caseload data'!$B:$B,"custody")/SUMIFS('caseload data'!N:N,'caseload data'!$B:$B,"custody",'caseload data'!$C:$C,'custody %'!$T$50),"")</f>
        <v/>
      </c>
      <c r="AE54" s="175" t="str">
        <f>IFERROR(SUMIFS('caseload data'!O:O,'caseload data'!$C:$C,'custody %'!$T$50,'caseload data'!$D:$D,"TPO",'caseload data'!$B:$B,"custody")/SUMIFS('caseload data'!O:O,'caseload data'!$B:$B,"custody",'caseload data'!$C:$C,'custody %'!$T$50),"")</f>
        <v/>
      </c>
      <c r="AF54" s="175" t="str">
        <f>IFERROR(SUMIFS('caseload data'!P:P,'caseload data'!$C:$C,'custody %'!$T$50,'caseload data'!$D:$D,"TPO",'caseload data'!$B:$B,"custody")/SUMIFS('caseload data'!P:P,'caseload data'!$B:$B,"custody",'caseload data'!$C:$C,'custody %'!$T$50),"")</f>
        <v/>
      </c>
      <c r="AG54" s="175" t="str">
        <f>IFERROR(SUMIFS('caseload data'!Q:Q,'caseload data'!$C:$C,'custody %'!$T$50,'caseload data'!$D:$D,"TPO",'caseload data'!$B:$B,"custody")/SUMIFS('caseload data'!Q:Q,'caseload data'!$B:$B,"custody",'caseload data'!$C:$C,'custody %'!$T$50),"")</f>
        <v/>
      </c>
      <c r="AH54" s="175" t="str">
        <f>IFERROR(SUMIFS('caseload data'!R:R,'caseload data'!$C:$C,'custody %'!$T$50,'caseload data'!$D:$D,"TPO",'caseload data'!$B:$B,"custody")/SUMIFS('caseload data'!R:R,'caseload data'!$B:$B,"custody",'caseload data'!$C:$C,'custody %'!$T$50),"")</f>
        <v/>
      </c>
      <c r="AI54" s="175"/>
      <c r="AJ54" s="175"/>
    </row>
    <row r="55" spans="2:36" x14ac:dyDescent="0.15">
      <c r="B55" s="102" t="s">
        <v>1174</v>
      </c>
      <c r="C55" s="175" t="str">
        <f>IFERROR(SUMIFS('caseload data'!E:E,'caseload data'!$C:$C,'custody %'!$B$50,'caseload data'!$D:$D,"SPO",'caseload data'!$B:$B,"custody")/SUMIFS('caseload data'!E:E,'caseload data'!$B:$B,"custody",'caseload data'!$C:$C,'custody %'!$B$50),"")</f>
        <v/>
      </c>
      <c r="D55" s="175" t="str">
        <f>IFERROR(SUMIFS('caseload data'!F:F,'caseload data'!$C:$C,'custody %'!$B$50,'caseload data'!$D:$D,"SPO",'caseload data'!$B:$B,"custody")/SUMIFS('caseload data'!F:F,'caseload data'!$B:$B,"custody",'caseload data'!$C:$C,'custody %'!$B$50),"")</f>
        <v/>
      </c>
      <c r="E55" s="175" t="str">
        <f>IFERROR(SUMIFS('caseload data'!G:G,'caseload data'!$C:$C,'custody %'!$B$50,'caseload data'!$D:$D,"SPO",'caseload data'!$B:$B,"custody")/SUMIFS('caseload data'!G:G,'caseload data'!$B:$B,"custody",'caseload data'!$C:$C,'custody %'!$B$50),"")</f>
        <v/>
      </c>
      <c r="F55" s="175" t="str">
        <f>IFERROR(SUMIFS('caseload data'!H:H,'caseload data'!$C:$C,'custody %'!$B$50,'caseload data'!$D:$D,"SPO",'caseload data'!$B:$B,"custody")/SUMIFS('caseload data'!H:H,'caseload data'!$B:$B,"custody",'caseload data'!$C:$C,'custody %'!$B$50),"")</f>
        <v/>
      </c>
      <c r="G55" s="175" t="str">
        <f>IFERROR(SUMIFS('caseload data'!I:I,'caseload data'!$C:$C,'custody %'!$B$50,'caseload data'!$D:$D,"SPO",'caseload data'!$B:$B,"custody")/SUMIFS('caseload data'!I:I,'caseload data'!$B:$B,"custody",'caseload data'!$C:$C,'custody %'!$B$50),"")</f>
        <v/>
      </c>
      <c r="H55" s="175" t="str">
        <f>IFERROR(SUMIFS('caseload data'!J:J,'caseload data'!$C:$C,'custody %'!$B$50,'caseload data'!$D:$D,"SPO",'caseload data'!$B:$B,"custody")/SUMIFS('caseload data'!J:J,'caseload data'!$B:$B,"custody",'caseload data'!$C:$C,'custody %'!$B$50),"")</f>
        <v/>
      </c>
      <c r="I55" s="175" t="str">
        <f>IFERROR(SUMIFS('caseload data'!K:K,'caseload data'!$C:$C,'custody %'!$B$50,'caseload data'!$D:$D,"SPO",'caseload data'!$B:$B,"custody")/SUMIFS('caseload data'!K:K,'caseload data'!$B:$B,"custody",'caseload data'!$C:$C,'custody %'!$B$50),"")</f>
        <v/>
      </c>
      <c r="J55" s="175" t="str">
        <f>IFERROR(SUMIFS('caseload data'!L:L,'caseload data'!$C:$C,'custody %'!$B$50,'caseload data'!$D:$D,"SPO",'caseload data'!$B:$B,"custody")/SUMIFS('caseload data'!L:L,'caseload data'!$B:$B,"custody",'caseload data'!$C:$C,'custody %'!$B$50),"")</f>
        <v/>
      </c>
      <c r="K55" s="175" t="str">
        <f>IFERROR(SUMIFS('caseload data'!M:M,'caseload data'!$C:$C,'custody %'!$B$50,'caseload data'!$D:$D,"SPO",'caseload data'!$B:$B,"custody")/SUMIFS('caseload data'!M:M,'caseload data'!$B:$B,"custody",'caseload data'!$C:$C,'custody %'!$B$50),"")</f>
        <v/>
      </c>
      <c r="L55" s="175" t="str">
        <f>IFERROR(SUMIFS('caseload data'!N:N,'caseload data'!$C:$C,'custody %'!$B$50,'caseload data'!$D:$D,"SPO",'caseload data'!$B:$B,"custody")/SUMIFS('caseload data'!N:N,'caseload data'!$B:$B,"custody",'caseload data'!$C:$C,'custody %'!$B$50),"")</f>
        <v/>
      </c>
      <c r="M55" s="175" t="str">
        <f>IFERROR(SUMIFS('caseload data'!O:O,'caseload data'!$C:$C,'custody %'!$B$50,'caseload data'!$D:$D,"SPO",'caseload data'!$B:$B,"custody")/SUMIFS('caseload data'!O:O,'caseload data'!$B:$B,"custody",'caseload data'!$C:$C,'custody %'!$B$50),"")</f>
        <v/>
      </c>
      <c r="N55" s="175" t="str">
        <f>IFERROR(SUMIFS('caseload data'!P:P,'caseload data'!$C:$C,'custody %'!$B$50,'caseload data'!$D:$D,"SPO",'caseload data'!$B:$B,"custody")/SUMIFS('caseload data'!P:P,'caseload data'!$B:$B,"custody",'caseload data'!$C:$C,'custody %'!$B$50),"")</f>
        <v/>
      </c>
      <c r="O55" s="175" t="str">
        <f>IFERROR(SUMIFS('caseload data'!Q:Q,'caseload data'!$C:$C,'custody %'!$B$50,'caseload data'!$D:$D,"SPO",'caseload data'!$B:$B,"custody")/SUMIFS('caseload data'!Q:Q,'caseload data'!$B:$B,"custody",'caseload data'!$C:$C,'custody %'!$B$50),"")</f>
        <v/>
      </c>
      <c r="P55" s="175" t="str">
        <f>IFERROR(SUMIFS('caseload data'!R:R,'caseload data'!$C:$C,'custody %'!$B$50,'caseload data'!$D:$D,"SPO",'caseload data'!$B:$B,"custody")/SUMIFS('caseload data'!R:R,'caseload data'!$B:$B,"custody",'caseload data'!$C:$C,'custody %'!$B$50),"")</f>
        <v/>
      </c>
      <c r="Q55" s="175" t="str">
        <f>IFERROR(SUMIFS('caseload data'!S:S,'caseload data'!$C:$C,'custody %'!$B$50,'caseload data'!$D:$D,"SPO",'caseload data'!$B:$B,"custody")/SUMIFS('caseload data'!S:S,'caseload data'!$B:$B,"custody",'caseload data'!$C:$C,'custody %'!$B$50),"")</f>
        <v/>
      </c>
      <c r="R55" s="175" t="str">
        <f>IFERROR(SUMIFS('caseload data'!T:T,'caseload data'!$C:$C,'custody %'!$B$50,'caseload data'!$D:$D,"SPO",'caseload data'!$B:$B,"custody")/SUMIFS('caseload data'!T:T,'caseload data'!$B:$B,"custody",'caseload data'!$C:$C,'custody %'!$B$50),"")</f>
        <v/>
      </c>
      <c r="S55" s="68"/>
      <c r="T55" s="102" t="s">
        <v>1174</v>
      </c>
      <c r="U55" s="175" t="str">
        <f>IFERROR(SUMIFS('caseload data'!E:E,'caseload data'!$C:$C,'custody %'!$T$50,'caseload data'!$D:$D,"SPO",'caseload data'!$B:$B,"custody")/SUMIFS('caseload data'!E:E,'caseload data'!$B:$B,"custody",'caseload data'!$C:$C,'custody %'!$T$50),"")</f>
        <v/>
      </c>
      <c r="V55" s="175" t="str">
        <f>IFERROR(SUMIFS('caseload data'!F:F,'caseload data'!$C:$C,'custody %'!$T$50,'caseload data'!$D:$D,"SPO",'caseload data'!$B:$B,"custody")/SUMIFS('caseload data'!F:F,'caseload data'!$B:$B,"custody",'caseload data'!$C:$C,'custody %'!$T$50),"")</f>
        <v/>
      </c>
      <c r="W55" s="175" t="str">
        <f>IFERROR(SUMIFS('caseload data'!G:G,'caseload data'!$C:$C,'custody %'!$T$50,'caseload data'!$D:$D,"SPO",'caseload data'!$B:$B,"custody")/SUMIFS('caseload data'!G:G,'caseload data'!$B:$B,"custody",'caseload data'!$C:$C,'custody %'!$T$50),"")</f>
        <v/>
      </c>
      <c r="X55" s="175" t="str">
        <f>IFERROR(SUMIFS('caseload data'!H:H,'caseload data'!$C:$C,'custody %'!$T$50,'caseload data'!$D:$D,"SPO",'caseload data'!$B:$B,"custody")/SUMIFS('caseload data'!H:H,'caseload data'!$B:$B,"custody",'caseload data'!$C:$C,'custody %'!$T$50),"")</f>
        <v/>
      </c>
      <c r="Y55" s="175" t="str">
        <f>IFERROR(SUMIFS('caseload data'!I:I,'caseload data'!$C:$C,'custody %'!$T$50,'caseload data'!$D:$D,"SPO",'caseload data'!$B:$B,"custody")/SUMIFS('caseload data'!I:I,'caseload data'!$B:$B,"custody",'caseload data'!$C:$C,'custody %'!$T$50),"")</f>
        <v/>
      </c>
      <c r="Z55" s="175" t="str">
        <f>IFERROR(SUMIFS('caseload data'!J:J,'caseload data'!$C:$C,'custody %'!$T$50,'caseload data'!$D:$D,"SPO",'caseload data'!$B:$B,"custody")/SUMIFS('caseload data'!J:J,'caseload data'!$B:$B,"custody",'caseload data'!$C:$C,'custody %'!$T$50),"")</f>
        <v/>
      </c>
      <c r="AA55" s="175" t="str">
        <f>IFERROR(SUMIFS('caseload data'!K:K,'caseload data'!$C:$C,'custody %'!$T$50,'caseload data'!$D:$D,"SPO",'caseload data'!$B:$B,"custody")/SUMIFS('caseload data'!K:K,'caseload data'!$B:$B,"custody",'caseload data'!$C:$C,'custody %'!$T$50),"")</f>
        <v/>
      </c>
      <c r="AB55" s="175" t="str">
        <f>IFERROR(SUMIFS('caseload data'!L:L,'caseload data'!$C:$C,'custody %'!$T$50,'caseload data'!$D:$D,"SPO",'caseload data'!$B:$B,"custody")/SUMIFS('caseload data'!L:L,'caseload data'!$B:$B,"custody",'caseload data'!$C:$C,'custody %'!$T$50),"")</f>
        <v/>
      </c>
      <c r="AC55" s="175" t="str">
        <f>IFERROR(SUMIFS('caseload data'!M:M,'caseload data'!$C:$C,'custody %'!$T$50,'caseload data'!$D:$D,"SPO",'caseload data'!$B:$B,"custody")/SUMIFS('caseload data'!M:M,'caseload data'!$B:$B,"custody",'caseload data'!$C:$C,'custody %'!$T$50),"")</f>
        <v/>
      </c>
      <c r="AD55" s="175" t="str">
        <f>IFERROR(SUMIFS('caseload data'!N:N,'caseload data'!$C:$C,'custody %'!$T$50,'caseload data'!$D:$D,"SPO",'caseload data'!$B:$B,"custody")/SUMIFS('caseload data'!N:N,'caseload data'!$B:$B,"custody",'caseload data'!$C:$C,'custody %'!$T$50),"")</f>
        <v/>
      </c>
      <c r="AE55" s="175" t="str">
        <f>IFERROR(SUMIFS('caseload data'!O:O,'caseload data'!$C:$C,'custody %'!$T$50,'caseload data'!$D:$D,"SPO",'caseload data'!$B:$B,"custody")/SUMIFS('caseload data'!O:O,'caseload data'!$B:$B,"custody",'caseload data'!$C:$C,'custody %'!$T$50),"")</f>
        <v/>
      </c>
      <c r="AF55" s="175" t="str">
        <f>IFERROR(SUMIFS('caseload data'!P:P,'caseload data'!$C:$C,'custody %'!$T$50,'caseload data'!$D:$D,"SPO",'caseload data'!$B:$B,"custody")/SUMIFS('caseload data'!P:P,'caseload data'!$B:$B,"custody",'caseload data'!$C:$C,'custody %'!$T$50),"")</f>
        <v/>
      </c>
      <c r="AG55" s="175" t="str">
        <f>IFERROR(SUMIFS('caseload data'!Q:Q,'caseload data'!$C:$C,'custody %'!$T$50,'caseload data'!$D:$D,"SPO",'caseload data'!$B:$B,"custody")/SUMIFS('caseload data'!Q:Q,'caseload data'!$B:$B,"custody",'caseload data'!$C:$C,'custody %'!$T$50),"")</f>
        <v/>
      </c>
      <c r="AH55" s="175" t="str">
        <f>IFERROR(SUMIFS('caseload data'!R:R,'caseload data'!$C:$C,'custody %'!$T$50,'caseload data'!$D:$D,"SPO",'caseload data'!$B:$B,"custody")/SUMIFS('caseload data'!R:R,'caseload data'!$B:$B,"custody",'caseload data'!$C:$C,'custody %'!$T$50),"")</f>
        <v/>
      </c>
      <c r="AI55" s="175"/>
      <c r="AJ55" s="175"/>
    </row>
    <row r="56" spans="2:36" x14ac:dyDescent="0.15">
      <c r="B56" s="95"/>
      <c r="C56" s="68"/>
      <c r="D56" s="68"/>
      <c r="E56" s="68"/>
      <c r="F56" s="68"/>
      <c r="G56" s="68"/>
      <c r="H56" s="68"/>
      <c r="I56" s="68"/>
      <c r="J56" s="68"/>
      <c r="K56" s="68"/>
      <c r="L56" s="68"/>
      <c r="M56" s="68"/>
      <c r="N56" s="68"/>
      <c r="O56" s="68"/>
      <c r="P56" s="68"/>
      <c r="Q56" s="68"/>
      <c r="R56" s="68"/>
      <c r="S56" s="68"/>
      <c r="T56" s="95"/>
      <c r="U56" s="68"/>
      <c r="V56" s="68"/>
      <c r="W56" s="68"/>
      <c r="X56" s="68"/>
      <c r="Y56" s="68"/>
      <c r="Z56" s="68"/>
      <c r="AA56" s="68"/>
      <c r="AB56" s="68"/>
      <c r="AC56" s="68"/>
      <c r="AD56" s="68"/>
      <c r="AE56" s="68"/>
      <c r="AF56" s="68"/>
      <c r="AG56" s="68"/>
      <c r="AH56" s="68"/>
    </row>
    <row r="57" spans="2:36" ht="28.5" customHeight="1" x14ac:dyDescent="0.15">
      <c r="B57" s="302" t="str">
        <f>HLOOKUP($B$5,Region_Table,16,0)</f>
        <v>Lambeth - N07</v>
      </c>
      <c r="C57" s="467" t="s">
        <v>1305</v>
      </c>
      <c r="D57" s="468"/>
      <c r="E57" s="468"/>
      <c r="F57" s="468"/>
      <c r="G57" s="468"/>
      <c r="H57" s="468"/>
      <c r="I57" s="468"/>
      <c r="J57" s="468"/>
      <c r="K57" s="468"/>
      <c r="L57" s="468"/>
      <c r="M57" s="487"/>
      <c r="N57" s="487"/>
      <c r="O57" s="488"/>
      <c r="P57" s="462">
        <f>SUMIF('caseload data'!$C:$C,'custody %'!B57,'caseload data'!V:V)</f>
        <v>0</v>
      </c>
      <c r="Q57" s="479"/>
      <c r="R57" s="480"/>
      <c r="S57" s="68"/>
      <c r="T57" s="302" t="str">
        <f>HLOOKUP($B$5,Region_Table,17,0)</f>
        <v>Lewisham and Bromley</v>
      </c>
      <c r="U57" s="467" t="s">
        <v>1305</v>
      </c>
      <c r="V57" s="468"/>
      <c r="W57" s="468"/>
      <c r="X57" s="468"/>
      <c r="Y57" s="468"/>
      <c r="Z57" s="468"/>
      <c r="AA57" s="468"/>
      <c r="AB57" s="468"/>
      <c r="AC57" s="487"/>
      <c r="AD57" s="487"/>
      <c r="AE57" s="488"/>
      <c r="AF57" s="462">
        <f>SUMIF('caseload data'!$C:$C,'custody %'!T57,'caseload data'!V:V)</f>
        <v>0</v>
      </c>
      <c r="AG57" s="479"/>
      <c r="AH57" s="480"/>
    </row>
    <row r="58" spans="2:36" x14ac:dyDescent="0.15">
      <c r="B58" s="99" t="s">
        <v>1170</v>
      </c>
      <c r="C58" s="40" t="s">
        <v>1022</v>
      </c>
      <c r="D58" s="40" t="s">
        <v>1023</v>
      </c>
      <c r="E58" s="40" t="s">
        <v>1024</v>
      </c>
      <c r="F58" s="40" t="s">
        <v>1025</v>
      </c>
      <c r="G58" s="40" t="s">
        <v>1026</v>
      </c>
      <c r="H58" s="40" t="s">
        <v>1027</v>
      </c>
      <c r="I58" s="40" t="s">
        <v>1028</v>
      </c>
      <c r="J58" s="40" t="s">
        <v>1029</v>
      </c>
      <c r="K58" s="40" t="s">
        <v>1030</v>
      </c>
      <c r="L58" s="40" t="s">
        <v>1031</v>
      </c>
      <c r="M58" s="40" t="s">
        <v>1032</v>
      </c>
      <c r="N58" s="40" t="s">
        <v>1033</v>
      </c>
      <c r="O58" s="40" t="s">
        <v>1034</v>
      </c>
      <c r="P58" s="40" t="s">
        <v>1035</v>
      </c>
      <c r="Q58" s="40" t="s">
        <v>1036</v>
      </c>
      <c r="R58" s="40" t="s">
        <v>1037</v>
      </c>
      <c r="S58" s="68"/>
      <c r="T58" s="99" t="s">
        <v>1170</v>
      </c>
      <c r="U58" s="40" t="s">
        <v>1022</v>
      </c>
      <c r="V58" s="40" t="s">
        <v>1023</v>
      </c>
      <c r="W58" s="40" t="s">
        <v>1024</v>
      </c>
      <c r="X58" s="40" t="s">
        <v>1025</v>
      </c>
      <c r="Y58" s="40" t="s">
        <v>1026</v>
      </c>
      <c r="Z58" s="40" t="s">
        <v>1027</v>
      </c>
      <c r="AA58" s="40" t="s">
        <v>1028</v>
      </c>
      <c r="AB58" s="40" t="s">
        <v>1029</v>
      </c>
      <c r="AC58" s="40" t="s">
        <v>1030</v>
      </c>
      <c r="AD58" s="40" t="s">
        <v>1031</v>
      </c>
      <c r="AE58" s="40" t="s">
        <v>1032</v>
      </c>
      <c r="AF58" s="40" t="s">
        <v>1033</v>
      </c>
      <c r="AG58" s="40" t="s">
        <v>1034</v>
      </c>
      <c r="AH58" s="40" t="s">
        <v>1035</v>
      </c>
      <c r="AI58" s="40" t="s">
        <v>1036</v>
      </c>
      <c r="AJ58" s="40" t="s">
        <v>1037</v>
      </c>
    </row>
    <row r="59" spans="2:36" x14ac:dyDescent="0.15">
      <c r="B59" s="100" t="s">
        <v>1166</v>
      </c>
      <c r="C59" s="175" t="str">
        <f>IFERROR(SUMIFS('caseload data'!E:E,'caseload data'!$C:$C,'custody %'!$B$57,'caseload data'!$D:$D,"PO",'caseload data'!$B:$B,"custody")/SUMIFS('caseload data'!E:E,'caseload data'!$B:$B,"custody",'caseload data'!$C:$C,'custody %'!$B$57),"")</f>
        <v/>
      </c>
      <c r="D59" s="175" t="str">
        <f>IFERROR(SUMIFS('caseload data'!F:F,'caseload data'!$C:$C,'custody %'!$B$57,'caseload data'!$D:$D,"PO",'caseload data'!$B:$B,"custody")/SUMIFS('caseload data'!F:F,'caseload data'!$B:$B,"custody",'caseload data'!$C:$C,'custody %'!$B$57),"")</f>
        <v/>
      </c>
      <c r="E59" s="175" t="str">
        <f>IFERROR(SUMIFS('caseload data'!G:G,'caseload data'!$C:$C,'custody %'!$B$57,'caseload data'!$D:$D,"PO",'caseload data'!$B:$B,"custody")/SUMIFS('caseload data'!G:G,'caseload data'!$B:$B,"custody",'caseload data'!$C:$C,'custody %'!$B$57),"")</f>
        <v/>
      </c>
      <c r="F59" s="175" t="str">
        <f>IFERROR(SUMIFS('caseload data'!H:H,'caseload data'!$C:$C,'custody %'!$B$57,'caseload data'!$D:$D,"PO",'caseload data'!$B:$B,"custody")/SUMIFS('caseload data'!H:H,'caseload data'!$B:$B,"custody",'caseload data'!$C:$C,'custody %'!$B$57),"")</f>
        <v/>
      </c>
      <c r="G59" s="175" t="str">
        <f>IFERROR(SUMIFS('caseload data'!I:I,'caseload data'!$C:$C,'custody %'!$B$57,'caseload data'!$D:$D,"PO",'caseload data'!$B:$B,"custody")/SUMIFS('caseload data'!I:I,'caseload data'!$B:$B,"custody",'caseload data'!$C:$C,'custody %'!$B$57),"")</f>
        <v/>
      </c>
      <c r="H59" s="175" t="str">
        <f>IFERROR(SUMIFS('caseload data'!J:J,'caseload data'!$C:$C,'custody %'!$B$57,'caseload data'!$D:$D,"PO",'caseload data'!$B:$B,"custody")/SUMIFS('caseload data'!J:J,'caseload data'!$B:$B,"custody",'caseload data'!$C:$C,'custody %'!$B$57),"")</f>
        <v/>
      </c>
      <c r="I59" s="175" t="str">
        <f>IFERROR(SUMIFS('caseload data'!K:K,'caseload data'!$C:$C,'custody %'!$B$57,'caseload data'!$D:$D,"PO",'caseload data'!$B:$B,"custody")/SUMIFS('caseload data'!K:K,'caseload data'!$B:$B,"custody",'caseload data'!$C:$C,'custody %'!$B$57),"")</f>
        <v/>
      </c>
      <c r="J59" s="175" t="str">
        <f>IFERROR(SUMIFS('caseload data'!L:L,'caseload data'!$C:$C,'custody %'!$B$57,'caseload data'!$D:$D,"PO",'caseload data'!$B:$B,"custody")/SUMIFS('caseload data'!L:L,'caseload data'!$B:$B,"custody",'caseload data'!$C:$C,'custody %'!$B$57),"")</f>
        <v/>
      </c>
      <c r="K59" s="175" t="str">
        <f>IFERROR(SUMIFS('caseload data'!M:M,'caseload data'!$C:$C,'custody %'!$B$57,'caseload data'!$D:$D,"PO",'caseload data'!$B:$B,"custody")/SUMIFS('caseload data'!M:M,'caseload data'!$B:$B,"custody",'caseload data'!$C:$C,'custody %'!$B$57),"")</f>
        <v/>
      </c>
      <c r="L59" s="175" t="str">
        <f>IFERROR(SUMIFS('caseload data'!N:N,'caseload data'!$C:$C,'custody %'!$B$57,'caseload data'!$D:$D,"PO",'caseload data'!$B:$B,"custody")/SUMIFS('caseload data'!N:N,'caseload data'!$B:$B,"custody",'caseload data'!$C:$C,'custody %'!$B$57),"")</f>
        <v/>
      </c>
      <c r="M59" s="175" t="str">
        <f>IFERROR(SUMIFS('caseload data'!O:O,'caseload data'!$C:$C,'custody %'!$B$57,'caseload data'!$D:$D,"PO",'caseload data'!$B:$B,"custody")/SUMIFS('caseload data'!O:O,'caseload data'!$B:$B,"custody",'caseload data'!$C:$C,'custody %'!$B$57),"")</f>
        <v/>
      </c>
      <c r="N59" s="175" t="str">
        <f>IFERROR(SUMIFS('caseload data'!P:P,'caseload data'!$C:$C,'custody %'!$B$57,'caseload data'!$D:$D,"PO",'caseload data'!$B:$B,"custody")/SUMIFS('caseload data'!P:P,'caseload data'!$B:$B,"custody",'caseload data'!$C:$C,'custody %'!$B$57),"")</f>
        <v/>
      </c>
      <c r="O59" s="175" t="str">
        <f>IFERROR(SUMIFS('caseload data'!Q:Q,'caseload data'!$C:$C,'custody %'!$B$57,'caseload data'!$D:$D,"PO",'caseload data'!$B:$B,"custody")/SUMIFS('caseload data'!Q:Q,'caseload data'!$B:$B,"custody",'caseload data'!$C:$C,'custody %'!$B$57),"")</f>
        <v/>
      </c>
      <c r="P59" s="175" t="str">
        <f>IFERROR(SUMIFS('caseload data'!R:R,'caseload data'!$C:$C,'custody %'!$B$57,'caseload data'!$D:$D,"PO",'caseload data'!$B:$B,"custody")/SUMIFS('caseload data'!R:R,'caseload data'!$B:$B,"custody",'caseload data'!$C:$C,'custody %'!$B$57),"")</f>
        <v/>
      </c>
      <c r="Q59" s="175" t="str">
        <f>IFERROR(SUMIFS('caseload data'!S:S,'caseload data'!$C:$C,'custody %'!$B$57,'caseload data'!$D:$D,"PO",'caseload data'!$B:$B,"custody")/SUMIFS('caseload data'!S:S,'caseload data'!$B:$B,"custody",'caseload data'!$C:$C,'custody %'!$B$57),"")</f>
        <v/>
      </c>
      <c r="R59" s="175" t="str">
        <f>IFERROR(SUMIFS('caseload data'!T:T,'caseload data'!$C:$C,'custody %'!$B$57,'caseload data'!$D:$D,"PO",'caseload data'!$B:$B,"custody")/SUMIFS('caseload data'!T:T,'caseload data'!$B:$B,"custody",'caseload data'!$C:$C,'custody %'!$B$57),"")</f>
        <v/>
      </c>
      <c r="S59" s="68"/>
      <c r="T59" s="100" t="s">
        <v>1166</v>
      </c>
      <c r="U59" s="175" t="str">
        <f>IFERROR(SUMIFS('caseload data'!E:E,'caseload data'!$C:$C,'custody %'!$T$57,'caseload data'!$D:$D,"PO",'caseload data'!$B:$B,"custody")/SUMIFS('caseload data'!E:E,'caseload data'!$B:$B,"custody",'caseload data'!$C:$C,'custody %'!$T$57),"")</f>
        <v/>
      </c>
      <c r="V59" s="175" t="str">
        <f>IFERROR(SUMIFS('caseload data'!F:F,'caseload data'!$C:$C,'custody %'!$T$57,'caseload data'!$D:$D,"PO",'caseload data'!$B:$B,"custody")/SUMIFS('caseload data'!F:F,'caseload data'!$B:$B,"custody",'caseload data'!$C:$C,'custody %'!$T$57),"")</f>
        <v/>
      </c>
      <c r="W59" s="175" t="str">
        <f>IFERROR(SUMIFS('caseload data'!G:G,'caseload data'!$C:$C,'custody %'!$T$57,'caseload data'!$D:$D,"PO",'caseload data'!$B:$B,"custody")/SUMIFS('caseload data'!G:G,'caseload data'!$B:$B,"custody",'caseload data'!$C:$C,'custody %'!$T$57),"")</f>
        <v/>
      </c>
      <c r="X59" s="175" t="str">
        <f>IFERROR(SUMIFS('caseload data'!H:H,'caseload data'!$C:$C,'custody %'!$T$57,'caseload data'!$D:$D,"PO",'caseload data'!$B:$B,"custody")/SUMIFS('caseload data'!H:H,'caseload data'!$B:$B,"custody",'caseload data'!$C:$C,'custody %'!$T$57),"")</f>
        <v/>
      </c>
      <c r="Y59" s="175" t="str">
        <f>IFERROR(SUMIFS('caseload data'!I:I,'caseload data'!$C:$C,'custody %'!$T$57,'caseload data'!$D:$D,"PO",'caseload data'!$B:$B,"custody")/SUMIFS('caseload data'!I:I,'caseload data'!$B:$B,"custody",'caseload data'!$C:$C,'custody %'!$T$57),"")</f>
        <v/>
      </c>
      <c r="Z59" s="175" t="str">
        <f>IFERROR(SUMIFS('caseload data'!J:J,'caseload data'!$C:$C,'custody %'!$T$57,'caseload data'!$D:$D,"PO",'caseload data'!$B:$B,"custody")/SUMIFS('caseload data'!J:J,'caseload data'!$B:$B,"custody",'caseload data'!$C:$C,'custody %'!$T$57),"")</f>
        <v/>
      </c>
      <c r="AA59" s="175" t="str">
        <f>IFERROR(SUMIFS('caseload data'!K:K,'caseload data'!$C:$C,'custody %'!$T$57,'caseload data'!$D:$D,"PO",'caseload data'!$B:$B,"custody")/SUMIFS('caseload data'!K:K,'caseload data'!$B:$B,"custody",'caseload data'!$C:$C,'custody %'!$T$57),"")</f>
        <v/>
      </c>
      <c r="AB59" s="175" t="str">
        <f>IFERROR(SUMIFS('caseload data'!L:L,'caseload data'!$C:$C,'custody %'!$T$57,'caseload data'!$D:$D,"PO",'caseload data'!$B:$B,"custody")/SUMIFS('caseload data'!L:L,'caseload data'!$B:$B,"custody",'caseload data'!$C:$C,'custody %'!$T$57),"")</f>
        <v/>
      </c>
      <c r="AC59" s="175" t="str">
        <f>IFERROR(SUMIFS('caseload data'!M:M,'caseload data'!$C:$C,'custody %'!$T$57,'caseload data'!$D:$D,"PO",'caseload data'!$B:$B,"custody")/SUMIFS('caseload data'!M:M,'caseload data'!$B:$B,"custody",'caseload data'!$C:$C,'custody %'!$T$57),"")</f>
        <v/>
      </c>
      <c r="AD59" s="175" t="str">
        <f>IFERROR(SUMIFS('caseload data'!N:N,'caseload data'!$C:$C,'custody %'!$T$57,'caseload data'!$D:$D,"PO",'caseload data'!$B:$B,"custody")/SUMIFS('caseload data'!N:N,'caseload data'!$B:$B,"custody",'caseload data'!$C:$C,'custody %'!$T$57),"")</f>
        <v/>
      </c>
      <c r="AE59" s="175" t="str">
        <f>IFERROR(SUMIFS('caseload data'!O:O,'caseload data'!$C:$C,'custody %'!$T$57,'caseload data'!$D:$D,"PO",'caseload data'!$B:$B,"custody")/SUMIFS('caseload data'!O:O,'caseload data'!$B:$B,"custody",'caseload data'!$C:$C,'custody %'!$T$57),"")</f>
        <v/>
      </c>
      <c r="AF59" s="175" t="str">
        <f>IFERROR(SUMIFS('caseload data'!P:P,'caseload data'!$C:$C,'custody %'!$T$57,'caseload data'!$D:$D,"PO",'caseload data'!$B:$B,"custody")/SUMIFS('caseload data'!P:P,'caseload data'!$B:$B,"custody",'caseload data'!$C:$C,'custody %'!$T$57),"")</f>
        <v/>
      </c>
      <c r="AG59" s="175" t="str">
        <f>IFERROR(SUMIFS('caseload data'!Q:Q,'caseload data'!$C:$C,'custody %'!$T$57,'caseload data'!$D:$D,"PO",'caseload data'!$B:$B,"custody")/SUMIFS('caseload data'!Q:Q,'caseload data'!$B:$B,"custody",'caseload data'!$C:$C,'custody %'!$T$57),"")</f>
        <v/>
      </c>
      <c r="AH59" s="175" t="str">
        <f>IFERROR(SUMIFS('caseload data'!R:R,'caseload data'!$C:$C,'custody %'!$T$57,'caseload data'!$D:$D,"PO",'caseload data'!$B:$B,"custody")/SUMIFS('caseload data'!R:R,'caseload data'!$B:$B,"custody",'caseload data'!$C:$C,'custody %'!$T$57),"")</f>
        <v/>
      </c>
      <c r="AI59" s="175"/>
      <c r="AJ59" s="175"/>
    </row>
    <row r="60" spans="2:36" x14ac:dyDescent="0.15">
      <c r="B60" s="101" t="s">
        <v>1172</v>
      </c>
      <c r="C60" s="175" t="str">
        <f>IFERROR(SUMIFS('caseload data'!E:E,'caseload data'!$C:$C,'custody %'!$B$57,'caseload data'!$D:$D,"PSO",'caseload data'!$B:$B,"custody")/SUMIFS('caseload data'!E:E,'caseload data'!$B:$B,"custody",'caseload data'!$C:$C,'custody %'!$B$57),"")</f>
        <v/>
      </c>
      <c r="D60" s="175" t="str">
        <f>IFERROR(SUMIFS('caseload data'!F:F,'caseload data'!$C:$C,'custody %'!$B$57,'caseload data'!$D:$D,"PSO",'caseload data'!$B:$B,"custody")/SUMIFS('caseload data'!F:F,'caseload data'!$B:$B,"custody",'caseload data'!$C:$C,'custody %'!$B$57),"")</f>
        <v/>
      </c>
      <c r="E60" s="175" t="str">
        <f>IFERROR(SUMIFS('caseload data'!G:G,'caseload data'!$C:$C,'custody %'!$B$57,'caseload data'!$D:$D,"PSO",'caseload data'!$B:$B,"custody")/SUMIFS('caseload data'!G:G,'caseload data'!$B:$B,"custody",'caseload data'!$C:$C,'custody %'!$B$57),"")</f>
        <v/>
      </c>
      <c r="F60" s="175" t="str">
        <f>IFERROR(SUMIFS('caseload data'!H:H,'caseload data'!$C:$C,'custody %'!$B$57,'caseload data'!$D:$D,"PSO",'caseload data'!$B:$B,"custody")/SUMIFS('caseload data'!H:H,'caseload data'!$B:$B,"custody",'caseload data'!$C:$C,'custody %'!$B$57),"")</f>
        <v/>
      </c>
      <c r="G60" s="175" t="str">
        <f>IFERROR(SUMIFS('caseload data'!I:I,'caseload data'!$C:$C,'custody %'!$B$57,'caseload data'!$D:$D,"PSO",'caseload data'!$B:$B,"custody")/SUMIFS('caseload data'!I:I,'caseload data'!$B:$B,"custody",'caseload data'!$C:$C,'custody %'!$B$57),"")</f>
        <v/>
      </c>
      <c r="H60" s="175" t="str">
        <f>IFERROR(SUMIFS('caseload data'!J:J,'caseload data'!$C:$C,'custody %'!$B$57,'caseload data'!$D:$D,"PSO",'caseload data'!$B:$B,"custody")/SUMIFS('caseload data'!J:J,'caseload data'!$B:$B,"custody",'caseload data'!$C:$C,'custody %'!$B$57),"")</f>
        <v/>
      </c>
      <c r="I60" s="175" t="str">
        <f>IFERROR(SUMIFS('caseload data'!K:K,'caseload data'!$C:$C,'custody %'!$B$57,'caseload data'!$D:$D,"PSO",'caseload data'!$B:$B,"custody")/SUMIFS('caseload data'!K:K,'caseload data'!$B:$B,"custody",'caseload data'!$C:$C,'custody %'!$B$57),"")</f>
        <v/>
      </c>
      <c r="J60" s="175" t="str">
        <f>IFERROR(SUMIFS('caseload data'!L:L,'caseload data'!$C:$C,'custody %'!$B$57,'caseload data'!$D:$D,"PSO",'caseload data'!$B:$B,"custody")/SUMIFS('caseload data'!L:L,'caseload data'!$B:$B,"custody",'caseload data'!$C:$C,'custody %'!$B$57),"")</f>
        <v/>
      </c>
      <c r="K60" s="175" t="str">
        <f>IFERROR(SUMIFS('caseload data'!M:M,'caseload data'!$C:$C,'custody %'!$B$57,'caseload data'!$D:$D,"PSO",'caseload data'!$B:$B,"custody")/SUMIFS('caseload data'!M:M,'caseload data'!$B:$B,"custody",'caseload data'!$C:$C,'custody %'!$B$57),"")</f>
        <v/>
      </c>
      <c r="L60" s="175" t="str">
        <f>IFERROR(SUMIFS('caseload data'!N:N,'caseload data'!$C:$C,'custody %'!$B$57,'caseload data'!$D:$D,"PSO",'caseload data'!$B:$B,"custody")/SUMIFS('caseload data'!N:N,'caseload data'!$B:$B,"custody",'caseload data'!$C:$C,'custody %'!$B$57),"")</f>
        <v/>
      </c>
      <c r="M60" s="175" t="str">
        <f>IFERROR(SUMIFS('caseload data'!O:O,'caseload data'!$C:$C,'custody %'!$B$57,'caseload data'!$D:$D,"PSO",'caseload data'!$B:$B,"custody")/SUMIFS('caseload data'!O:O,'caseload data'!$B:$B,"custody",'caseload data'!$C:$C,'custody %'!$B$57),"")</f>
        <v/>
      </c>
      <c r="N60" s="175" t="str">
        <f>IFERROR(SUMIFS('caseload data'!P:P,'caseload data'!$C:$C,'custody %'!$B$57,'caseload data'!$D:$D,"PSO",'caseload data'!$B:$B,"custody")/SUMIFS('caseload data'!P:P,'caseload data'!$B:$B,"custody",'caseload data'!$C:$C,'custody %'!$B$57),"")</f>
        <v/>
      </c>
      <c r="O60" s="175" t="str">
        <f>IFERROR(SUMIFS('caseload data'!Q:Q,'caseload data'!$C:$C,'custody %'!$B$57,'caseload data'!$D:$D,"PSO",'caseload data'!$B:$B,"custody")/SUMIFS('caseload data'!Q:Q,'caseload data'!$B:$B,"custody",'caseload data'!$C:$C,'custody %'!$B$57),"")</f>
        <v/>
      </c>
      <c r="P60" s="175" t="str">
        <f>IFERROR(SUMIFS('caseload data'!R:R,'caseload data'!$C:$C,'custody %'!$B$57,'caseload data'!$D:$D,"PSO",'caseload data'!$B:$B,"custody")/SUMIFS('caseload data'!R:R,'caseload data'!$B:$B,"custody",'caseload data'!$C:$C,'custody %'!$B$57),"")</f>
        <v/>
      </c>
      <c r="Q60" s="175" t="str">
        <f>IFERROR(SUMIFS('caseload data'!S:S,'caseload data'!$C:$C,'custody %'!$B$57,'caseload data'!$D:$D,"PSO",'caseload data'!$B:$B,"custody")/SUMIFS('caseload data'!S:S,'caseload data'!$B:$B,"custody",'caseload data'!$C:$C,'custody %'!$B$57),"")</f>
        <v/>
      </c>
      <c r="R60" s="175" t="str">
        <f>IFERROR(SUMIFS('caseload data'!T:T,'caseload data'!$C:$C,'custody %'!$B$57,'caseload data'!$D:$D,"PSO",'caseload data'!$B:$B,"custody")/SUMIFS('caseload data'!T:T,'caseload data'!$B:$B,"custody",'caseload data'!$C:$C,'custody %'!$B$57),"")</f>
        <v/>
      </c>
      <c r="S60" s="68"/>
      <c r="T60" s="101" t="s">
        <v>1172</v>
      </c>
      <c r="U60" s="175" t="str">
        <f>IFERROR(SUMIFS('caseload data'!E:E,'caseload data'!$C:$C,'custody %'!$T$57,'caseload data'!$D:$D,"PSO",'caseload data'!$B:$B,"custody")/SUMIFS('caseload data'!E:E,'caseload data'!$B:$B,"custody",'caseload data'!$C:$C,'custody %'!$T$57),"")</f>
        <v/>
      </c>
      <c r="V60" s="175" t="str">
        <f>IFERROR(SUMIFS('caseload data'!F:F,'caseload data'!$C:$C,'custody %'!$T$57,'caseload data'!$D:$D,"PSO",'caseload data'!$B:$B,"custody")/SUMIFS('caseload data'!F:F,'caseload data'!$B:$B,"custody",'caseload data'!$C:$C,'custody %'!$T$57),"")</f>
        <v/>
      </c>
      <c r="W60" s="175" t="str">
        <f>IFERROR(SUMIFS('caseload data'!G:G,'caseload data'!$C:$C,'custody %'!$T$57,'caseload data'!$D:$D,"PSO",'caseload data'!$B:$B,"custody")/SUMIFS('caseload data'!G:G,'caseload data'!$B:$B,"custody",'caseload data'!$C:$C,'custody %'!$T$57),"")</f>
        <v/>
      </c>
      <c r="X60" s="175" t="str">
        <f>IFERROR(SUMIFS('caseload data'!H:H,'caseload data'!$C:$C,'custody %'!$T$57,'caseload data'!$D:$D,"PSO",'caseload data'!$B:$B,"custody")/SUMIFS('caseload data'!H:H,'caseload data'!$B:$B,"custody",'caseload data'!$C:$C,'custody %'!$T$57),"")</f>
        <v/>
      </c>
      <c r="Y60" s="175" t="str">
        <f>IFERROR(SUMIFS('caseload data'!I:I,'caseload data'!$C:$C,'custody %'!$T$57,'caseload data'!$D:$D,"PSO",'caseload data'!$B:$B,"custody")/SUMIFS('caseload data'!I:I,'caseload data'!$B:$B,"custody",'caseload data'!$C:$C,'custody %'!$T$57),"")</f>
        <v/>
      </c>
      <c r="Z60" s="175" t="str">
        <f>IFERROR(SUMIFS('caseload data'!J:J,'caseload data'!$C:$C,'custody %'!$T$57,'caseload data'!$D:$D,"PSO",'caseload data'!$B:$B,"custody")/SUMIFS('caseload data'!J:J,'caseload data'!$B:$B,"custody",'caseload data'!$C:$C,'custody %'!$T$57),"")</f>
        <v/>
      </c>
      <c r="AA60" s="175" t="str">
        <f>IFERROR(SUMIFS('caseload data'!K:K,'caseload data'!$C:$C,'custody %'!$T$57,'caseload data'!$D:$D,"PSO",'caseload data'!$B:$B,"custody")/SUMIFS('caseload data'!K:K,'caseload data'!$B:$B,"custody",'caseload data'!$C:$C,'custody %'!$T$57),"")</f>
        <v/>
      </c>
      <c r="AB60" s="175" t="str">
        <f>IFERROR(SUMIFS('caseload data'!L:L,'caseload data'!$C:$C,'custody %'!$T$57,'caseload data'!$D:$D,"PSO",'caseload data'!$B:$B,"custody")/SUMIFS('caseload data'!L:L,'caseload data'!$B:$B,"custody",'caseload data'!$C:$C,'custody %'!$T$57),"")</f>
        <v/>
      </c>
      <c r="AC60" s="175" t="str">
        <f>IFERROR(SUMIFS('caseload data'!M:M,'caseload data'!$C:$C,'custody %'!$T$57,'caseload data'!$D:$D,"PSO",'caseload data'!$B:$B,"custody")/SUMIFS('caseload data'!M:M,'caseload data'!$B:$B,"custody",'caseload data'!$C:$C,'custody %'!$T$57),"")</f>
        <v/>
      </c>
      <c r="AD60" s="175" t="str">
        <f>IFERROR(SUMIFS('caseload data'!N:N,'caseload data'!$C:$C,'custody %'!$T$57,'caseload data'!$D:$D,"PSO",'caseload data'!$B:$B,"custody")/SUMIFS('caseload data'!N:N,'caseload data'!$B:$B,"custody",'caseload data'!$C:$C,'custody %'!$T$57),"")</f>
        <v/>
      </c>
      <c r="AE60" s="175" t="str">
        <f>IFERROR(SUMIFS('caseload data'!O:O,'caseload data'!$C:$C,'custody %'!$T$57,'caseload data'!$D:$D,"PSO",'caseload data'!$B:$B,"custody")/SUMIFS('caseload data'!O:O,'caseload data'!$B:$B,"custody",'caseload data'!$C:$C,'custody %'!$T$57),"")</f>
        <v/>
      </c>
      <c r="AF60" s="175" t="str">
        <f>IFERROR(SUMIFS('caseload data'!P:P,'caseload data'!$C:$C,'custody %'!$T$57,'caseload data'!$D:$D,"PSO",'caseload data'!$B:$B,"custody")/SUMIFS('caseload data'!P:P,'caseload data'!$B:$B,"custody",'caseload data'!$C:$C,'custody %'!$T$57),"")</f>
        <v/>
      </c>
      <c r="AG60" s="175" t="str">
        <f>IFERROR(SUMIFS('caseload data'!Q:Q,'caseload data'!$C:$C,'custody %'!$T$57,'caseload data'!$D:$D,"PSO",'caseload data'!$B:$B,"custody")/SUMIFS('caseload data'!Q:Q,'caseload data'!$B:$B,"custody",'caseload data'!$C:$C,'custody %'!$T$57),"")</f>
        <v/>
      </c>
      <c r="AH60" s="175" t="str">
        <f>IFERROR(SUMIFS('caseload data'!R:R,'caseload data'!$C:$C,'custody %'!$T$57,'caseload data'!$D:$D,"PSO",'caseload data'!$B:$B,"custody")/SUMIFS('caseload data'!R:R,'caseload data'!$B:$B,"custody",'caseload data'!$C:$C,'custody %'!$T$57),"")</f>
        <v/>
      </c>
      <c r="AI60" s="175"/>
      <c r="AJ60" s="175"/>
    </row>
    <row r="61" spans="2:36" x14ac:dyDescent="0.15">
      <c r="B61" s="101" t="s">
        <v>1173</v>
      </c>
      <c r="C61" s="175" t="str">
        <f>IFERROR(SUMIFS('caseload data'!E:E,'caseload data'!$C:$C,'custody %'!$B$57,'caseload data'!$D:$D,"TPO",'caseload data'!$B:$B,"custody")/SUMIFS('caseload data'!E:E,'caseload data'!$B:$B,"custody",'caseload data'!$C:$C,'custody %'!$B$57),"")</f>
        <v/>
      </c>
      <c r="D61" s="175" t="str">
        <f>IFERROR(SUMIFS('caseload data'!F:F,'caseload data'!$C:$C,'custody %'!$B$57,'caseload data'!$D:$D,"TPO",'caseload data'!$B:$B,"custody")/SUMIFS('caseload data'!F:F,'caseload data'!$B:$B,"custody",'caseload data'!$C:$C,'custody %'!$B$57),"")</f>
        <v/>
      </c>
      <c r="E61" s="175" t="str">
        <f>IFERROR(SUMIFS('caseload data'!G:G,'caseload data'!$C:$C,'custody %'!$B$57,'caseload data'!$D:$D,"TPO",'caseload data'!$B:$B,"custody")/SUMIFS('caseload data'!G:G,'caseload data'!$B:$B,"custody",'caseload data'!$C:$C,'custody %'!$B$57),"")</f>
        <v/>
      </c>
      <c r="F61" s="175" t="str">
        <f>IFERROR(SUMIFS('caseload data'!H:H,'caseload data'!$C:$C,'custody %'!$B$57,'caseload data'!$D:$D,"TPO",'caseload data'!$B:$B,"custody")/SUMIFS('caseload data'!H:H,'caseload data'!$B:$B,"custody",'caseload data'!$C:$C,'custody %'!$B$57),"")</f>
        <v/>
      </c>
      <c r="G61" s="175" t="str">
        <f>IFERROR(SUMIFS('caseload data'!I:I,'caseload data'!$C:$C,'custody %'!$B$57,'caseload data'!$D:$D,"TPO",'caseload data'!$B:$B,"custody")/SUMIFS('caseload data'!I:I,'caseload data'!$B:$B,"custody",'caseload data'!$C:$C,'custody %'!$B$57),"")</f>
        <v/>
      </c>
      <c r="H61" s="175" t="str">
        <f>IFERROR(SUMIFS('caseload data'!J:J,'caseload data'!$C:$C,'custody %'!$B$57,'caseload data'!$D:$D,"TPO",'caseload data'!$B:$B,"custody")/SUMIFS('caseload data'!J:J,'caseload data'!$B:$B,"custody",'caseload data'!$C:$C,'custody %'!$B$57),"")</f>
        <v/>
      </c>
      <c r="I61" s="175" t="str">
        <f>IFERROR(SUMIFS('caseload data'!K:K,'caseload data'!$C:$C,'custody %'!$B$57,'caseload data'!$D:$D,"TPO",'caseload data'!$B:$B,"custody")/SUMIFS('caseload data'!K:K,'caseload data'!$B:$B,"custody",'caseload data'!$C:$C,'custody %'!$B$57),"")</f>
        <v/>
      </c>
      <c r="J61" s="175" t="str">
        <f>IFERROR(SUMIFS('caseload data'!L:L,'caseload data'!$C:$C,'custody %'!$B$57,'caseload data'!$D:$D,"TPO",'caseload data'!$B:$B,"custody")/SUMIFS('caseload data'!L:L,'caseload data'!$B:$B,"custody",'caseload data'!$C:$C,'custody %'!$B$57),"")</f>
        <v/>
      </c>
      <c r="K61" s="175" t="str">
        <f>IFERROR(SUMIFS('caseload data'!M:M,'caseload data'!$C:$C,'custody %'!$B$57,'caseload data'!$D:$D,"TPO",'caseload data'!$B:$B,"custody")/SUMIFS('caseload data'!M:M,'caseload data'!$B:$B,"custody",'caseload data'!$C:$C,'custody %'!$B$57),"")</f>
        <v/>
      </c>
      <c r="L61" s="175" t="str">
        <f>IFERROR(SUMIFS('caseload data'!N:N,'caseload data'!$C:$C,'custody %'!$B$57,'caseload data'!$D:$D,"TPO",'caseload data'!$B:$B,"custody")/SUMIFS('caseload data'!N:N,'caseload data'!$B:$B,"custody",'caseload data'!$C:$C,'custody %'!$B$57),"")</f>
        <v/>
      </c>
      <c r="M61" s="175" t="str">
        <f>IFERROR(SUMIFS('caseload data'!O:O,'caseload data'!$C:$C,'custody %'!$B$57,'caseload data'!$D:$D,"TPO",'caseload data'!$B:$B,"custody")/SUMIFS('caseload data'!O:O,'caseload data'!$B:$B,"custody",'caseload data'!$C:$C,'custody %'!$B$57),"")</f>
        <v/>
      </c>
      <c r="N61" s="175" t="str">
        <f>IFERROR(SUMIFS('caseload data'!P:P,'caseload data'!$C:$C,'custody %'!$B$57,'caseload data'!$D:$D,"TPO",'caseload data'!$B:$B,"custody")/SUMIFS('caseload data'!P:P,'caseload data'!$B:$B,"custody",'caseload data'!$C:$C,'custody %'!$B$57),"")</f>
        <v/>
      </c>
      <c r="O61" s="175" t="str">
        <f>IFERROR(SUMIFS('caseload data'!Q:Q,'caseload data'!$C:$C,'custody %'!$B$57,'caseload data'!$D:$D,"TPO",'caseload data'!$B:$B,"custody")/SUMIFS('caseload data'!Q:Q,'caseload data'!$B:$B,"custody",'caseload data'!$C:$C,'custody %'!$B$57),"")</f>
        <v/>
      </c>
      <c r="P61" s="175" t="str">
        <f>IFERROR(SUMIFS('caseload data'!R:R,'caseload data'!$C:$C,'custody %'!$B$57,'caseload data'!$D:$D,"TPO",'caseload data'!$B:$B,"custody")/SUMIFS('caseload data'!R:R,'caseload data'!$B:$B,"custody",'caseload data'!$C:$C,'custody %'!$B$57),"")</f>
        <v/>
      </c>
      <c r="Q61" s="175" t="str">
        <f>IFERROR(SUMIFS('caseload data'!S:S,'caseload data'!$C:$C,'custody %'!$B$57,'caseload data'!$D:$D,"TPO",'caseload data'!$B:$B,"custody")/SUMIFS('caseload data'!S:S,'caseload data'!$B:$B,"custody",'caseload data'!$C:$C,'custody %'!$B$57),"")</f>
        <v/>
      </c>
      <c r="R61" s="175" t="str">
        <f>IFERROR(SUMIFS('caseload data'!T:T,'caseload data'!$C:$C,'custody %'!$B$57,'caseload data'!$D:$D,"TPO",'caseload data'!$B:$B,"custody")/SUMIFS('caseload data'!T:T,'caseload data'!$B:$B,"custody",'caseload data'!$C:$C,'custody %'!$B$57),"")</f>
        <v/>
      </c>
      <c r="S61" s="68"/>
      <c r="T61" s="101" t="s">
        <v>1173</v>
      </c>
      <c r="U61" s="175" t="str">
        <f>IFERROR(SUMIFS('caseload data'!E:E,'caseload data'!$C:$C,'custody %'!$T$57,'caseload data'!$D:$D,"TPO",'caseload data'!$B:$B,"custody")/SUMIFS('caseload data'!E:E,'caseload data'!$B:$B,"custody",'caseload data'!$C:$C,'custody %'!$T$57),"")</f>
        <v/>
      </c>
      <c r="V61" s="175" t="str">
        <f>IFERROR(SUMIFS('caseload data'!F:F,'caseload data'!$C:$C,'custody %'!$T$57,'caseload data'!$D:$D,"TPO",'caseload data'!$B:$B,"custody")/SUMIFS('caseload data'!F:F,'caseload data'!$B:$B,"custody",'caseload data'!$C:$C,'custody %'!$T$57),"")</f>
        <v/>
      </c>
      <c r="W61" s="175" t="str">
        <f>IFERROR(SUMIFS('caseload data'!G:G,'caseload data'!$C:$C,'custody %'!$T$57,'caseload data'!$D:$D,"TPO",'caseload data'!$B:$B,"custody")/SUMIFS('caseload data'!G:G,'caseload data'!$B:$B,"custody",'caseload data'!$C:$C,'custody %'!$T$57),"")</f>
        <v/>
      </c>
      <c r="X61" s="175" t="str">
        <f>IFERROR(SUMIFS('caseload data'!H:H,'caseload data'!$C:$C,'custody %'!$T$57,'caseload data'!$D:$D,"TPO",'caseload data'!$B:$B,"custody")/SUMIFS('caseload data'!H:H,'caseload data'!$B:$B,"custody",'caseload data'!$C:$C,'custody %'!$T$57),"")</f>
        <v/>
      </c>
      <c r="Y61" s="175" t="str">
        <f>IFERROR(SUMIFS('caseload data'!I:I,'caseload data'!$C:$C,'custody %'!$T$57,'caseload data'!$D:$D,"TPO",'caseload data'!$B:$B,"custody")/SUMIFS('caseload data'!I:I,'caseload data'!$B:$B,"custody",'caseload data'!$C:$C,'custody %'!$T$57),"")</f>
        <v/>
      </c>
      <c r="Z61" s="175" t="str">
        <f>IFERROR(SUMIFS('caseload data'!J:J,'caseload data'!$C:$C,'custody %'!$T$57,'caseload data'!$D:$D,"TPO",'caseload data'!$B:$B,"custody")/SUMIFS('caseload data'!J:J,'caseload data'!$B:$B,"custody",'caseload data'!$C:$C,'custody %'!$T$57),"")</f>
        <v/>
      </c>
      <c r="AA61" s="175" t="str">
        <f>IFERROR(SUMIFS('caseload data'!K:K,'caseload data'!$C:$C,'custody %'!$T$57,'caseload data'!$D:$D,"TPO",'caseload data'!$B:$B,"custody")/SUMIFS('caseload data'!K:K,'caseload data'!$B:$B,"custody",'caseload data'!$C:$C,'custody %'!$T$57),"")</f>
        <v/>
      </c>
      <c r="AB61" s="175" t="str">
        <f>IFERROR(SUMIFS('caseload data'!L:L,'caseload data'!$C:$C,'custody %'!$T$57,'caseload data'!$D:$D,"TPO",'caseload data'!$B:$B,"custody")/SUMIFS('caseload data'!L:L,'caseload data'!$B:$B,"custody",'caseload data'!$C:$C,'custody %'!$T$57),"")</f>
        <v/>
      </c>
      <c r="AC61" s="175" t="str">
        <f>IFERROR(SUMIFS('caseload data'!M:M,'caseload data'!$C:$C,'custody %'!$T$57,'caseload data'!$D:$D,"TPO",'caseload data'!$B:$B,"custody")/SUMIFS('caseload data'!M:M,'caseload data'!$B:$B,"custody",'caseload data'!$C:$C,'custody %'!$T$57),"")</f>
        <v/>
      </c>
      <c r="AD61" s="175" t="str">
        <f>IFERROR(SUMIFS('caseload data'!N:N,'caseload data'!$C:$C,'custody %'!$T$57,'caseload data'!$D:$D,"TPO",'caseload data'!$B:$B,"custody")/SUMIFS('caseload data'!N:N,'caseload data'!$B:$B,"custody",'caseload data'!$C:$C,'custody %'!$T$57),"")</f>
        <v/>
      </c>
      <c r="AE61" s="175" t="str">
        <f>IFERROR(SUMIFS('caseload data'!O:O,'caseload data'!$C:$C,'custody %'!$T$57,'caseload data'!$D:$D,"TPO",'caseload data'!$B:$B,"custody")/SUMIFS('caseload data'!O:O,'caseload data'!$B:$B,"custody",'caseload data'!$C:$C,'custody %'!$T$57),"")</f>
        <v/>
      </c>
      <c r="AF61" s="175" t="str">
        <f>IFERROR(SUMIFS('caseload data'!P:P,'caseload data'!$C:$C,'custody %'!$T$57,'caseload data'!$D:$D,"TPO",'caseload data'!$B:$B,"custody")/SUMIFS('caseload data'!P:P,'caseload data'!$B:$B,"custody",'caseload data'!$C:$C,'custody %'!$T$57),"")</f>
        <v/>
      </c>
      <c r="AG61" s="175" t="str">
        <f>IFERROR(SUMIFS('caseload data'!Q:Q,'caseload data'!$C:$C,'custody %'!$T$57,'caseload data'!$D:$D,"TPO",'caseload data'!$B:$B,"custody")/SUMIFS('caseload data'!Q:Q,'caseload data'!$B:$B,"custody",'caseload data'!$C:$C,'custody %'!$T$57),"")</f>
        <v/>
      </c>
      <c r="AH61" s="175" t="str">
        <f>IFERROR(SUMIFS('caseload data'!R:R,'caseload data'!$C:$C,'custody %'!$T$57,'caseload data'!$D:$D,"TPO",'caseload data'!$B:$B,"custody")/SUMIFS('caseload data'!R:R,'caseload data'!$B:$B,"custody",'caseload data'!$C:$C,'custody %'!$T$57),"")</f>
        <v/>
      </c>
      <c r="AI61" s="175"/>
      <c r="AJ61" s="175"/>
    </row>
    <row r="62" spans="2:36" x14ac:dyDescent="0.15">
      <c r="B62" s="102" t="s">
        <v>1174</v>
      </c>
      <c r="C62" s="175" t="str">
        <f>IFERROR(SUMIFS('caseload data'!E:E,'caseload data'!$C:$C,'custody %'!$B$57,'caseload data'!$D:$D,"SPO",'caseload data'!$B:$B,"custody")/SUMIFS('caseload data'!E:E,'caseload data'!$B:$B,"custody",'caseload data'!$C:$C,'custody %'!$B$57),"")</f>
        <v/>
      </c>
      <c r="D62" s="175" t="str">
        <f>IFERROR(SUMIFS('caseload data'!F:F,'caseload data'!$C:$C,'custody %'!$B$57,'caseload data'!$D:$D,"SPO",'caseload data'!$B:$B,"custody")/SUMIFS('caseload data'!F:F,'caseload data'!$B:$B,"custody",'caseload data'!$C:$C,'custody %'!$B$57),"")</f>
        <v/>
      </c>
      <c r="E62" s="175" t="str">
        <f>IFERROR(SUMIFS('caseload data'!G:G,'caseload data'!$C:$C,'custody %'!$B$57,'caseload data'!$D:$D,"SPO",'caseload data'!$B:$B,"custody")/SUMIFS('caseload data'!G:G,'caseload data'!$B:$B,"custody",'caseload data'!$C:$C,'custody %'!$B$57),"")</f>
        <v/>
      </c>
      <c r="F62" s="175" t="str">
        <f>IFERROR(SUMIFS('caseload data'!H:H,'caseload data'!$C:$C,'custody %'!$B$57,'caseload data'!$D:$D,"SPO",'caseload data'!$B:$B,"custody")/SUMIFS('caseload data'!H:H,'caseload data'!$B:$B,"custody",'caseload data'!$C:$C,'custody %'!$B$57),"")</f>
        <v/>
      </c>
      <c r="G62" s="175" t="str">
        <f>IFERROR(SUMIFS('caseload data'!I:I,'caseload data'!$C:$C,'custody %'!$B$57,'caseload data'!$D:$D,"SPO",'caseload data'!$B:$B,"custody")/SUMIFS('caseload data'!I:I,'caseload data'!$B:$B,"custody",'caseload data'!$C:$C,'custody %'!$B$57),"")</f>
        <v/>
      </c>
      <c r="H62" s="175" t="str">
        <f>IFERROR(SUMIFS('caseload data'!J:J,'caseload data'!$C:$C,'custody %'!$B$57,'caseload data'!$D:$D,"SPO",'caseload data'!$B:$B,"custody")/SUMIFS('caseload data'!J:J,'caseload data'!$B:$B,"custody",'caseload data'!$C:$C,'custody %'!$B$57),"")</f>
        <v/>
      </c>
      <c r="I62" s="175" t="str">
        <f>IFERROR(SUMIFS('caseload data'!K:K,'caseload data'!$C:$C,'custody %'!$B$57,'caseload data'!$D:$D,"SPO",'caseload data'!$B:$B,"custody")/SUMIFS('caseload data'!K:K,'caseload data'!$B:$B,"custody",'caseload data'!$C:$C,'custody %'!$B$57),"")</f>
        <v/>
      </c>
      <c r="J62" s="175" t="str">
        <f>IFERROR(SUMIFS('caseload data'!L:L,'caseload data'!$C:$C,'custody %'!$B$57,'caseload data'!$D:$D,"SPO",'caseload data'!$B:$B,"custody")/SUMIFS('caseload data'!L:L,'caseload data'!$B:$B,"custody",'caseload data'!$C:$C,'custody %'!$B$57),"")</f>
        <v/>
      </c>
      <c r="K62" s="175" t="str">
        <f>IFERROR(SUMIFS('caseload data'!M:M,'caseload data'!$C:$C,'custody %'!$B$57,'caseload data'!$D:$D,"SPO",'caseload data'!$B:$B,"custody")/SUMIFS('caseload data'!M:M,'caseload data'!$B:$B,"custody",'caseload data'!$C:$C,'custody %'!$B$57),"")</f>
        <v/>
      </c>
      <c r="L62" s="175" t="str">
        <f>IFERROR(SUMIFS('caseload data'!N:N,'caseload data'!$C:$C,'custody %'!$B$57,'caseload data'!$D:$D,"SPO",'caseload data'!$B:$B,"custody")/SUMIFS('caseload data'!N:N,'caseload data'!$B:$B,"custody",'caseload data'!$C:$C,'custody %'!$B$57),"")</f>
        <v/>
      </c>
      <c r="M62" s="175" t="str">
        <f>IFERROR(SUMIFS('caseload data'!O:O,'caseload data'!$C:$C,'custody %'!$B$57,'caseload data'!$D:$D,"SPO",'caseload data'!$B:$B,"custody")/SUMIFS('caseload data'!O:O,'caseload data'!$B:$B,"custody",'caseload data'!$C:$C,'custody %'!$B$57),"")</f>
        <v/>
      </c>
      <c r="N62" s="175" t="str">
        <f>IFERROR(SUMIFS('caseload data'!P:P,'caseload data'!$C:$C,'custody %'!$B$57,'caseload data'!$D:$D,"SPO",'caseload data'!$B:$B,"custody")/SUMIFS('caseload data'!P:P,'caseload data'!$B:$B,"custody",'caseload data'!$C:$C,'custody %'!$B$57),"")</f>
        <v/>
      </c>
      <c r="O62" s="175" t="str">
        <f>IFERROR(SUMIFS('caseload data'!Q:Q,'caseload data'!$C:$C,'custody %'!$B$57,'caseload data'!$D:$D,"SPO",'caseload data'!$B:$B,"custody")/SUMIFS('caseload data'!Q:Q,'caseload data'!$B:$B,"custody",'caseload data'!$C:$C,'custody %'!$B$57),"")</f>
        <v/>
      </c>
      <c r="P62" s="175" t="str">
        <f>IFERROR(SUMIFS('caseload data'!R:R,'caseload data'!$C:$C,'custody %'!$B$57,'caseload data'!$D:$D,"SPO",'caseload data'!$B:$B,"custody")/SUMIFS('caseload data'!R:R,'caseload data'!$B:$B,"custody",'caseload data'!$C:$C,'custody %'!$B$57),"")</f>
        <v/>
      </c>
      <c r="Q62" s="175" t="str">
        <f>IFERROR(SUMIFS('caseload data'!S:S,'caseload data'!$C:$C,'custody %'!$B$57,'caseload data'!$D:$D,"SPO",'caseload data'!$B:$B,"custody")/SUMIFS('caseload data'!S:S,'caseload data'!$B:$B,"custody",'caseload data'!$C:$C,'custody %'!$B$57),"")</f>
        <v/>
      </c>
      <c r="R62" s="175" t="str">
        <f>IFERROR(SUMIFS('caseload data'!T:T,'caseload data'!$C:$C,'custody %'!$B$57,'caseload data'!$D:$D,"SPO",'caseload data'!$B:$B,"custody")/SUMIFS('caseload data'!T:T,'caseload data'!$B:$B,"custody",'caseload data'!$C:$C,'custody %'!$B$57),"")</f>
        <v/>
      </c>
      <c r="S62" s="68"/>
      <c r="T62" s="102" t="s">
        <v>1174</v>
      </c>
      <c r="U62" s="175" t="str">
        <f>IFERROR(SUMIFS('caseload data'!E:E,'caseload data'!$C:$C,'custody %'!$T$57,'caseload data'!$D:$D,"SPO",'caseload data'!$B:$B,"custody")/SUMIFS('caseload data'!E:E,'caseload data'!$B:$B,"custody",'caseload data'!$C:$C,'custody %'!$T$57),"")</f>
        <v/>
      </c>
      <c r="V62" s="175" t="str">
        <f>IFERROR(SUMIFS('caseload data'!F:F,'caseload data'!$C:$C,'custody %'!$T$57,'caseload data'!$D:$D,"SPO",'caseload data'!$B:$B,"custody")/SUMIFS('caseload data'!F:F,'caseload data'!$B:$B,"custody",'caseload data'!$C:$C,'custody %'!$T$57),"")</f>
        <v/>
      </c>
      <c r="W62" s="175" t="str">
        <f>IFERROR(SUMIFS('caseload data'!G:G,'caseload data'!$C:$C,'custody %'!$T$57,'caseload data'!$D:$D,"SPO",'caseload data'!$B:$B,"custody")/SUMIFS('caseload data'!G:G,'caseload data'!$B:$B,"custody",'caseload data'!$C:$C,'custody %'!$T$57),"")</f>
        <v/>
      </c>
      <c r="X62" s="175" t="str">
        <f>IFERROR(SUMIFS('caseload data'!H:H,'caseload data'!$C:$C,'custody %'!$T$57,'caseload data'!$D:$D,"SPO",'caseload data'!$B:$B,"custody")/SUMIFS('caseload data'!H:H,'caseload data'!$B:$B,"custody",'caseload data'!$C:$C,'custody %'!$T$57),"")</f>
        <v/>
      </c>
      <c r="Y62" s="175" t="str">
        <f>IFERROR(SUMIFS('caseload data'!I:I,'caseload data'!$C:$C,'custody %'!$T$57,'caseload data'!$D:$D,"SPO",'caseload data'!$B:$B,"custody")/SUMIFS('caseload data'!I:I,'caseload data'!$B:$B,"custody",'caseload data'!$C:$C,'custody %'!$T$57),"")</f>
        <v/>
      </c>
      <c r="Z62" s="175" t="str">
        <f>IFERROR(SUMIFS('caseload data'!J:J,'caseload data'!$C:$C,'custody %'!$T$57,'caseload data'!$D:$D,"SPO",'caseload data'!$B:$B,"custody")/SUMIFS('caseload data'!J:J,'caseload data'!$B:$B,"custody",'caseload data'!$C:$C,'custody %'!$T$57),"")</f>
        <v/>
      </c>
      <c r="AA62" s="175" t="str">
        <f>IFERROR(SUMIFS('caseload data'!K:K,'caseload data'!$C:$C,'custody %'!$T$57,'caseload data'!$D:$D,"SPO",'caseload data'!$B:$B,"custody")/SUMIFS('caseload data'!K:K,'caseload data'!$B:$B,"custody",'caseload data'!$C:$C,'custody %'!$T$57),"")</f>
        <v/>
      </c>
      <c r="AB62" s="175" t="str">
        <f>IFERROR(SUMIFS('caseload data'!L:L,'caseload data'!$C:$C,'custody %'!$T$57,'caseload data'!$D:$D,"SPO",'caseload data'!$B:$B,"custody")/SUMIFS('caseload data'!L:L,'caseload data'!$B:$B,"custody",'caseload data'!$C:$C,'custody %'!$T$57),"")</f>
        <v/>
      </c>
      <c r="AC62" s="175" t="str">
        <f>IFERROR(SUMIFS('caseload data'!M:M,'caseload data'!$C:$C,'custody %'!$T$57,'caseload data'!$D:$D,"SPO",'caseload data'!$B:$B,"custody")/SUMIFS('caseload data'!M:M,'caseload data'!$B:$B,"custody",'caseload data'!$C:$C,'custody %'!$T$57),"")</f>
        <v/>
      </c>
      <c r="AD62" s="175" t="str">
        <f>IFERROR(SUMIFS('caseload data'!N:N,'caseload data'!$C:$C,'custody %'!$T$57,'caseload data'!$D:$D,"SPO",'caseload data'!$B:$B,"custody")/SUMIFS('caseload data'!N:N,'caseload data'!$B:$B,"custody",'caseload data'!$C:$C,'custody %'!$T$57),"")</f>
        <v/>
      </c>
      <c r="AE62" s="175" t="str">
        <f>IFERROR(SUMIFS('caseload data'!O:O,'caseload data'!$C:$C,'custody %'!$T$57,'caseload data'!$D:$D,"SPO",'caseload data'!$B:$B,"custody")/SUMIFS('caseload data'!O:O,'caseload data'!$B:$B,"custody",'caseload data'!$C:$C,'custody %'!$T$57),"")</f>
        <v/>
      </c>
      <c r="AF62" s="175" t="str">
        <f>IFERROR(SUMIFS('caseload data'!P:P,'caseload data'!$C:$C,'custody %'!$T$57,'caseload data'!$D:$D,"SPO",'caseload data'!$B:$B,"custody")/SUMIFS('caseload data'!P:P,'caseload data'!$B:$B,"custody",'caseload data'!$C:$C,'custody %'!$T$57),"")</f>
        <v/>
      </c>
      <c r="AG62" s="175" t="str">
        <f>IFERROR(SUMIFS('caseload data'!Q:Q,'caseload data'!$C:$C,'custody %'!$T$57,'caseload data'!$D:$D,"SPO",'caseload data'!$B:$B,"custody")/SUMIFS('caseload data'!Q:Q,'caseload data'!$B:$B,"custody",'caseload data'!$C:$C,'custody %'!$T$57),"")</f>
        <v/>
      </c>
      <c r="AH62" s="175" t="str">
        <f>IFERROR(SUMIFS('caseload data'!R:R,'caseload data'!$C:$C,'custody %'!$T$57,'caseload data'!$D:$D,"SPO",'caseload data'!$B:$B,"custody")/SUMIFS('caseload data'!R:R,'caseload data'!$B:$B,"custody",'caseload data'!$C:$C,'custody %'!$T$57),"")</f>
        <v/>
      </c>
      <c r="AI62" s="175"/>
      <c r="AJ62" s="175"/>
    </row>
    <row r="64" spans="2:36" ht="23.25" customHeight="1" x14ac:dyDescent="0.15">
      <c r="B64" s="150" t="str">
        <f>HLOOKUP($B$5,Region_Table,18,0)</f>
        <v>Newham - N07</v>
      </c>
      <c r="C64" s="467" t="s">
        <v>1305</v>
      </c>
      <c r="D64" s="468"/>
      <c r="E64" s="468"/>
      <c r="F64" s="468"/>
      <c r="G64" s="468"/>
      <c r="H64" s="468"/>
      <c r="I64" s="468"/>
      <c r="J64" s="468"/>
      <c r="K64" s="468"/>
      <c r="L64" s="468"/>
      <c r="M64" s="487"/>
      <c r="N64" s="487"/>
      <c r="O64" s="488"/>
      <c r="P64" s="462">
        <f>SUMIF('caseload data'!$C:$C,'custody %'!B64,'caseload data'!V:V)</f>
        <v>0</v>
      </c>
      <c r="Q64" s="479"/>
      <c r="R64" s="480"/>
      <c r="S64" s="68"/>
      <c r="T64" s="150" t="str">
        <f>HLOOKUP($B$5,Region_Table,19,0)</f>
        <v>Public Protection London</v>
      </c>
      <c r="U64" s="467" t="s">
        <v>1305</v>
      </c>
      <c r="V64" s="468"/>
      <c r="W64" s="468"/>
      <c r="X64" s="468"/>
      <c r="Y64" s="468"/>
      <c r="Z64" s="468"/>
      <c r="AA64" s="468"/>
      <c r="AB64" s="468"/>
      <c r="AC64" s="487"/>
      <c r="AD64" s="487"/>
      <c r="AE64" s="488"/>
      <c r="AF64" s="462">
        <f>SUMIF('caseload data'!$C:$C,'custody %'!T64,'caseload data'!V:V)</f>
        <v>0</v>
      </c>
      <c r="AG64" s="479"/>
      <c r="AH64" s="480"/>
    </row>
    <row r="65" spans="2:36" x14ac:dyDescent="0.15">
      <c r="B65" s="99" t="s">
        <v>1170</v>
      </c>
      <c r="C65" s="40" t="s">
        <v>1022</v>
      </c>
      <c r="D65" s="40" t="s">
        <v>1023</v>
      </c>
      <c r="E65" s="40" t="s">
        <v>1024</v>
      </c>
      <c r="F65" s="40" t="s">
        <v>1025</v>
      </c>
      <c r="G65" s="40" t="s">
        <v>1026</v>
      </c>
      <c r="H65" s="40" t="s">
        <v>1027</v>
      </c>
      <c r="I65" s="40" t="s">
        <v>1028</v>
      </c>
      <c r="J65" s="40" t="s">
        <v>1029</v>
      </c>
      <c r="K65" s="40" t="s">
        <v>1030</v>
      </c>
      <c r="L65" s="40" t="s">
        <v>1031</v>
      </c>
      <c r="M65" s="40" t="s">
        <v>1032</v>
      </c>
      <c r="N65" s="40" t="s">
        <v>1033</v>
      </c>
      <c r="O65" s="40" t="s">
        <v>1034</v>
      </c>
      <c r="P65" s="40" t="s">
        <v>1035</v>
      </c>
      <c r="Q65" s="40" t="s">
        <v>1036</v>
      </c>
      <c r="R65" s="40" t="s">
        <v>1037</v>
      </c>
      <c r="S65" s="68"/>
      <c r="T65" s="99" t="s">
        <v>1170</v>
      </c>
      <c r="U65" s="40" t="s">
        <v>1022</v>
      </c>
      <c r="V65" s="40" t="s">
        <v>1023</v>
      </c>
      <c r="W65" s="40" t="s">
        <v>1024</v>
      </c>
      <c r="X65" s="40" t="s">
        <v>1025</v>
      </c>
      <c r="Y65" s="40" t="s">
        <v>1026</v>
      </c>
      <c r="Z65" s="40" t="s">
        <v>1027</v>
      </c>
      <c r="AA65" s="40" t="s">
        <v>1028</v>
      </c>
      <c r="AB65" s="40" t="s">
        <v>1029</v>
      </c>
      <c r="AC65" s="40" t="s">
        <v>1030</v>
      </c>
      <c r="AD65" s="40" t="s">
        <v>1031</v>
      </c>
      <c r="AE65" s="40" t="s">
        <v>1032</v>
      </c>
      <c r="AF65" s="40" t="s">
        <v>1033</v>
      </c>
      <c r="AG65" s="40" t="s">
        <v>1034</v>
      </c>
      <c r="AH65" s="40" t="s">
        <v>1035</v>
      </c>
      <c r="AI65" s="40" t="s">
        <v>1036</v>
      </c>
      <c r="AJ65" s="40" t="s">
        <v>1037</v>
      </c>
    </row>
    <row r="66" spans="2:36" x14ac:dyDescent="0.15">
      <c r="B66" s="100" t="s">
        <v>1166</v>
      </c>
      <c r="C66" s="175" t="str">
        <f>IFERROR(SUMIFS('caseload data'!E:E,'caseload data'!$C:$C,'custody %'!$B$64,'caseload data'!$D:$D,"PO",'caseload data'!$B:$B,"custody")/SUMIFS('caseload data'!E:E,'caseload data'!$B:$B,"custody",'caseload data'!$C:$C,'custody %'!$B$64),"")</f>
        <v/>
      </c>
      <c r="D66" s="175" t="str">
        <f>IFERROR(SUMIFS('caseload data'!F:F,'caseload data'!$C:$C,'custody %'!$B$64,'caseload data'!$D:$D,"PO",'caseload data'!$B:$B,"custody")/SUMIFS('caseload data'!F:F,'caseload data'!$B:$B,"custody",'caseload data'!$C:$C,'custody %'!$B$64),"")</f>
        <v/>
      </c>
      <c r="E66" s="175" t="str">
        <f>IFERROR(SUMIFS('caseload data'!G:G,'caseload data'!$C:$C,'custody %'!$B$64,'caseload data'!$D:$D,"PO",'caseload data'!$B:$B,"custody")/SUMIFS('caseload data'!G:G,'caseload data'!$B:$B,"custody",'caseload data'!$C:$C,'custody %'!$B$64),"")</f>
        <v/>
      </c>
      <c r="F66" s="175" t="str">
        <f>IFERROR(SUMIFS('caseload data'!H:H,'caseload data'!$C:$C,'custody %'!$B$64,'caseload data'!$D:$D,"PO",'caseload data'!$B:$B,"custody")/SUMIFS('caseload data'!H:H,'caseload data'!$B:$B,"custody",'caseload data'!$C:$C,'custody %'!$B$64),"")</f>
        <v/>
      </c>
      <c r="G66" s="175" t="str">
        <f>IFERROR(SUMIFS('caseload data'!I:I,'caseload data'!$C:$C,'custody %'!$B$64,'caseload data'!$D:$D,"PO",'caseload data'!$B:$B,"custody")/SUMIFS('caseload data'!I:I,'caseload data'!$B:$B,"custody",'caseload data'!$C:$C,'custody %'!$B$64),"")</f>
        <v/>
      </c>
      <c r="H66" s="175" t="str">
        <f>IFERROR(SUMIFS('caseload data'!J:J,'caseload data'!$C:$C,'custody %'!$B$64,'caseload data'!$D:$D,"PO",'caseload data'!$B:$B,"custody")/SUMIFS('caseload data'!J:J,'caseload data'!$B:$B,"custody",'caseload data'!$C:$C,'custody %'!$B$64),"")</f>
        <v/>
      </c>
      <c r="I66" s="175" t="str">
        <f>IFERROR(SUMIFS('caseload data'!K:K,'caseload data'!$C:$C,'custody %'!$B$64,'caseload data'!$D:$D,"PO",'caseload data'!$B:$B,"custody")/SUMIFS('caseload data'!K:K,'caseload data'!$B:$B,"custody",'caseload data'!$C:$C,'custody %'!$B$64),"")</f>
        <v/>
      </c>
      <c r="J66" s="175" t="str">
        <f>IFERROR(SUMIFS('caseload data'!L:L,'caseload data'!$C:$C,'custody %'!$B$64,'caseload data'!$D:$D,"PO",'caseload data'!$B:$B,"custody")/SUMIFS('caseload data'!L:L,'caseload data'!$B:$B,"custody",'caseload data'!$C:$C,'custody %'!$B$64),"")</f>
        <v/>
      </c>
      <c r="K66" s="175" t="str">
        <f>IFERROR(SUMIFS('caseload data'!M:M,'caseload data'!$C:$C,'custody %'!$B$64,'caseload data'!$D:$D,"PO",'caseload data'!$B:$B,"custody")/SUMIFS('caseload data'!M:M,'caseload data'!$B:$B,"custody",'caseload data'!$C:$C,'custody %'!$B$64),"")</f>
        <v/>
      </c>
      <c r="L66" s="175" t="str">
        <f>IFERROR(SUMIFS('caseload data'!N:N,'caseload data'!$C:$C,'custody %'!$B$64,'caseload data'!$D:$D,"PO",'caseload data'!$B:$B,"custody")/SUMIFS('caseload data'!N:N,'caseload data'!$B:$B,"custody",'caseload data'!$C:$C,'custody %'!$B$64),"")</f>
        <v/>
      </c>
      <c r="M66" s="175" t="str">
        <f>IFERROR(SUMIFS('caseload data'!O:O,'caseload data'!$C:$C,'custody %'!$B$64,'caseload data'!$D:$D,"PO",'caseload data'!$B:$B,"custody")/SUMIFS('caseload data'!O:O,'caseload data'!$B:$B,"custody",'caseload data'!$C:$C,'custody %'!$B$64),"")</f>
        <v/>
      </c>
      <c r="N66" s="175" t="str">
        <f>IFERROR(SUMIFS('caseload data'!P:P,'caseload data'!$C:$C,'custody %'!$B$64,'caseload data'!$D:$D,"PO",'caseload data'!$B:$B,"custody")/SUMIFS('caseload data'!P:P,'caseload data'!$B:$B,"custody",'caseload data'!$C:$C,'custody %'!$B$64),"")</f>
        <v/>
      </c>
      <c r="O66" s="175" t="str">
        <f>IFERROR(SUMIFS('caseload data'!Q:Q,'caseload data'!$C:$C,'custody %'!$B$64,'caseload data'!$D:$D,"PO",'caseload data'!$B:$B,"custody")/SUMIFS('caseload data'!Q:Q,'caseload data'!$B:$B,"custody",'caseload data'!$C:$C,'custody %'!$B$64),"")</f>
        <v/>
      </c>
      <c r="P66" s="175" t="str">
        <f>IFERROR(SUMIFS('caseload data'!R:R,'caseload data'!$C:$C,'custody %'!$B$64,'caseload data'!$D:$D,"PO",'caseload data'!$B:$B,"custody")/SUMIFS('caseload data'!R:R,'caseload data'!$B:$B,"custody",'caseload data'!$C:$C,'custody %'!$B$64),"")</f>
        <v/>
      </c>
      <c r="Q66" s="175" t="str">
        <f>IFERROR(SUMIFS('caseload data'!S:S,'caseload data'!$C:$C,'custody %'!$B$64,'caseload data'!$D:$D,"PO",'caseload data'!$B:$B,"custody")/SUMIFS('caseload data'!S:S,'caseload data'!$B:$B,"custody",'caseload data'!$C:$C,'custody %'!$B$64),"")</f>
        <v/>
      </c>
      <c r="R66" s="175" t="str">
        <f>IFERROR(SUMIFS('caseload data'!T:T,'caseload data'!$C:$C,'custody %'!$B$64,'caseload data'!$D:$D,"PO",'caseload data'!$B:$B,"custody")/SUMIFS('caseload data'!T:T,'caseload data'!$B:$B,"custody",'caseload data'!$C:$C,'custody %'!$B$64),"")</f>
        <v/>
      </c>
      <c r="S66" s="68"/>
      <c r="T66" s="100" t="s">
        <v>1166</v>
      </c>
      <c r="U66" s="175" t="str">
        <f>IFERROR(SUMIFS('caseload data'!E:E,'caseload data'!$C:$C,'custody %'!$T$64,'caseload data'!$D:$D,"PO",'caseload data'!$B:$B,"custody")/SUMIFS('caseload data'!E:E,'caseload data'!$B:$B,"custody",'caseload data'!$C:$C,'custody %'!$T$64),"")</f>
        <v/>
      </c>
      <c r="V66" s="175" t="str">
        <f>IFERROR(SUMIFS('caseload data'!F:F,'caseload data'!$C:$C,'custody %'!$T$64,'caseload data'!$D:$D,"PO",'caseload data'!$B:$B,"custody")/SUMIFS('caseload data'!F:F,'caseload data'!$B:$B,"custody",'caseload data'!$C:$C,'custody %'!$T$64),"")</f>
        <v/>
      </c>
      <c r="W66" s="175" t="str">
        <f>IFERROR(SUMIFS('caseload data'!G:G,'caseload data'!$C:$C,'custody %'!$T$64,'caseload data'!$D:$D,"PO",'caseload data'!$B:$B,"custody")/SUMIFS('caseload data'!G:G,'caseload data'!$B:$B,"custody",'caseload data'!$C:$C,'custody %'!$T$64),"")</f>
        <v/>
      </c>
      <c r="X66" s="175" t="str">
        <f>IFERROR(SUMIFS('caseload data'!H:H,'caseload data'!$C:$C,'custody %'!$T$64,'caseload data'!$D:$D,"PO",'caseload data'!$B:$B,"custody")/SUMIFS('caseload data'!H:H,'caseload data'!$B:$B,"custody",'caseload data'!$C:$C,'custody %'!$T$64),"")</f>
        <v/>
      </c>
      <c r="Y66" s="175" t="str">
        <f>IFERROR(SUMIFS('caseload data'!I:I,'caseload data'!$C:$C,'custody %'!$T$64,'caseload data'!$D:$D,"PO",'caseload data'!$B:$B,"custody")/SUMIFS('caseload data'!I:I,'caseload data'!$B:$B,"custody",'caseload data'!$C:$C,'custody %'!$T$64),"")</f>
        <v/>
      </c>
      <c r="Z66" s="175" t="str">
        <f>IFERROR(SUMIFS('caseload data'!J:J,'caseload data'!$C:$C,'custody %'!$T$64,'caseload data'!$D:$D,"PO",'caseload data'!$B:$B,"custody")/SUMIFS('caseload data'!J:J,'caseload data'!$B:$B,"custody",'caseload data'!$C:$C,'custody %'!$T$64),"")</f>
        <v/>
      </c>
      <c r="AA66" s="175" t="str">
        <f>IFERROR(SUMIFS('caseload data'!K:K,'caseload data'!$C:$C,'custody %'!$T$64,'caseload data'!$D:$D,"PO",'caseload data'!$B:$B,"custody")/SUMIFS('caseload data'!K:K,'caseload data'!$B:$B,"custody",'caseload data'!$C:$C,'custody %'!$T$64),"")</f>
        <v/>
      </c>
      <c r="AB66" s="175" t="str">
        <f>IFERROR(SUMIFS('caseload data'!L:L,'caseload data'!$C:$C,'custody %'!$T$64,'caseload data'!$D:$D,"PO",'caseload data'!$B:$B,"custody")/SUMIFS('caseload data'!L:L,'caseload data'!$B:$B,"custody",'caseload data'!$C:$C,'custody %'!$T$64),"")</f>
        <v/>
      </c>
      <c r="AC66" s="175" t="str">
        <f>IFERROR(SUMIFS('caseload data'!M:M,'caseload data'!$C:$C,'custody %'!$T$64,'caseload data'!$D:$D,"PO",'caseload data'!$B:$B,"custody")/SUMIFS('caseload data'!M:M,'caseload data'!$B:$B,"custody",'caseload data'!$C:$C,'custody %'!$T$64),"")</f>
        <v/>
      </c>
      <c r="AD66" s="175" t="str">
        <f>IFERROR(SUMIFS('caseload data'!N:N,'caseload data'!$C:$C,'custody %'!$T$64,'caseload data'!$D:$D,"PO",'caseload data'!$B:$B,"custody")/SUMIFS('caseload data'!N:N,'caseload data'!$B:$B,"custody",'caseload data'!$C:$C,'custody %'!$T$64),"")</f>
        <v/>
      </c>
      <c r="AE66" s="175" t="str">
        <f>IFERROR(SUMIFS('caseload data'!O:O,'caseload data'!$C:$C,'custody %'!$T$64,'caseload data'!$D:$D,"PO",'caseload data'!$B:$B,"custody")/SUMIFS('caseload data'!O:O,'caseload data'!$B:$B,"custody",'caseload data'!$C:$C,'custody %'!$T$64),"")</f>
        <v/>
      </c>
      <c r="AF66" s="175" t="str">
        <f>IFERROR(SUMIFS('caseload data'!P:P,'caseload data'!$C:$C,'custody %'!$T$64,'caseload data'!$D:$D,"PO",'caseload data'!$B:$B,"custody")/SUMIFS('caseload data'!P:P,'caseload data'!$B:$B,"custody",'caseload data'!$C:$C,'custody %'!$T$64),"")</f>
        <v/>
      </c>
      <c r="AG66" s="175" t="str">
        <f>IFERROR(SUMIFS('caseload data'!Q:Q,'caseload data'!$C:$C,'custody %'!$T$64,'caseload data'!$D:$D,"PO",'caseload data'!$B:$B,"custody")/SUMIFS('caseload data'!Q:Q,'caseload data'!$B:$B,"custody",'caseload data'!$C:$C,'custody %'!$T$64),"")</f>
        <v/>
      </c>
      <c r="AH66" s="175" t="str">
        <f>IFERROR(SUMIFS('caseload data'!R:R,'caseload data'!$C:$C,'custody %'!$T$64,'caseload data'!$D:$D,"PO",'caseload data'!$B:$B,"custody")/SUMIFS('caseload data'!R:R,'caseload data'!$B:$B,"custody",'caseload data'!$C:$C,'custody %'!$T$64),"")</f>
        <v/>
      </c>
      <c r="AI66" s="175"/>
      <c r="AJ66" s="175"/>
    </row>
    <row r="67" spans="2:36" x14ac:dyDescent="0.15">
      <c r="B67" s="101" t="s">
        <v>1172</v>
      </c>
      <c r="C67" s="175" t="str">
        <f>IFERROR(SUMIFS('caseload data'!E:E,'caseload data'!$C:$C,'custody %'!$B$64,'caseload data'!$D:$D,"PSO",'caseload data'!$B:$B,"custody")/SUMIFS('caseload data'!E:E,'caseload data'!$B:$B,"custody",'caseload data'!$C:$C,'custody %'!$B$64),"")</f>
        <v/>
      </c>
      <c r="D67" s="175" t="str">
        <f>IFERROR(SUMIFS('caseload data'!F:F,'caseload data'!$C:$C,'custody %'!$B$64,'caseload data'!$D:$D,"PSO",'caseload data'!$B:$B,"custody")/SUMIFS('caseload data'!F:F,'caseload data'!$B:$B,"custody",'caseload data'!$C:$C,'custody %'!$B$64),"")</f>
        <v/>
      </c>
      <c r="E67" s="175" t="str">
        <f>IFERROR(SUMIFS('caseload data'!G:G,'caseload data'!$C:$C,'custody %'!$B$64,'caseload data'!$D:$D,"PSO",'caseload data'!$B:$B,"custody")/SUMIFS('caseload data'!G:G,'caseload data'!$B:$B,"custody",'caseload data'!$C:$C,'custody %'!$B$64),"")</f>
        <v/>
      </c>
      <c r="F67" s="175" t="str">
        <f>IFERROR(SUMIFS('caseload data'!H:H,'caseload data'!$C:$C,'custody %'!$B$64,'caseload data'!$D:$D,"PSO",'caseload data'!$B:$B,"custody")/SUMIFS('caseload data'!H:H,'caseload data'!$B:$B,"custody",'caseload data'!$C:$C,'custody %'!$B$64),"")</f>
        <v/>
      </c>
      <c r="G67" s="175" t="str">
        <f>IFERROR(SUMIFS('caseload data'!I:I,'caseload data'!$C:$C,'custody %'!$B$64,'caseload data'!$D:$D,"PSO",'caseload data'!$B:$B,"custody")/SUMIFS('caseload data'!I:I,'caseload data'!$B:$B,"custody",'caseload data'!$C:$C,'custody %'!$B$64),"")</f>
        <v/>
      </c>
      <c r="H67" s="175" t="str">
        <f>IFERROR(SUMIFS('caseload data'!J:J,'caseload data'!$C:$C,'custody %'!$B$64,'caseload data'!$D:$D,"PSO",'caseload data'!$B:$B,"custody")/SUMIFS('caseload data'!J:J,'caseload data'!$B:$B,"custody",'caseload data'!$C:$C,'custody %'!$B$64),"")</f>
        <v/>
      </c>
      <c r="I67" s="175" t="str">
        <f>IFERROR(SUMIFS('caseload data'!K:K,'caseload data'!$C:$C,'custody %'!$B$64,'caseload data'!$D:$D,"PSO",'caseload data'!$B:$B,"custody")/SUMIFS('caseload data'!K:K,'caseload data'!$B:$B,"custody",'caseload data'!$C:$C,'custody %'!$B$64),"")</f>
        <v/>
      </c>
      <c r="J67" s="175" t="str">
        <f>IFERROR(SUMIFS('caseload data'!L:L,'caseload data'!$C:$C,'custody %'!$B$64,'caseload data'!$D:$D,"PSO",'caseload data'!$B:$B,"custody")/SUMIFS('caseload data'!L:L,'caseload data'!$B:$B,"custody",'caseload data'!$C:$C,'custody %'!$B$64),"")</f>
        <v/>
      </c>
      <c r="K67" s="175" t="str">
        <f>IFERROR(SUMIFS('caseload data'!M:M,'caseload data'!$C:$C,'custody %'!$B$64,'caseload data'!$D:$D,"PSO",'caseload data'!$B:$B,"custody")/SUMIFS('caseload data'!M:M,'caseload data'!$B:$B,"custody",'caseload data'!$C:$C,'custody %'!$B$64),"")</f>
        <v/>
      </c>
      <c r="L67" s="175" t="str">
        <f>IFERROR(SUMIFS('caseload data'!N:N,'caseload data'!$C:$C,'custody %'!$B$64,'caseload data'!$D:$D,"PSO",'caseload data'!$B:$B,"custody")/SUMIFS('caseload data'!N:N,'caseload data'!$B:$B,"custody",'caseload data'!$C:$C,'custody %'!$B$64),"")</f>
        <v/>
      </c>
      <c r="M67" s="175" t="str">
        <f>IFERROR(SUMIFS('caseload data'!O:O,'caseload data'!$C:$C,'custody %'!$B$64,'caseload data'!$D:$D,"PSO",'caseload data'!$B:$B,"custody")/SUMIFS('caseload data'!O:O,'caseload data'!$B:$B,"custody",'caseload data'!$C:$C,'custody %'!$B$64),"")</f>
        <v/>
      </c>
      <c r="N67" s="175" t="str">
        <f>IFERROR(SUMIFS('caseload data'!P:P,'caseload data'!$C:$C,'custody %'!$B$64,'caseload data'!$D:$D,"PSO",'caseload data'!$B:$B,"custody")/SUMIFS('caseload data'!P:P,'caseload data'!$B:$B,"custody",'caseload data'!$C:$C,'custody %'!$B$64),"")</f>
        <v/>
      </c>
      <c r="O67" s="175" t="str">
        <f>IFERROR(SUMIFS('caseload data'!Q:Q,'caseload data'!$C:$C,'custody %'!$B$64,'caseload data'!$D:$D,"PSO",'caseload data'!$B:$B,"custody")/SUMIFS('caseload data'!Q:Q,'caseload data'!$B:$B,"custody",'caseload data'!$C:$C,'custody %'!$B$64),"")</f>
        <v/>
      </c>
      <c r="P67" s="175" t="str">
        <f>IFERROR(SUMIFS('caseload data'!R:R,'caseload data'!$C:$C,'custody %'!$B$64,'caseload data'!$D:$D,"PSO",'caseload data'!$B:$B,"custody")/SUMIFS('caseload data'!R:R,'caseload data'!$B:$B,"custody",'caseload data'!$C:$C,'custody %'!$B$64),"")</f>
        <v/>
      </c>
      <c r="Q67" s="175" t="str">
        <f>IFERROR(SUMIFS('caseload data'!S:S,'caseload data'!$C:$C,'custody %'!$B$64,'caseload data'!$D:$D,"PSO",'caseload data'!$B:$B,"custody")/SUMIFS('caseload data'!S:S,'caseload data'!$B:$B,"custody",'caseload data'!$C:$C,'custody %'!$B$64),"")</f>
        <v/>
      </c>
      <c r="R67" s="175" t="str">
        <f>IFERROR(SUMIFS('caseload data'!T:T,'caseload data'!$C:$C,'custody %'!$B$64,'caseload data'!$D:$D,"PSO",'caseload data'!$B:$B,"custody")/SUMIFS('caseload data'!T:T,'caseload data'!$B:$B,"custody",'caseload data'!$C:$C,'custody %'!$B$64),"")</f>
        <v/>
      </c>
      <c r="S67" s="68"/>
      <c r="T67" s="101" t="s">
        <v>1172</v>
      </c>
      <c r="U67" s="175" t="str">
        <f>IFERROR(SUMIFS('caseload data'!E:E,'caseload data'!$C:$C,'custody %'!$T$64,'caseload data'!$D:$D,"PSO",'caseload data'!$B:$B,"custody")/SUMIFS('caseload data'!E:E,'caseload data'!$B:$B,"custody",'caseload data'!$C:$C,'custody %'!$T$64),"")</f>
        <v/>
      </c>
      <c r="V67" s="175" t="str">
        <f>IFERROR(SUMIFS('caseload data'!F:F,'caseload data'!$C:$C,'custody %'!$T$64,'caseload data'!$D:$D,"PSO",'caseload data'!$B:$B,"custody")/SUMIFS('caseload data'!F:F,'caseload data'!$B:$B,"custody",'caseload data'!$C:$C,'custody %'!$T$64),"")</f>
        <v/>
      </c>
      <c r="W67" s="175" t="str">
        <f>IFERROR(SUMIFS('caseload data'!G:G,'caseload data'!$C:$C,'custody %'!$T$64,'caseload data'!$D:$D,"PSO",'caseload data'!$B:$B,"custody")/SUMIFS('caseload data'!G:G,'caseload data'!$B:$B,"custody",'caseload data'!$C:$C,'custody %'!$T$64),"")</f>
        <v/>
      </c>
      <c r="X67" s="175" t="str">
        <f>IFERROR(SUMIFS('caseload data'!H:H,'caseload data'!$C:$C,'custody %'!$T$64,'caseload data'!$D:$D,"PSO",'caseload data'!$B:$B,"custody")/SUMIFS('caseload data'!H:H,'caseload data'!$B:$B,"custody",'caseload data'!$C:$C,'custody %'!$T$64),"")</f>
        <v/>
      </c>
      <c r="Y67" s="175" t="str">
        <f>IFERROR(SUMIFS('caseload data'!I:I,'caseload data'!$C:$C,'custody %'!$T$64,'caseload data'!$D:$D,"PSO",'caseload data'!$B:$B,"custody")/SUMIFS('caseload data'!I:I,'caseload data'!$B:$B,"custody",'caseload data'!$C:$C,'custody %'!$T$64),"")</f>
        <v/>
      </c>
      <c r="Z67" s="175" t="str">
        <f>IFERROR(SUMIFS('caseload data'!J:J,'caseload data'!$C:$C,'custody %'!$T$64,'caseload data'!$D:$D,"PSO",'caseload data'!$B:$B,"custody")/SUMIFS('caseload data'!J:J,'caseload data'!$B:$B,"custody",'caseload data'!$C:$C,'custody %'!$T$64),"")</f>
        <v/>
      </c>
      <c r="AA67" s="175" t="str">
        <f>IFERROR(SUMIFS('caseload data'!K:K,'caseload data'!$C:$C,'custody %'!$T$64,'caseload data'!$D:$D,"PSO",'caseload data'!$B:$B,"custody")/SUMIFS('caseload data'!K:K,'caseload data'!$B:$B,"custody",'caseload data'!$C:$C,'custody %'!$T$64),"")</f>
        <v/>
      </c>
      <c r="AB67" s="175" t="str">
        <f>IFERROR(SUMIFS('caseload data'!L:L,'caseload data'!$C:$C,'custody %'!$T$64,'caseload data'!$D:$D,"PSO",'caseload data'!$B:$B,"custody")/SUMIFS('caseload data'!L:L,'caseload data'!$B:$B,"custody",'caseload data'!$C:$C,'custody %'!$T$64),"")</f>
        <v/>
      </c>
      <c r="AC67" s="175" t="str">
        <f>IFERROR(SUMIFS('caseload data'!M:M,'caseload data'!$C:$C,'custody %'!$T$64,'caseload data'!$D:$D,"PSO",'caseload data'!$B:$B,"custody")/SUMIFS('caseload data'!M:M,'caseload data'!$B:$B,"custody",'caseload data'!$C:$C,'custody %'!$T$64),"")</f>
        <v/>
      </c>
      <c r="AD67" s="175" t="str">
        <f>IFERROR(SUMIFS('caseload data'!N:N,'caseload data'!$C:$C,'custody %'!$T$64,'caseload data'!$D:$D,"PSO",'caseload data'!$B:$B,"custody")/SUMIFS('caseload data'!N:N,'caseload data'!$B:$B,"custody",'caseload data'!$C:$C,'custody %'!$T$64),"")</f>
        <v/>
      </c>
      <c r="AE67" s="175" t="str">
        <f>IFERROR(SUMIFS('caseload data'!O:O,'caseload data'!$C:$C,'custody %'!$T$64,'caseload data'!$D:$D,"PSO",'caseload data'!$B:$B,"custody")/SUMIFS('caseload data'!O:O,'caseload data'!$B:$B,"custody",'caseload data'!$C:$C,'custody %'!$T$64),"")</f>
        <v/>
      </c>
      <c r="AF67" s="175" t="str">
        <f>IFERROR(SUMIFS('caseload data'!P:P,'caseload data'!$C:$C,'custody %'!$T$64,'caseload data'!$D:$D,"PSO",'caseload data'!$B:$B,"custody")/SUMIFS('caseload data'!P:P,'caseload data'!$B:$B,"custody",'caseload data'!$C:$C,'custody %'!$T$64),"")</f>
        <v/>
      </c>
      <c r="AG67" s="175" t="str">
        <f>IFERROR(SUMIFS('caseload data'!Q:Q,'caseload data'!$C:$C,'custody %'!$T$64,'caseload data'!$D:$D,"PSO",'caseload data'!$B:$B,"custody")/SUMIFS('caseload data'!Q:Q,'caseload data'!$B:$B,"custody",'caseload data'!$C:$C,'custody %'!$T$64),"")</f>
        <v/>
      </c>
      <c r="AH67" s="175" t="str">
        <f>IFERROR(SUMIFS('caseload data'!R:R,'caseload data'!$C:$C,'custody %'!$T$64,'caseload data'!$D:$D,"PSO",'caseload data'!$B:$B,"custody")/SUMIFS('caseload data'!R:R,'caseload data'!$B:$B,"custody",'caseload data'!$C:$C,'custody %'!$T$64),"")</f>
        <v/>
      </c>
      <c r="AI67" s="175"/>
      <c r="AJ67" s="175"/>
    </row>
    <row r="68" spans="2:36" x14ac:dyDescent="0.15">
      <c r="B68" s="101" t="s">
        <v>1173</v>
      </c>
      <c r="C68" s="175" t="str">
        <f>IFERROR(SUMIFS('caseload data'!E:E,'caseload data'!$C:$C,'custody %'!$B$64,'caseload data'!$D:$D,"TPO",'caseload data'!$B:$B,"custody")/SUMIFS('caseload data'!E:E,'caseload data'!$B:$B,"custody",'caseload data'!$C:$C,'custody %'!$B$64),"")</f>
        <v/>
      </c>
      <c r="D68" s="175" t="str">
        <f>IFERROR(SUMIFS('caseload data'!F:F,'caseload data'!$C:$C,'custody %'!$B$64,'caseload data'!$D:$D,"TPO",'caseload data'!$B:$B,"custody")/SUMIFS('caseload data'!F:F,'caseload data'!$B:$B,"custody",'caseload data'!$C:$C,'custody %'!$B$64),"")</f>
        <v/>
      </c>
      <c r="E68" s="175" t="str">
        <f>IFERROR(SUMIFS('caseload data'!G:G,'caseload data'!$C:$C,'custody %'!$B$64,'caseload data'!$D:$D,"TPO",'caseload data'!$B:$B,"custody")/SUMIFS('caseload data'!G:G,'caseload data'!$B:$B,"custody",'caseload data'!$C:$C,'custody %'!$B$64),"")</f>
        <v/>
      </c>
      <c r="F68" s="175" t="str">
        <f>IFERROR(SUMIFS('caseload data'!H:H,'caseload data'!$C:$C,'custody %'!$B$64,'caseload data'!$D:$D,"TPO",'caseload data'!$B:$B,"custody")/SUMIFS('caseload data'!H:H,'caseload data'!$B:$B,"custody",'caseload data'!$C:$C,'custody %'!$B$64),"")</f>
        <v/>
      </c>
      <c r="G68" s="175" t="str">
        <f>IFERROR(SUMIFS('caseload data'!I:I,'caseload data'!$C:$C,'custody %'!$B$64,'caseload data'!$D:$D,"TPO",'caseload data'!$B:$B,"custody")/SUMIFS('caseload data'!I:I,'caseload data'!$B:$B,"custody",'caseload data'!$C:$C,'custody %'!$B$64),"")</f>
        <v/>
      </c>
      <c r="H68" s="175" t="str">
        <f>IFERROR(SUMIFS('caseload data'!J:J,'caseload data'!$C:$C,'custody %'!$B$64,'caseload data'!$D:$D,"TPO",'caseload data'!$B:$B,"custody")/SUMIFS('caseload data'!J:J,'caseload data'!$B:$B,"custody",'caseload data'!$C:$C,'custody %'!$B$64),"")</f>
        <v/>
      </c>
      <c r="I68" s="175" t="str">
        <f>IFERROR(SUMIFS('caseload data'!K:K,'caseload data'!$C:$C,'custody %'!$B$64,'caseload data'!$D:$D,"TPO",'caseload data'!$B:$B,"custody")/SUMIFS('caseload data'!K:K,'caseload data'!$B:$B,"custody",'caseload data'!$C:$C,'custody %'!$B$64),"")</f>
        <v/>
      </c>
      <c r="J68" s="175" t="str">
        <f>IFERROR(SUMIFS('caseload data'!L:L,'caseload data'!$C:$C,'custody %'!$B$64,'caseload data'!$D:$D,"TPO",'caseload data'!$B:$B,"custody")/SUMIFS('caseload data'!L:L,'caseload data'!$B:$B,"custody",'caseload data'!$C:$C,'custody %'!$B$64),"")</f>
        <v/>
      </c>
      <c r="K68" s="175" t="str">
        <f>IFERROR(SUMIFS('caseload data'!M:M,'caseload data'!$C:$C,'custody %'!$B$64,'caseload data'!$D:$D,"TPO",'caseload data'!$B:$B,"custody")/SUMIFS('caseload data'!M:M,'caseload data'!$B:$B,"custody",'caseload data'!$C:$C,'custody %'!$B$64),"")</f>
        <v/>
      </c>
      <c r="L68" s="175" t="str">
        <f>IFERROR(SUMIFS('caseload data'!N:N,'caseload data'!$C:$C,'custody %'!$B$64,'caseload data'!$D:$D,"TPO",'caseload data'!$B:$B,"custody")/SUMIFS('caseload data'!N:N,'caseload data'!$B:$B,"custody",'caseload data'!$C:$C,'custody %'!$B$64),"")</f>
        <v/>
      </c>
      <c r="M68" s="175" t="str">
        <f>IFERROR(SUMIFS('caseload data'!O:O,'caseload data'!$C:$C,'custody %'!$B$64,'caseload data'!$D:$D,"TPO",'caseload data'!$B:$B,"custody")/SUMIFS('caseload data'!O:O,'caseload data'!$B:$B,"custody",'caseload data'!$C:$C,'custody %'!$B$64),"")</f>
        <v/>
      </c>
      <c r="N68" s="175" t="str">
        <f>IFERROR(SUMIFS('caseload data'!P:P,'caseload data'!$C:$C,'custody %'!$B$64,'caseload data'!$D:$D,"TPO",'caseload data'!$B:$B,"custody")/SUMIFS('caseload data'!P:P,'caseload data'!$B:$B,"custody",'caseload data'!$C:$C,'custody %'!$B$64),"")</f>
        <v/>
      </c>
      <c r="O68" s="175" t="str">
        <f>IFERROR(SUMIFS('caseload data'!Q:Q,'caseload data'!$C:$C,'custody %'!$B$64,'caseload data'!$D:$D,"TPO",'caseload data'!$B:$B,"custody")/SUMIFS('caseload data'!Q:Q,'caseload data'!$B:$B,"custody",'caseload data'!$C:$C,'custody %'!$B$64),"")</f>
        <v/>
      </c>
      <c r="P68" s="175" t="str">
        <f>IFERROR(SUMIFS('caseload data'!R:R,'caseload data'!$C:$C,'custody %'!$B$64,'caseload data'!$D:$D,"TPO",'caseload data'!$B:$B,"custody")/SUMIFS('caseload data'!R:R,'caseload data'!$B:$B,"custody",'caseload data'!$C:$C,'custody %'!$B$64),"")</f>
        <v/>
      </c>
      <c r="Q68" s="175" t="str">
        <f>IFERROR(SUMIFS('caseload data'!S:S,'caseload data'!$C:$C,'custody %'!$B$64,'caseload data'!$D:$D,"TPO",'caseload data'!$B:$B,"custody")/SUMIFS('caseload data'!S:S,'caseload data'!$B:$B,"custody",'caseload data'!$C:$C,'custody %'!$B$64),"")</f>
        <v/>
      </c>
      <c r="R68" s="175" t="str">
        <f>IFERROR(SUMIFS('caseload data'!T:T,'caseload data'!$C:$C,'custody %'!$B$64,'caseload data'!$D:$D,"TPO",'caseload data'!$B:$B,"custody")/SUMIFS('caseload data'!T:T,'caseload data'!$B:$B,"custody",'caseload data'!$C:$C,'custody %'!$B$64),"")</f>
        <v/>
      </c>
      <c r="S68" s="68"/>
      <c r="T68" s="101" t="s">
        <v>1173</v>
      </c>
      <c r="U68" s="175" t="str">
        <f>IFERROR(SUMIFS('caseload data'!E:E,'caseload data'!$C:$C,'custody %'!$T$64,'caseload data'!$D:$D,"TPO",'caseload data'!$B:$B,"custody")/SUMIFS('caseload data'!E:E,'caseload data'!$B:$B,"custody",'caseload data'!$C:$C,'custody %'!$T$64),"")</f>
        <v/>
      </c>
      <c r="V68" s="175" t="str">
        <f>IFERROR(SUMIFS('caseload data'!F:F,'caseload data'!$C:$C,'custody %'!$T$64,'caseload data'!$D:$D,"TPO",'caseload data'!$B:$B,"custody")/SUMIFS('caseload data'!F:F,'caseload data'!$B:$B,"custody",'caseload data'!$C:$C,'custody %'!$T$64),"")</f>
        <v/>
      </c>
      <c r="W68" s="175" t="str">
        <f>IFERROR(SUMIFS('caseload data'!G:G,'caseload data'!$C:$C,'custody %'!$T$64,'caseload data'!$D:$D,"TPO",'caseload data'!$B:$B,"custody")/SUMIFS('caseload data'!G:G,'caseload data'!$B:$B,"custody",'caseload data'!$C:$C,'custody %'!$T$64),"")</f>
        <v/>
      </c>
      <c r="X68" s="175" t="str">
        <f>IFERROR(SUMIFS('caseload data'!H:H,'caseload data'!$C:$C,'custody %'!$T$64,'caseload data'!$D:$D,"TPO",'caseload data'!$B:$B,"custody")/SUMIFS('caseload data'!H:H,'caseload data'!$B:$B,"custody",'caseload data'!$C:$C,'custody %'!$T$64),"")</f>
        <v/>
      </c>
      <c r="Y68" s="175" t="str">
        <f>IFERROR(SUMIFS('caseload data'!I:I,'caseload data'!$C:$C,'custody %'!$T$64,'caseload data'!$D:$D,"TPO",'caseload data'!$B:$B,"custody")/SUMIFS('caseload data'!I:I,'caseload data'!$B:$B,"custody",'caseload data'!$C:$C,'custody %'!$T$64),"")</f>
        <v/>
      </c>
      <c r="Z68" s="175" t="str">
        <f>IFERROR(SUMIFS('caseload data'!J:J,'caseload data'!$C:$C,'custody %'!$T$64,'caseload data'!$D:$D,"TPO",'caseload data'!$B:$B,"custody")/SUMIFS('caseload data'!J:J,'caseload data'!$B:$B,"custody",'caseload data'!$C:$C,'custody %'!$T$64),"")</f>
        <v/>
      </c>
      <c r="AA68" s="175" t="str">
        <f>IFERROR(SUMIFS('caseload data'!K:K,'caseload data'!$C:$C,'custody %'!$T$64,'caseload data'!$D:$D,"TPO",'caseload data'!$B:$B,"custody")/SUMIFS('caseload data'!K:K,'caseload data'!$B:$B,"custody",'caseload data'!$C:$C,'custody %'!$T$64),"")</f>
        <v/>
      </c>
      <c r="AB68" s="175" t="str">
        <f>IFERROR(SUMIFS('caseload data'!L:L,'caseload data'!$C:$C,'custody %'!$T$64,'caseload data'!$D:$D,"TPO",'caseload data'!$B:$B,"custody")/SUMIFS('caseload data'!L:L,'caseload data'!$B:$B,"custody",'caseload data'!$C:$C,'custody %'!$T$64),"")</f>
        <v/>
      </c>
      <c r="AC68" s="175" t="str">
        <f>IFERROR(SUMIFS('caseload data'!M:M,'caseload data'!$C:$C,'custody %'!$T$64,'caseload data'!$D:$D,"TPO",'caseload data'!$B:$B,"custody")/SUMIFS('caseload data'!M:M,'caseload data'!$B:$B,"custody",'caseload data'!$C:$C,'custody %'!$T$64),"")</f>
        <v/>
      </c>
      <c r="AD68" s="175" t="str">
        <f>IFERROR(SUMIFS('caseload data'!N:N,'caseload data'!$C:$C,'custody %'!$T$64,'caseload data'!$D:$D,"TPO",'caseload data'!$B:$B,"custody")/SUMIFS('caseload data'!N:N,'caseload data'!$B:$B,"custody",'caseload data'!$C:$C,'custody %'!$T$64),"")</f>
        <v/>
      </c>
      <c r="AE68" s="175" t="str">
        <f>IFERROR(SUMIFS('caseload data'!O:O,'caseload data'!$C:$C,'custody %'!$T$64,'caseload data'!$D:$D,"TPO",'caseload data'!$B:$B,"custody")/SUMIFS('caseload data'!O:O,'caseload data'!$B:$B,"custody",'caseload data'!$C:$C,'custody %'!$T$64),"")</f>
        <v/>
      </c>
      <c r="AF68" s="175" t="str">
        <f>IFERROR(SUMIFS('caseload data'!P:P,'caseload data'!$C:$C,'custody %'!$T$64,'caseload data'!$D:$D,"TPO",'caseload data'!$B:$B,"custody")/SUMIFS('caseload data'!P:P,'caseload data'!$B:$B,"custody",'caseload data'!$C:$C,'custody %'!$T$64),"")</f>
        <v/>
      </c>
      <c r="AG68" s="175" t="str">
        <f>IFERROR(SUMIFS('caseload data'!Q:Q,'caseload data'!$C:$C,'custody %'!$T$64,'caseload data'!$D:$D,"TPO",'caseload data'!$B:$B,"custody")/SUMIFS('caseload data'!Q:Q,'caseload data'!$B:$B,"custody",'caseload data'!$C:$C,'custody %'!$T$64),"")</f>
        <v/>
      </c>
      <c r="AH68" s="175" t="str">
        <f>IFERROR(SUMIFS('caseload data'!R:R,'caseload data'!$C:$C,'custody %'!$T$64,'caseload data'!$D:$D,"TPO",'caseload data'!$B:$B,"custody")/SUMIFS('caseload data'!R:R,'caseload data'!$B:$B,"custody",'caseload data'!$C:$C,'custody %'!$T$64),"")</f>
        <v/>
      </c>
      <c r="AI68" s="175"/>
      <c r="AJ68" s="175"/>
    </row>
    <row r="69" spans="2:36" x14ac:dyDescent="0.15">
      <c r="B69" s="102" t="s">
        <v>1174</v>
      </c>
      <c r="C69" s="175" t="str">
        <f>IFERROR(SUMIFS('caseload data'!E:E,'caseload data'!$C:$C,'custody %'!$B$64,'caseload data'!$D:$D,"SPO",'caseload data'!$B:$B,"custody")/SUMIFS('caseload data'!E:E,'caseload data'!$B:$B,"custody",'caseload data'!$C:$C,'custody %'!$B$64),"")</f>
        <v/>
      </c>
      <c r="D69" s="175" t="str">
        <f>IFERROR(SUMIFS('caseload data'!F:F,'caseload data'!$C:$C,'custody %'!$B$64,'caseload data'!$D:$D,"SPO",'caseload data'!$B:$B,"custody")/SUMIFS('caseload data'!F:F,'caseload data'!$B:$B,"custody",'caseload data'!$C:$C,'custody %'!$B$64),"")</f>
        <v/>
      </c>
      <c r="E69" s="175" t="str">
        <f>IFERROR(SUMIFS('caseload data'!G:G,'caseload data'!$C:$C,'custody %'!$B$64,'caseload data'!$D:$D,"SPO",'caseload data'!$B:$B,"custody")/SUMIFS('caseload data'!G:G,'caseload data'!$B:$B,"custody",'caseload data'!$C:$C,'custody %'!$B$64),"")</f>
        <v/>
      </c>
      <c r="F69" s="175" t="str">
        <f>IFERROR(SUMIFS('caseload data'!H:H,'caseload data'!$C:$C,'custody %'!$B$64,'caseload data'!$D:$D,"SPO",'caseload data'!$B:$B,"custody")/SUMIFS('caseload data'!H:H,'caseload data'!$B:$B,"custody",'caseload data'!$C:$C,'custody %'!$B$64),"")</f>
        <v/>
      </c>
      <c r="G69" s="175" t="str">
        <f>IFERROR(SUMIFS('caseload data'!I:I,'caseload data'!$C:$C,'custody %'!$B$64,'caseload data'!$D:$D,"SPO",'caseload data'!$B:$B,"custody")/SUMIFS('caseload data'!I:I,'caseload data'!$B:$B,"custody",'caseload data'!$C:$C,'custody %'!$B$64),"")</f>
        <v/>
      </c>
      <c r="H69" s="175" t="str">
        <f>IFERROR(SUMIFS('caseload data'!J:J,'caseload data'!$C:$C,'custody %'!$B$64,'caseload data'!$D:$D,"SPO",'caseload data'!$B:$B,"custody")/SUMIFS('caseload data'!J:J,'caseload data'!$B:$B,"custody",'caseload data'!$C:$C,'custody %'!$B$64),"")</f>
        <v/>
      </c>
      <c r="I69" s="175" t="str">
        <f>IFERROR(SUMIFS('caseload data'!K:K,'caseload data'!$C:$C,'custody %'!$B$64,'caseload data'!$D:$D,"SPO",'caseload data'!$B:$B,"custody")/SUMIFS('caseload data'!K:K,'caseload data'!$B:$B,"custody",'caseload data'!$C:$C,'custody %'!$B$64),"")</f>
        <v/>
      </c>
      <c r="J69" s="175" t="str">
        <f>IFERROR(SUMIFS('caseload data'!L:L,'caseload data'!$C:$C,'custody %'!$B$64,'caseload data'!$D:$D,"SPO",'caseload data'!$B:$B,"custody")/SUMIFS('caseload data'!L:L,'caseload data'!$B:$B,"custody",'caseload data'!$C:$C,'custody %'!$B$64),"")</f>
        <v/>
      </c>
      <c r="K69" s="175" t="str">
        <f>IFERROR(SUMIFS('caseload data'!M:M,'caseload data'!$C:$C,'custody %'!$B$64,'caseload data'!$D:$D,"SPO",'caseload data'!$B:$B,"custody")/SUMIFS('caseload data'!M:M,'caseload data'!$B:$B,"custody",'caseload data'!$C:$C,'custody %'!$B$64),"")</f>
        <v/>
      </c>
      <c r="L69" s="175" t="str">
        <f>IFERROR(SUMIFS('caseload data'!N:N,'caseload data'!$C:$C,'custody %'!$B$64,'caseload data'!$D:$D,"SPO",'caseload data'!$B:$B,"custody")/SUMIFS('caseload data'!N:N,'caseload data'!$B:$B,"custody",'caseload data'!$C:$C,'custody %'!$B$64),"")</f>
        <v/>
      </c>
      <c r="M69" s="175" t="str">
        <f>IFERROR(SUMIFS('caseload data'!O:O,'caseload data'!$C:$C,'custody %'!$B$64,'caseload data'!$D:$D,"SPO",'caseload data'!$B:$B,"custody")/SUMIFS('caseload data'!O:O,'caseload data'!$B:$B,"custody",'caseload data'!$C:$C,'custody %'!$B$64),"")</f>
        <v/>
      </c>
      <c r="N69" s="175" t="str">
        <f>IFERROR(SUMIFS('caseload data'!P:P,'caseload data'!$C:$C,'custody %'!$B$64,'caseload data'!$D:$D,"SPO",'caseload data'!$B:$B,"custody")/SUMIFS('caseload data'!P:P,'caseload data'!$B:$B,"custody",'caseload data'!$C:$C,'custody %'!$B$64),"")</f>
        <v/>
      </c>
      <c r="O69" s="175" t="str">
        <f>IFERROR(SUMIFS('caseload data'!Q:Q,'caseload data'!$C:$C,'custody %'!$B$64,'caseload data'!$D:$D,"SPO",'caseload data'!$B:$B,"custody")/SUMIFS('caseload data'!Q:Q,'caseload data'!$B:$B,"custody",'caseload data'!$C:$C,'custody %'!$B$64),"")</f>
        <v/>
      </c>
      <c r="P69" s="175" t="str">
        <f>IFERROR(SUMIFS('caseload data'!R:R,'caseload data'!$C:$C,'custody %'!$B$64,'caseload data'!$D:$D,"SPO",'caseload data'!$B:$B,"custody")/SUMIFS('caseload data'!R:R,'caseload data'!$B:$B,"custody",'caseload data'!$C:$C,'custody %'!$B$64),"")</f>
        <v/>
      </c>
      <c r="Q69" s="175" t="str">
        <f>IFERROR(SUMIFS('caseload data'!S:S,'caseload data'!$C:$C,'custody %'!$B$64,'caseload data'!$D:$D,"SPO",'caseload data'!$B:$B,"custody")/SUMIFS('caseload data'!S:S,'caseload data'!$B:$B,"custody",'caseload data'!$C:$C,'custody %'!$B$64),"")</f>
        <v/>
      </c>
      <c r="R69" s="175" t="str">
        <f>IFERROR(SUMIFS('caseload data'!T:T,'caseload data'!$C:$C,'custody %'!$B$64,'caseload data'!$D:$D,"SPO",'caseload data'!$B:$B,"custody")/SUMIFS('caseload data'!T:T,'caseload data'!$B:$B,"custody",'caseload data'!$C:$C,'custody %'!$B$64),"")</f>
        <v/>
      </c>
      <c r="S69" s="68"/>
      <c r="T69" s="102" t="s">
        <v>1174</v>
      </c>
      <c r="U69" s="175" t="str">
        <f>IFERROR(SUMIFS('caseload data'!E:E,'caseload data'!$C:$C,'custody %'!$T$64,'caseload data'!$D:$D,"SPO",'caseload data'!$B:$B,"custody")/SUMIFS('caseload data'!E:E,'caseload data'!$B:$B,"custody",'caseload data'!$C:$C,'custody %'!$T$64),"")</f>
        <v/>
      </c>
      <c r="V69" s="175" t="str">
        <f>IFERROR(SUMIFS('caseload data'!F:F,'caseload data'!$C:$C,'custody %'!$T$64,'caseload data'!$D:$D,"SPO",'caseload data'!$B:$B,"custody")/SUMIFS('caseload data'!F:F,'caseload data'!$B:$B,"custody",'caseload data'!$C:$C,'custody %'!$T$64),"")</f>
        <v/>
      </c>
      <c r="W69" s="175" t="str">
        <f>IFERROR(SUMIFS('caseload data'!G:G,'caseload data'!$C:$C,'custody %'!$T$64,'caseload data'!$D:$D,"SPO",'caseload data'!$B:$B,"custody")/SUMIFS('caseload data'!G:G,'caseload data'!$B:$B,"custody",'caseload data'!$C:$C,'custody %'!$T$64),"")</f>
        <v/>
      </c>
      <c r="X69" s="175" t="str">
        <f>IFERROR(SUMIFS('caseload data'!H:H,'caseload data'!$C:$C,'custody %'!$T$64,'caseload data'!$D:$D,"SPO",'caseload data'!$B:$B,"custody")/SUMIFS('caseload data'!H:H,'caseload data'!$B:$B,"custody",'caseload data'!$C:$C,'custody %'!$T$64),"")</f>
        <v/>
      </c>
      <c r="Y69" s="175" t="str">
        <f>IFERROR(SUMIFS('caseload data'!I:I,'caseload data'!$C:$C,'custody %'!$T$64,'caseload data'!$D:$D,"SPO",'caseload data'!$B:$B,"custody")/SUMIFS('caseload data'!I:I,'caseload data'!$B:$B,"custody",'caseload data'!$C:$C,'custody %'!$T$64),"")</f>
        <v/>
      </c>
      <c r="Z69" s="175" t="str">
        <f>IFERROR(SUMIFS('caseload data'!J:J,'caseload data'!$C:$C,'custody %'!$T$64,'caseload data'!$D:$D,"SPO",'caseload data'!$B:$B,"custody")/SUMIFS('caseload data'!J:J,'caseload data'!$B:$B,"custody",'caseload data'!$C:$C,'custody %'!$T$64),"")</f>
        <v/>
      </c>
      <c r="AA69" s="175" t="str">
        <f>IFERROR(SUMIFS('caseload data'!K:K,'caseload data'!$C:$C,'custody %'!$T$64,'caseload data'!$D:$D,"SPO",'caseload data'!$B:$B,"custody")/SUMIFS('caseload data'!K:K,'caseload data'!$B:$B,"custody",'caseload data'!$C:$C,'custody %'!$T$64),"")</f>
        <v/>
      </c>
      <c r="AB69" s="175" t="str">
        <f>IFERROR(SUMIFS('caseload data'!L:L,'caseload data'!$C:$C,'custody %'!$T$64,'caseload data'!$D:$D,"SPO",'caseload data'!$B:$B,"custody")/SUMIFS('caseload data'!L:L,'caseload data'!$B:$B,"custody",'caseload data'!$C:$C,'custody %'!$T$64),"")</f>
        <v/>
      </c>
      <c r="AC69" s="175" t="str">
        <f>IFERROR(SUMIFS('caseload data'!M:M,'caseload data'!$C:$C,'custody %'!$T$64,'caseload data'!$D:$D,"SPO",'caseload data'!$B:$B,"custody")/SUMIFS('caseload data'!M:M,'caseload data'!$B:$B,"custody",'caseload data'!$C:$C,'custody %'!$T$64),"")</f>
        <v/>
      </c>
      <c r="AD69" s="175" t="str">
        <f>IFERROR(SUMIFS('caseload data'!N:N,'caseload data'!$C:$C,'custody %'!$T$64,'caseload data'!$D:$D,"SPO",'caseload data'!$B:$B,"custody")/SUMIFS('caseload data'!N:N,'caseload data'!$B:$B,"custody",'caseload data'!$C:$C,'custody %'!$T$64),"")</f>
        <v/>
      </c>
      <c r="AE69" s="175" t="str">
        <f>IFERROR(SUMIFS('caseload data'!O:O,'caseload data'!$C:$C,'custody %'!$T$64,'caseload data'!$D:$D,"SPO",'caseload data'!$B:$B,"custody")/SUMIFS('caseload data'!O:O,'caseload data'!$B:$B,"custody",'caseload data'!$C:$C,'custody %'!$T$64),"")</f>
        <v/>
      </c>
      <c r="AF69" s="175" t="str">
        <f>IFERROR(SUMIFS('caseload data'!P:P,'caseload data'!$C:$C,'custody %'!$T$64,'caseload data'!$D:$D,"SPO",'caseload data'!$B:$B,"custody")/SUMIFS('caseload data'!P:P,'caseload data'!$B:$B,"custody",'caseload data'!$C:$C,'custody %'!$T$64),"")</f>
        <v/>
      </c>
      <c r="AG69" s="175" t="str">
        <f>IFERROR(SUMIFS('caseload data'!Q:Q,'caseload data'!$C:$C,'custody %'!$T$64,'caseload data'!$D:$D,"SPO",'caseload data'!$B:$B,"custody")/SUMIFS('caseload data'!Q:Q,'caseload data'!$B:$B,"custody",'caseload data'!$C:$C,'custody %'!$T$64),"")</f>
        <v/>
      </c>
      <c r="AH69" s="175" t="str">
        <f>IFERROR(SUMIFS('caseload data'!R:R,'caseload data'!$C:$C,'custody %'!$T$64,'caseload data'!$D:$D,"SPO",'caseload data'!$B:$B,"custody")/SUMIFS('caseload data'!R:R,'caseload data'!$B:$B,"custody",'caseload data'!$C:$C,'custody %'!$T$64),"")</f>
        <v/>
      </c>
      <c r="AI69" s="175"/>
      <c r="AJ69" s="175"/>
    </row>
    <row r="71" spans="2:36" ht="24.75" customHeight="1" x14ac:dyDescent="0.15">
      <c r="B71" s="302" t="str">
        <f>HLOOKUP($B$5,Region_Table,20,0)</f>
        <v>Redbridge and Waltham Forest</v>
      </c>
      <c r="C71" s="467" t="s">
        <v>1305</v>
      </c>
      <c r="D71" s="468"/>
      <c r="E71" s="468"/>
      <c r="F71" s="468"/>
      <c r="G71" s="468"/>
      <c r="H71" s="468"/>
      <c r="I71" s="468"/>
      <c r="J71" s="468"/>
      <c r="K71" s="468"/>
      <c r="L71" s="468"/>
      <c r="M71" s="487"/>
      <c r="N71" s="487"/>
      <c r="O71" s="488"/>
      <c r="P71" s="462">
        <f>SUMIF('caseload data'!$C:$C,'custody %'!B71,'caseload data'!V:V)</f>
        <v>0</v>
      </c>
      <c r="Q71" s="479"/>
      <c r="R71" s="480"/>
      <c r="T71" s="302" t="str">
        <f>HLOOKUP($B$5,Region_Table,21,0)</f>
        <v>Southwark - N07</v>
      </c>
      <c r="U71" s="467" t="s">
        <v>1305</v>
      </c>
      <c r="V71" s="468"/>
      <c r="W71" s="468"/>
      <c r="X71" s="468"/>
      <c r="Y71" s="468"/>
      <c r="Z71" s="468"/>
      <c r="AA71" s="468"/>
      <c r="AB71" s="468"/>
      <c r="AC71" s="487"/>
      <c r="AD71" s="487"/>
      <c r="AE71" s="488"/>
      <c r="AF71" s="462">
        <f>SUMIF('caseload data'!$C:$C,'custody %'!T71,'caseload data'!V:V)</f>
        <v>0</v>
      </c>
      <c r="AG71" s="479"/>
      <c r="AH71" s="480"/>
    </row>
    <row r="72" spans="2:36" x14ac:dyDescent="0.15">
      <c r="B72" s="99" t="s">
        <v>1170</v>
      </c>
      <c r="C72" s="40" t="s">
        <v>1022</v>
      </c>
      <c r="D72" s="40" t="s">
        <v>1023</v>
      </c>
      <c r="E72" s="40" t="s">
        <v>1024</v>
      </c>
      <c r="F72" s="40" t="s">
        <v>1025</v>
      </c>
      <c r="G72" s="40" t="s">
        <v>1026</v>
      </c>
      <c r="H72" s="40" t="s">
        <v>1027</v>
      </c>
      <c r="I72" s="40" t="s">
        <v>1028</v>
      </c>
      <c r="J72" s="40" t="s">
        <v>1029</v>
      </c>
      <c r="K72" s="40" t="s">
        <v>1030</v>
      </c>
      <c r="L72" s="40" t="s">
        <v>1031</v>
      </c>
      <c r="M72" s="40" t="s">
        <v>1032</v>
      </c>
      <c r="N72" s="40" t="s">
        <v>1033</v>
      </c>
      <c r="O72" s="40" t="s">
        <v>1034</v>
      </c>
      <c r="P72" s="40" t="s">
        <v>1035</v>
      </c>
      <c r="Q72" s="40" t="s">
        <v>1036</v>
      </c>
      <c r="R72" s="40" t="s">
        <v>1037</v>
      </c>
      <c r="T72" s="99" t="s">
        <v>1170</v>
      </c>
      <c r="U72" s="40" t="s">
        <v>1022</v>
      </c>
      <c r="V72" s="40" t="s">
        <v>1023</v>
      </c>
      <c r="W72" s="40" t="s">
        <v>1024</v>
      </c>
      <c r="X72" s="40" t="s">
        <v>1025</v>
      </c>
      <c r="Y72" s="40" t="s">
        <v>1026</v>
      </c>
      <c r="Z72" s="40" t="s">
        <v>1027</v>
      </c>
      <c r="AA72" s="40" t="s">
        <v>1028</v>
      </c>
      <c r="AB72" s="40" t="s">
        <v>1029</v>
      </c>
      <c r="AC72" s="40" t="s">
        <v>1030</v>
      </c>
      <c r="AD72" s="40" t="s">
        <v>1031</v>
      </c>
      <c r="AE72" s="40" t="s">
        <v>1032</v>
      </c>
      <c r="AF72" s="40" t="s">
        <v>1033</v>
      </c>
      <c r="AG72" s="40" t="s">
        <v>1034</v>
      </c>
      <c r="AH72" s="40" t="s">
        <v>1035</v>
      </c>
      <c r="AI72" s="40" t="s">
        <v>1036</v>
      </c>
      <c r="AJ72" s="40" t="s">
        <v>1037</v>
      </c>
    </row>
    <row r="73" spans="2:36" x14ac:dyDescent="0.15">
      <c r="B73" s="100" t="s">
        <v>1166</v>
      </c>
      <c r="C73" s="175" t="str">
        <f>IFERROR(SUMIFS('caseload data'!E:E,'caseload data'!$C:$C,'custody %'!$B$71,'caseload data'!$D:$D,"PO",'caseload data'!$B:$B,"custody")/SUMIFS('caseload data'!E:E,'caseload data'!$B:$B,"custody",'caseload data'!$C:$C,'custody %'!$B$71),"")</f>
        <v/>
      </c>
      <c r="D73" s="175" t="str">
        <f>IFERROR(SUMIFS('caseload data'!F:F,'caseload data'!$C:$C,'custody %'!$B$71,'caseload data'!$D:$D,"PO",'caseload data'!$B:$B,"custody")/SUMIFS('caseload data'!F:F,'caseload data'!$B:$B,"custody",'caseload data'!$C:$C,'custody %'!$B$71),"")</f>
        <v/>
      </c>
      <c r="E73" s="175" t="str">
        <f>IFERROR(SUMIFS('caseload data'!G:G,'caseload data'!$C:$C,'custody %'!$B$71,'caseload data'!$D:$D,"PO",'caseload data'!$B:$B,"custody")/SUMIFS('caseload data'!G:G,'caseload data'!$B:$B,"custody",'caseload data'!$C:$C,'custody %'!$B$71),"")</f>
        <v/>
      </c>
      <c r="F73" s="175" t="str">
        <f>IFERROR(SUMIFS('caseload data'!H:H,'caseload data'!$C:$C,'custody %'!$B$71,'caseload data'!$D:$D,"PO",'caseload data'!$B:$B,"custody")/SUMIFS('caseload data'!H:H,'caseload data'!$B:$B,"custody",'caseload data'!$C:$C,'custody %'!$B$71),"")</f>
        <v/>
      </c>
      <c r="G73" s="175" t="str">
        <f>IFERROR(SUMIFS('caseload data'!I:I,'caseload data'!$C:$C,'custody %'!$B$71,'caseload data'!$D:$D,"PO",'caseload data'!$B:$B,"custody")/SUMIFS('caseload data'!I:I,'caseload data'!$B:$B,"custody",'caseload data'!$C:$C,'custody %'!$B$71),"")</f>
        <v/>
      </c>
      <c r="H73" s="175" t="str">
        <f>IFERROR(SUMIFS('caseload data'!J:J,'caseload data'!$C:$C,'custody %'!$B$71,'caseload data'!$D:$D,"PO",'caseload data'!$B:$B,"custody")/SUMIFS('caseload data'!J:J,'caseload data'!$B:$B,"custody",'caseload data'!$C:$C,'custody %'!$B$71),"")</f>
        <v/>
      </c>
      <c r="I73" s="175" t="str">
        <f>IFERROR(SUMIFS('caseload data'!K:K,'caseload data'!$C:$C,'custody %'!$B$71,'caseload data'!$D:$D,"PO",'caseload data'!$B:$B,"custody")/SUMIFS('caseload data'!K:K,'caseload data'!$B:$B,"custody",'caseload data'!$C:$C,'custody %'!$B$71),"")</f>
        <v/>
      </c>
      <c r="J73" s="175" t="str">
        <f>IFERROR(SUMIFS('caseload data'!L:L,'caseload data'!$C:$C,'custody %'!$B$71,'caseload data'!$D:$D,"PO",'caseload data'!$B:$B,"custody")/SUMIFS('caseload data'!L:L,'caseload data'!$B:$B,"custody",'caseload data'!$C:$C,'custody %'!$B$71),"")</f>
        <v/>
      </c>
      <c r="K73" s="175" t="str">
        <f>IFERROR(SUMIFS('caseload data'!M:M,'caseload data'!$C:$C,'custody %'!$B$71,'caseload data'!$D:$D,"PO",'caseload data'!$B:$B,"custody")/SUMIFS('caseload data'!M:M,'caseload data'!$B:$B,"custody",'caseload data'!$C:$C,'custody %'!$B$71),"")</f>
        <v/>
      </c>
      <c r="L73" s="175" t="str">
        <f>IFERROR(SUMIFS('caseload data'!N:N,'caseload data'!$C:$C,'custody %'!$B$71,'caseload data'!$D:$D,"PO",'caseload data'!$B:$B,"custody")/SUMIFS('caseload data'!N:N,'caseload data'!$B:$B,"custody",'caseload data'!$C:$C,'custody %'!$B$71),"")</f>
        <v/>
      </c>
      <c r="M73" s="175" t="str">
        <f>IFERROR(SUMIFS('caseload data'!O:O,'caseload data'!$C:$C,'custody %'!$B$71,'caseload data'!$D:$D,"PO",'caseload data'!$B:$B,"custody")/SUMIFS('caseload data'!O:O,'caseload data'!$B:$B,"custody",'caseload data'!$C:$C,'custody %'!$B$71),"")</f>
        <v/>
      </c>
      <c r="N73" s="175" t="str">
        <f>IFERROR(SUMIFS('caseload data'!P:P,'caseload data'!$C:$C,'custody %'!$B$71,'caseload data'!$D:$D,"PO",'caseload data'!$B:$B,"custody")/SUMIFS('caseload data'!P:P,'caseload data'!$B:$B,"custody",'caseload data'!$C:$C,'custody %'!$B$71),"")</f>
        <v/>
      </c>
      <c r="O73" s="175" t="str">
        <f>IFERROR(SUMIFS('caseload data'!Q:Q,'caseload data'!$C:$C,'custody %'!$B$71,'caseload data'!$D:$D,"PO",'caseload data'!$B:$B,"custody")/SUMIFS('caseload data'!Q:Q,'caseload data'!$B:$B,"custody",'caseload data'!$C:$C,'custody %'!$B$71),"")</f>
        <v/>
      </c>
      <c r="P73" s="175" t="str">
        <f>IFERROR(SUMIFS('caseload data'!R:R,'caseload data'!$C:$C,'custody %'!$B$71,'caseload data'!$D:$D,"PO",'caseload data'!$B:$B,"custody")/SUMIFS('caseload data'!R:R,'caseload data'!$B:$B,"custody",'caseload data'!$C:$C,'custody %'!$B$71),"")</f>
        <v/>
      </c>
      <c r="Q73" s="175" t="str">
        <f>IFERROR(SUMIFS('caseload data'!S:S,'caseload data'!$C:$C,'custody %'!$B$71,'caseload data'!$D:$D,"PO",'caseload data'!$B:$B,"custody")/SUMIFS('caseload data'!S:S,'caseload data'!$B:$B,"custody",'caseload data'!$C:$C,'custody %'!$B$71),"")</f>
        <v/>
      </c>
      <c r="R73" s="175" t="str">
        <f>IFERROR(SUMIFS('caseload data'!T:T,'caseload data'!$C:$C,'custody %'!$B$71,'caseload data'!$D:$D,"PO",'caseload data'!$B:$B,"custody")/SUMIFS('caseload data'!T:T,'caseload data'!$B:$B,"custody",'caseload data'!$C:$C,'custody %'!$B$71),"")</f>
        <v/>
      </c>
      <c r="T73" s="100" t="s">
        <v>1166</v>
      </c>
      <c r="U73" s="175" t="str">
        <f>IFERROR(SUMIFS('caseload data'!E:E,'caseload data'!$C:$C,'custody %'!$T$71,'caseload data'!$D:$D,"PO",'caseload data'!$B:$B,"custody")/SUMIFS('caseload data'!E:E,'caseload data'!$B:$B,"custody",'caseload data'!$C:$C,'custody %'!$T$71),"")</f>
        <v/>
      </c>
      <c r="V73" s="175" t="str">
        <f>IFERROR(SUMIFS('caseload data'!F:F,'caseload data'!$C:$C,'custody %'!$T$71,'caseload data'!$D:$D,"PO",'caseload data'!$B:$B,"custody")/SUMIFS('caseload data'!F:F,'caseload data'!$B:$B,"custody",'caseload data'!$C:$C,'custody %'!$T$71),"")</f>
        <v/>
      </c>
      <c r="W73" s="175" t="str">
        <f>IFERROR(SUMIFS('caseload data'!G:G,'caseload data'!$C:$C,'custody %'!$T$71,'caseload data'!$D:$D,"PO",'caseload data'!$B:$B,"custody")/SUMIFS('caseload data'!G:G,'caseload data'!$B:$B,"custody",'caseload data'!$C:$C,'custody %'!$T$71),"")</f>
        <v/>
      </c>
      <c r="X73" s="175" t="str">
        <f>IFERROR(SUMIFS('caseload data'!H:H,'caseload data'!$C:$C,'custody %'!$T$71,'caseload data'!$D:$D,"PO",'caseload data'!$B:$B,"custody")/SUMIFS('caseload data'!H:H,'caseload data'!$B:$B,"custody",'caseload data'!$C:$C,'custody %'!$T$71),"")</f>
        <v/>
      </c>
      <c r="Y73" s="175" t="str">
        <f>IFERROR(SUMIFS('caseload data'!I:I,'caseload data'!$C:$C,'custody %'!$T$71,'caseload data'!$D:$D,"PO",'caseload data'!$B:$B,"custody")/SUMIFS('caseload data'!I:I,'caseload data'!$B:$B,"custody",'caseload data'!$C:$C,'custody %'!$T$71),"")</f>
        <v/>
      </c>
      <c r="Z73" s="175" t="str">
        <f>IFERROR(SUMIFS('caseload data'!J:J,'caseload data'!$C:$C,'custody %'!$T$71,'caseload data'!$D:$D,"PO",'caseload data'!$B:$B,"custody")/SUMIFS('caseload data'!J:J,'caseload data'!$B:$B,"custody",'caseload data'!$C:$C,'custody %'!$T$71),"")</f>
        <v/>
      </c>
      <c r="AA73" s="175" t="str">
        <f>IFERROR(SUMIFS('caseload data'!K:K,'caseload data'!$C:$C,'custody %'!$T$71,'caseload data'!$D:$D,"PO",'caseload data'!$B:$B,"custody")/SUMIFS('caseload data'!K:K,'caseload data'!$B:$B,"custody",'caseload data'!$C:$C,'custody %'!$T$71),"")</f>
        <v/>
      </c>
      <c r="AB73" s="175" t="str">
        <f>IFERROR(SUMIFS('caseload data'!L:L,'caseload data'!$C:$C,'custody %'!$T$71,'caseload data'!$D:$D,"PO",'caseload data'!$B:$B,"custody")/SUMIFS('caseload data'!L:L,'caseload data'!$B:$B,"custody",'caseload data'!$C:$C,'custody %'!$T$71),"")</f>
        <v/>
      </c>
      <c r="AC73" s="175" t="str">
        <f>IFERROR(SUMIFS('caseload data'!M:M,'caseload data'!$C:$C,'custody %'!$T$71,'caseload data'!$D:$D,"PO",'caseload data'!$B:$B,"custody")/SUMIFS('caseload data'!M:M,'caseload data'!$B:$B,"custody",'caseload data'!$C:$C,'custody %'!$T$71),"")</f>
        <v/>
      </c>
      <c r="AD73" s="175" t="str">
        <f>IFERROR(SUMIFS('caseload data'!N:N,'caseload data'!$C:$C,'custody %'!$T$71,'caseload data'!$D:$D,"PO",'caseload data'!$B:$B,"custody")/SUMIFS('caseload data'!N:N,'caseload data'!$B:$B,"custody",'caseload data'!$C:$C,'custody %'!$T$71),"")</f>
        <v/>
      </c>
      <c r="AE73" s="175" t="str">
        <f>IFERROR(SUMIFS('caseload data'!O:O,'caseload data'!$C:$C,'custody %'!$T$71,'caseload data'!$D:$D,"PO",'caseload data'!$B:$B,"custody")/SUMIFS('caseload data'!O:O,'caseload data'!$B:$B,"custody",'caseload data'!$C:$C,'custody %'!$T$71),"")</f>
        <v/>
      </c>
      <c r="AF73" s="175" t="str">
        <f>IFERROR(SUMIFS('caseload data'!P:P,'caseload data'!$C:$C,'custody %'!$T$71,'caseload data'!$D:$D,"PO",'caseload data'!$B:$B,"custody")/SUMIFS('caseload data'!P:P,'caseload data'!$B:$B,"custody",'caseload data'!$C:$C,'custody %'!$T$71),"")</f>
        <v/>
      </c>
      <c r="AG73" s="175" t="str">
        <f>IFERROR(SUMIFS('caseload data'!Q:Q,'caseload data'!$C:$C,'custody %'!$T$71,'caseload data'!$D:$D,"PO",'caseload data'!$B:$B,"custody")/SUMIFS('caseload data'!Q:Q,'caseload data'!$B:$B,"custody",'caseload data'!$C:$C,'custody %'!$T$71),"")</f>
        <v/>
      </c>
      <c r="AH73" s="175" t="str">
        <f>IFERROR(SUMIFS('caseload data'!R:R,'caseload data'!$C:$C,'custody %'!$T$71,'caseload data'!$D:$D,"PO",'caseload data'!$B:$B,"custody")/SUMIFS('caseload data'!R:R,'caseload data'!$B:$B,"custody",'caseload data'!$C:$C,'custody %'!$T$71),"")</f>
        <v/>
      </c>
      <c r="AI73" s="175"/>
      <c r="AJ73" s="175"/>
    </row>
    <row r="74" spans="2:36" x14ac:dyDescent="0.15">
      <c r="B74" s="101" t="s">
        <v>1172</v>
      </c>
      <c r="C74" s="175" t="str">
        <f>IFERROR(SUMIFS('caseload data'!E:E,'caseload data'!$C:$C,'custody %'!$B$71,'caseload data'!$D:$D,"PSO",'caseload data'!$B:$B,"custody")/SUMIFS('caseload data'!E:E,'caseload data'!$B:$B,"custody",'caseload data'!$C:$C,'custody %'!$B$71),"")</f>
        <v/>
      </c>
      <c r="D74" s="175" t="str">
        <f>IFERROR(SUMIFS('caseload data'!F:F,'caseload data'!$C:$C,'custody %'!$B$71,'caseload data'!$D:$D,"PSO",'caseload data'!$B:$B,"custody")/SUMIFS('caseload data'!F:F,'caseload data'!$B:$B,"custody",'caseload data'!$C:$C,'custody %'!$B$71),"")</f>
        <v/>
      </c>
      <c r="E74" s="175" t="str">
        <f>IFERROR(SUMIFS('caseload data'!G:G,'caseload data'!$C:$C,'custody %'!$B$71,'caseload data'!$D:$D,"PSO",'caseload data'!$B:$B,"custody")/SUMIFS('caseload data'!G:G,'caseload data'!$B:$B,"custody",'caseload data'!$C:$C,'custody %'!$B$71),"")</f>
        <v/>
      </c>
      <c r="F74" s="175" t="str">
        <f>IFERROR(SUMIFS('caseload data'!H:H,'caseload data'!$C:$C,'custody %'!$B$71,'caseload data'!$D:$D,"PSO",'caseload data'!$B:$B,"custody")/SUMIFS('caseload data'!H:H,'caseload data'!$B:$B,"custody",'caseload data'!$C:$C,'custody %'!$B$71),"")</f>
        <v/>
      </c>
      <c r="G74" s="175" t="str">
        <f>IFERROR(SUMIFS('caseload data'!I:I,'caseload data'!$C:$C,'custody %'!$B$71,'caseload data'!$D:$D,"PSO",'caseload data'!$B:$B,"custody")/SUMIFS('caseload data'!I:I,'caseload data'!$B:$B,"custody",'caseload data'!$C:$C,'custody %'!$B$71),"")</f>
        <v/>
      </c>
      <c r="H74" s="175" t="str">
        <f>IFERROR(SUMIFS('caseload data'!J:J,'caseload data'!$C:$C,'custody %'!$B$71,'caseload data'!$D:$D,"PSO",'caseload data'!$B:$B,"custody")/SUMIFS('caseload data'!J:J,'caseload data'!$B:$B,"custody",'caseload data'!$C:$C,'custody %'!$B$71),"")</f>
        <v/>
      </c>
      <c r="I74" s="175" t="str">
        <f>IFERROR(SUMIFS('caseload data'!K:K,'caseload data'!$C:$C,'custody %'!$B$71,'caseload data'!$D:$D,"PSO",'caseload data'!$B:$B,"custody")/SUMIFS('caseload data'!K:K,'caseload data'!$B:$B,"custody",'caseload data'!$C:$C,'custody %'!$B$71),"")</f>
        <v/>
      </c>
      <c r="J74" s="175" t="str">
        <f>IFERROR(SUMIFS('caseload data'!L:L,'caseload data'!$C:$C,'custody %'!$B$71,'caseload data'!$D:$D,"PSO",'caseload data'!$B:$B,"custody")/SUMIFS('caseload data'!L:L,'caseload data'!$B:$B,"custody",'caseload data'!$C:$C,'custody %'!$B$71),"")</f>
        <v/>
      </c>
      <c r="K74" s="175" t="str">
        <f>IFERROR(SUMIFS('caseload data'!M:M,'caseload data'!$C:$C,'custody %'!$B$71,'caseload data'!$D:$D,"PSO",'caseload data'!$B:$B,"custody")/SUMIFS('caseload data'!M:M,'caseload data'!$B:$B,"custody",'caseload data'!$C:$C,'custody %'!$B$71),"")</f>
        <v/>
      </c>
      <c r="L74" s="175" t="str">
        <f>IFERROR(SUMIFS('caseload data'!N:N,'caseload data'!$C:$C,'custody %'!$B$71,'caseload data'!$D:$D,"PSO",'caseload data'!$B:$B,"custody")/SUMIFS('caseload data'!N:N,'caseload data'!$B:$B,"custody",'caseload data'!$C:$C,'custody %'!$B$71),"")</f>
        <v/>
      </c>
      <c r="M74" s="175" t="str">
        <f>IFERROR(SUMIFS('caseload data'!O:O,'caseload data'!$C:$C,'custody %'!$B$71,'caseload data'!$D:$D,"PSO",'caseload data'!$B:$B,"custody")/SUMIFS('caseload data'!O:O,'caseload data'!$B:$B,"custody",'caseload data'!$C:$C,'custody %'!$B$71),"")</f>
        <v/>
      </c>
      <c r="N74" s="175" t="str">
        <f>IFERROR(SUMIFS('caseload data'!P:P,'caseload data'!$C:$C,'custody %'!$B$71,'caseload data'!$D:$D,"PSO",'caseload data'!$B:$B,"custody")/SUMIFS('caseload data'!P:P,'caseload data'!$B:$B,"custody",'caseload data'!$C:$C,'custody %'!$B$71),"")</f>
        <v/>
      </c>
      <c r="O74" s="175" t="str">
        <f>IFERROR(SUMIFS('caseload data'!Q:Q,'caseload data'!$C:$C,'custody %'!$B$71,'caseload data'!$D:$D,"PSO",'caseload data'!$B:$B,"custody")/SUMIFS('caseload data'!Q:Q,'caseload data'!$B:$B,"custody",'caseload data'!$C:$C,'custody %'!$B$71),"")</f>
        <v/>
      </c>
      <c r="P74" s="175" t="str">
        <f>IFERROR(SUMIFS('caseload data'!R:R,'caseload data'!$C:$C,'custody %'!$B$71,'caseload data'!$D:$D,"PSO",'caseload data'!$B:$B,"custody")/SUMIFS('caseload data'!R:R,'caseload data'!$B:$B,"custody",'caseload data'!$C:$C,'custody %'!$B$71),"")</f>
        <v/>
      </c>
      <c r="Q74" s="175" t="str">
        <f>IFERROR(SUMIFS('caseload data'!S:S,'caseload data'!$C:$C,'custody %'!$B$71,'caseload data'!$D:$D,"PSO",'caseload data'!$B:$B,"custody")/SUMIFS('caseload data'!S:S,'caseload data'!$B:$B,"custody",'caseload data'!$C:$C,'custody %'!$B$71),"")</f>
        <v/>
      </c>
      <c r="R74" s="175" t="str">
        <f>IFERROR(SUMIFS('caseload data'!T:T,'caseload data'!$C:$C,'custody %'!$B$71,'caseload data'!$D:$D,"PSO",'caseload data'!$B:$B,"custody")/SUMIFS('caseload data'!T:T,'caseload data'!$B:$B,"custody",'caseload data'!$C:$C,'custody %'!$B$71),"")</f>
        <v/>
      </c>
      <c r="T74" s="101" t="s">
        <v>1172</v>
      </c>
      <c r="U74" s="175" t="str">
        <f>IFERROR(SUMIFS('caseload data'!E:E,'caseload data'!$C:$C,'custody %'!$T$71,'caseload data'!$D:$D,"PSO",'caseload data'!$B:$B,"custody")/SUMIFS('caseload data'!E:E,'caseload data'!$B:$B,"custody",'caseload data'!$C:$C,'custody %'!$T$71),"")</f>
        <v/>
      </c>
      <c r="V74" s="175" t="str">
        <f>IFERROR(SUMIFS('caseload data'!F:F,'caseload data'!$C:$C,'custody %'!$T$71,'caseload data'!$D:$D,"PSO",'caseload data'!$B:$B,"custody")/SUMIFS('caseload data'!F:F,'caseload data'!$B:$B,"custody",'caseload data'!$C:$C,'custody %'!$T$71),"")</f>
        <v/>
      </c>
      <c r="W74" s="175" t="str">
        <f>IFERROR(SUMIFS('caseload data'!G:G,'caseload data'!$C:$C,'custody %'!$T$71,'caseload data'!$D:$D,"PSO",'caseload data'!$B:$B,"custody")/SUMIFS('caseload data'!G:G,'caseload data'!$B:$B,"custody",'caseload data'!$C:$C,'custody %'!$T$71),"")</f>
        <v/>
      </c>
      <c r="X74" s="175" t="str">
        <f>IFERROR(SUMIFS('caseload data'!H:H,'caseload data'!$C:$C,'custody %'!$T$71,'caseload data'!$D:$D,"PSO",'caseload data'!$B:$B,"custody")/SUMIFS('caseload data'!H:H,'caseload data'!$B:$B,"custody",'caseload data'!$C:$C,'custody %'!$T$71),"")</f>
        <v/>
      </c>
      <c r="Y74" s="175" t="str">
        <f>IFERROR(SUMIFS('caseload data'!I:I,'caseload data'!$C:$C,'custody %'!$T$71,'caseload data'!$D:$D,"PSO",'caseload data'!$B:$B,"custody")/SUMIFS('caseload data'!I:I,'caseload data'!$B:$B,"custody",'caseload data'!$C:$C,'custody %'!$T$71),"")</f>
        <v/>
      </c>
      <c r="Z74" s="175" t="str">
        <f>IFERROR(SUMIFS('caseload data'!J:J,'caseload data'!$C:$C,'custody %'!$T$71,'caseload data'!$D:$D,"PSO",'caseload data'!$B:$B,"custody")/SUMIFS('caseload data'!J:J,'caseload data'!$B:$B,"custody",'caseload data'!$C:$C,'custody %'!$T$71),"")</f>
        <v/>
      </c>
      <c r="AA74" s="175" t="str">
        <f>IFERROR(SUMIFS('caseload data'!K:K,'caseload data'!$C:$C,'custody %'!$T$71,'caseload data'!$D:$D,"PSO",'caseload data'!$B:$B,"custody")/SUMIFS('caseload data'!K:K,'caseload data'!$B:$B,"custody",'caseload data'!$C:$C,'custody %'!$T$71),"")</f>
        <v/>
      </c>
      <c r="AB74" s="175" t="str">
        <f>IFERROR(SUMIFS('caseload data'!L:L,'caseload data'!$C:$C,'custody %'!$T$71,'caseload data'!$D:$D,"PSO",'caseload data'!$B:$B,"custody")/SUMIFS('caseload data'!L:L,'caseload data'!$B:$B,"custody",'caseload data'!$C:$C,'custody %'!$T$71),"")</f>
        <v/>
      </c>
      <c r="AC74" s="175" t="str">
        <f>IFERROR(SUMIFS('caseload data'!M:M,'caseload data'!$C:$C,'custody %'!$T$71,'caseload data'!$D:$D,"PSO",'caseload data'!$B:$B,"custody")/SUMIFS('caseload data'!M:M,'caseload data'!$B:$B,"custody",'caseload data'!$C:$C,'custody %'!$T$71),"")</f>
        <v/>
      </c>
      <c r="AD74" s="175" t="str">
        <f>IFERROR(SUMIFS('caseload data'!N:N,'caseload data'!$C:$C,'custody %'!$T$71,'caseload data'!$D:$D,"PSO",'caseload data'!$B:$B,"custody")/SUMIFS('caseload data'!N:N,'caseload data'!$B:$B,"custody",'caseload data'!$C:$C,'custody %'!$T$71),"")</f>
        <v/>
      </c>
      <c r="AE74" s="175" t="str">
        <f>IFERROR(SUMIFS('caseload data'!O:O,'caseload data'!$C:$C,'custody %'!$T$71,'caseload data'!$D:$D,"PSO",'caseload data'!$B:$B,"custody")/SUMIFS('caseload data'!O:O,'caseload data'!$B:$B,"custody",'caseload data'!$C:$C,'custody %'!$T$71),"")</f>
        <v/>
      </c>
      <c r="AF74" s="175" t="str">
        <f>IFERROR(SUMIFS('caseload data'!P:P,'caseload data'!$C:$C,'custody %'!$T$71,'caseload data'!$D:$D,"PSO",'caseload data'!$B:$B,"custody")/SUMIFS('caseload data'!P:P,'caseload data'!$B:$B,"custody",'caseload data'!$C:$C,'custody %'!$T$71),"")</f>
        <v/>
      </c>
      <c r="AG74" s="175" t="str">
        <f>IFERROR(SUMIFS('caseload data'!Q:Q,'caseload data'!$C:$C,'custody %'!$T$71,'caseload data'!$D:$D,"PSO",'caseload data'!$B:$B,"custody")/SUMIFS('caseload data'!Q:Q,'caseload data'!$B:$B,"custody",'caseload data'!$C:$C,'custody %'!$T$71),"")</f>
        <v/>
      </c>
      <c r="AH74" s="175" t="str">
        <f>IFERROR(SUMIFS('caseload data'!R:R,'caseload data'!$C:$C,'custody %'!$T$71,'caseload data'!$D:$D,"PSO",'caseload data'!$B:$B,"custody")/SUMIFS('caseload data'!R:R,'caseload data'!$B:$B,"custody",'caseload data'!$C:$C,'custody %'!$T$71),"")</f>
        <v/>
      </c>
      <c r="AI74" s="175"/>
      <c r="AJ74" s="175"/>
    </row>
    <row r="75" spans="2:36" x14ac:dyDescent="0.15">
      <c r="B75" s="101" t="s">
        <v>1173</v>
      </c>
      <c r="C75" s="175" t="str">
        <f>IFERROR(SUMIFS('caseload data'!E:E,'caseload data'!$C:$C,'custody %'!$B$71,'caseload data'!$D:$D,"TPO",'caseload data'!$B:$B,"custody")/SUMIFS('caseload data'!E:E,'caseload data'!$B:$B,"custody",'caseload data'!$C:$C,'custody %'!$B$71),"")</f>
        <v/>
      </c>
      <c r="D75" s="175" t="str">
        <f>IFERROR(SUMIFS('caseload data'!F:F,'caseload data'!$C:$C,'custody %'!$B$71,'caseload data'!$D:$D,"TPO",'caseload data'!$B:$B,"custody")/SUMIFS('caseload data'!F:F,'caseload data'!$B:$B,"custody",'caseload data'!$C:$C,'custody %'!$B$71),"")</f>
        <v/>
      </c>
      <c r="E75" s="175" t="str">
        <f>IFERROR(SUMIFS('caseload data'!G:G,'caseload data'!$C:$C,'custody %'!$B$71,'caseload data'!$D:$D,"TPO",'caseload data'!$B:$B,"custody")/SUMIFS('caseload data'!G:G,'caseload data'!$B:$B,"custody",'caseload data'!$C:$C,'custody %'!$B$71),"")</f>
        <v/>
      </c>
      <c r="F75" s="175" t="str">
        <f>IFERROR(SUMIFS('caseload data'!H:H,'caseload data'!$C:$C,'custody %'!$B$71,'caseload data'!$D:$D,"TPO",'caseload data'!$B:$B,"custody")/SUMIFS('caseload data'!H:H,'caseload data'!$B:$B,"custody",'caseload data'!$C:$C,'custody %'!$B$71),"")</f>
        <v/>
      </c>
      <c r="G75" s="175" t="str">
        <f>IFERROR(SUMIFS('caseload data'!I:I,'caseload data'!$C:$C,'custody %'!$B$71,'caseload data'!$D:$D,"TPO",'caseload data'!$B:$B,"custody")/SUMIFS('caseload data'!I:I,'caseload data'!$B:$B,"custody",'caseload data'!$C:$C,'custody %'!$B$71),"")</f>
        <v/>
      </c>
      <c r="H75" s="175" t="str">
        <f>IFERROR(SUMIFS('caseload data'!J:J,'caseload data'!$C:$C,'custody %'!$B$71,'caseload data'!$D:$D,"TPO",'caseload data'!$B:$B,"custody")/SUMIFS('caseload data'!J:J,'caseload data'!$B:$B,"custody",'caseload data'!$C:$C,'custody %'!$B$71),"")</f>
        <v/>
      </c>
      <c r="I75" s="175" t="str">
        <f>IFERROR(SUMIFS('caseload data'!K:K,'caseload data'!$C:$C,'custody %'!$B$71,'caseload data'!$D:$D,"TPO",'caseload data'!$B:$B,"custody")/SUMIFS('caseload data'!K:K,'caseload data'!$B:$B,"custody",'caseload data'!$C:$C,'custody %'!$B$71),"")</f>
        <v/>
      </c>
      <c r="J75" s="175" t="str">
        <f>IFERROR(SUMIFS('caseload data'!L:L,'caseload data'!$C:$C,'custody %'!$B$71,'caseload data'!$D:$D,"TPO",'caseload data'!$B:$B,"custody")/SUMIFS('caseload data'!L:L,'caseload data'!$B:$B,"custody",'caseload data'!$C:$C,'custody %'!$B$71),"")</f>
        <v/>
      </c>
      <c r="K75" s="175" t="str">
        <f>IFERROR(SUMIFS('caseload data'!M:M,'caseload data'!$C:$C,'custody %'!$B$71,'caseload data'!$D:$D,"TPO",'caseload data'!$B:$B,"custody")/SUMIFS('caseload data'!M:M,'caseload data'!$B:$B,"custody",'caseload data'!$C:$C,'custody %'!$B$71),"")</f>
        <v/>
      </c>
      <c r="L75" s="175" t="str">
        <f>IFERROR(SUMIFS('caseload data'!N:N,'caseload data'!$C:$C,'custody %'!$B$71,'caseload data'!$D:$D,"TPO",'caseload data'!$B:$B,"custody")/SUMIFS('caseload data'!N:N,'caseload data'!$B:$B,"custody",'caseload data'!$C:$C,'custody %'!$B$71),"")</f>
        <v/>
      </c>
      <c r="M75" s="175" t="str">
        <f>IFERROR(SUMIFS('caseload data'!O:O,'caseload data'!$C:$C,'custody %'!$B$71,'caseload data'!$D:$D,"TPO",'caseload data'!$B:$B,"custody")/SUMIFS('caseload data'!O:O,'caseload data'!$B:$B,"custody",'caseload data'!$C:$C,'custody %'!$B$71),"")</f>
        <v/>
      </c>
      <c r="N75" s="175" t="str">
        <f>IFERROR(SUMIFS('caseload data'!P:P,'caseload data'!$C:$C,'custody %'!$B$71,'caseload data'!$D:$D,"TPO",'caseload data'!$B:$B,"custody")/SUMIFS('caseload data'!P:P,'caseload data'!$B:$B,"custody",'caseload data'!$C:$C,'custody %'!$B$71),"")</f>
        <v/>
      </c>
      <c r="O75" s="175" t="str">
        <f>IFERROR(SUMIFS('caseload data'!Q:Q,'caseload data'!$C:$C,'custody %'!$B$71,'caseload data'!$D:$D,"TPO",'caseload data'!$B:$B,"custody")/SUMIFS('caseload data'!Q:Q,'caseload data'!$B:$B,"custody",'caseload data'!$C:$C,'custody %'!$B$71),"")</f>
        <v/>
      </c>
      <c r="P75" s="175" t="str">
        <f>IFERROR(SUMIFS('caseload data'!R:R,'caseload data'!$C:$C,'custody %'!$B$71,'caseload data'!$D:$D,"TPO",'caseload data'!$B:$B,"custody")/SUMIFS('caseload data'!R:R,'caseload data'!$B:$B,"custody",'caseload data'!$C:$C,'custody %'!$B$71),"")</f>
        <v/>
      </c>
      <c r="Q75" s="175" t="str">
        <f>IFERROR(SUMIFS('caseload data'!S:S,'caseload data'!$C:$C,'custody %'!$B$71,'caseload data'!$D:$D,"TPO",'caseload data'!$B:$B,"custody")/SUMIFS('caseload data'!S:S,'caseload data'!$B:$B,"custody",'caseload data'!$C:$C,'custody %'!$B$71),"")</f>
        <v/>
      </c>
      <c r="R75" s="175" t="str">
        <f>IFERROR(SUMIFS('caseload data'!T:T,'caseload data'!$C:$C,'custody %'!$B$71,'caseload data'!$D:$D,"TPO",'caseload data'!$B:$B,"custody")/SUMIFS('caseload data'!T:T,'caseload data'!$B:$B,"custody",'caseload data'!$C:$C,'custody %'!$B$71),"")</f>
        <v/>
      </c>
      <c r="T75" s="101" t="s">
        <v>1173</v>
      </c>
      <c r="U75" s="175" t="str">
        <f>IFERROR(SUMIFS('caseload data'!E:E,'caseload data'!$C:$C,'custody %'!$T$71,'caseload data'!$D:$D,"TPO",'caseload data'!$B:$B,"custody")/SUMIFS('caseload data'!E:E,'caseload data'!$B:$B,"custody",'caseload data'!$C:$C,'custody %'!$T$71),"")</f>
        <v/>
      </c>
      <c r="V75" s="175" t="str">
        <f>IFERROR(SUMIFS('caseload data'!F:F,'caseload data'!$C:$C,'custody %'!$T$71,'caseload data'!$D:$D,"TPO",'caseload data'!$B:$B,"custody")/SUMIFS('caseload data'!F:F,'caseload data'!$B:$B,"custody",'caseload data'!$C:$C,'custody %'!$T$71),"")</f>
        <v/>
      </c>
      <c r="W75" s="175" t="str">
        <f>IFERROR(SUMIFS('caseload data'!G:G,'caseload data'!$C:$C,'custody %'!$T$71,'caseload data'!$D:$D,"TPO",'caseload data'!$B:$B,"custody")/SUMIFS('caseload data'!G:G,'caseload data'!$B:$B,"custody",'caseload data'!$C:$C,'custody %'!$T$71),"")</f>
        <v/>
      </c>
      <c r="X75" s="175" t="str">
        <f>IFERROR(SUMIFS('caseload data'!H:H,'caseload data'!$C:$C,'custody %'!$T$71,'caseload data'!$D:$D,"TPO",'caseload data'!$B:$B,"custody")/SUMIFS('caseload data'!H:H,'caseload data'!$B:$B,"custody",'caseload data'!$C:$C,'custody %'!$T$71),"")</f>
        <v/>
      </c>
      <c r="Y75" s="175" t="str">
        <f>IFERROR(SUMIFS('caseload data'!I:I,'caseload data'!$C:$C,'custody %'!$T$71,'caseload data'!$D:$D,"TPO",'caseload data'!$B:$B,"custody")/SUMIFS('caseload data'!I:I,'caseload data'!$B:$B,"custody",'caseload data'!$C:$C,'custody %'!$T$71),"")</f>
        <v/>
      </c>
      <c r="Z75" s="175" t="str">
        <f>IFERROR(SUMIFS('caseload data'!J:J,'caseload data'!$C:$C,'custody %'!$T$71,'caseload data'!$D:$D,"TPO",'caseload data'!$B:$B,"custody")/SUMIFS('caseload data'!J:J,'caseload data'!$B:$B,"custody",'caseload data'!$C:$C,'custody %'!$T$71),"")</f>
        <v/>
      </c>
      <c r="AA75" s="175" t="str">
        <f>IFERROR(SUMIFS('caseload data'!K:K,'caseload data'!$C:$C,'custody %'!$T$71,'caseload data'!$D:$D,"TPO",'caseload data'!$B:$B,"custody")/SUMIFS('caseload data'!K:K,'caseload data'!$B:$B,"custody",'caseload data'!$C:$C,'custody %'!$T$71),"")</f>
        <v/>
      </c>
      <c r="AB75" s="175" t="str">
        <f>IFERROR(SUMIFS('caseload data'!L:L,'caseload data'!$C:$C,'custody %'!$T$71,'caseload data'!$D:$D,"TPO",'caseload data'!$B:$B,"custody")/SUMIFS('caseload data'!L:L,'caseload data'!$B:$B,"custody",'caseload data'!$C:$C,'custody %'!$T$71),"")</f>
        <v/>
      </c>
      <c r="AC75" s="175" t="str">
        <f>IFERROR(SUMIFS('caseload data'!M:M,'caseload data'!$C:$C,'custody %'!$T$71,'caseload data'!$D:$D,"TPO",'caseload data'!$B:$B,"custody")/SUMIFS('caseload data'!M:M,'caseload data'!$B:$B,"custody",'caseload data'!$C:$C,'custody %'!$T$71),"")</f>
        <v/>
      </c>
      <c r="AD75" s="175" t="str">
        <f>IFERROR(SUMIFS('caseload data'!N:N,'caseload data'!$C:$C,'custody %'!$T$71,'caseload data'!$D:$D,"TPO",'caseload data'!$B:$B,"custody")/SUMIFS('caseload data'!N:N,'caseload data'!$B:$B,"custody",'caseload data'!$C:$C,'custody %'!$T$71),"")</f>
        <v/>
      </c>
      <c r="AE75" s="175" t="str">
        <f>IFERROR(SUMIFS('caseload data'!O:O,'caseload data'!$C:$C,'custody %'!$T$71,'caseload data'!$D:$D,"TPO",'caseload data'!$B:$B,"custody")/SUMIFS('caseload data'!O:O,'caseload data'!$B:$B,"custody",'caseload data'!$C:$C,'custody %'!$T$71),"")</f>
        <v/>
      </c>
      <c r="AF75" s="175" t="str">
        <f>IFERROR(SUMIFS('caseload data'!P:P,'caseload data'!$C:$C,'custody %'!$T$71,'caseload data'!$D:$D,"TPO",'caseload data'!$B:$B,"custody")/SUMIFS('caseload data'!P:P,'caseload data'!$B:$B,"custody",'caseload data'!$C:$C,'custody %'!$T$71),"")</f>
        <v/>
      </c>
      <c r="AG75" s="175" t="str">
        <f>IFERROR(SUMIFS('caseload data'!Q:Q,'caseload data'!$C:$C,'custody %'!$T$71,'caseload data'!$D:$D,"TPO",'caseload data'!$B:$B,"custody")/SUMIFS('caseload data'!Q:Q,'caseload data'!$B:$B,"custody",'caseload data'!$C:$C,'custody %'!$T$71),"")</f>
        <v/>
      </c>
      <c r="AH75" s="175" t="str">
        <f>IFERROR(SUMIFS('caseload data'!R:R,'caseload data'!$C:$C,'custody %'!$T$71,'caseload data'!$D:$D,"TPO",'caseload data'!$B:$B,"custody")/SUMIFS('caseload data'!R:R,'caseload data'!$B:$B,"custody",'caseload data'!$C:$C,'custody %'!$T$71),"")</f>
        <v/>
      </c>
      <c r="AI75" s="175"/>
      <c r="AJ75" s="175"/>
    </row>
    <row r="76" spans="2:36" x14ac:dyDescent="0.15">
      <c r="B76" s="102" t="s">
        <v>1174</v>
      </c>
      <c r="C76" s="175" t="str">
        <f>IFERROR(SUMIFS('caseload data'!E:E,'caseload data'!$C:$C,'custody %'!$B$71,'caseload data'!$D:$D,"SPO",'caseload data'!$B:$B,"custody")/SUMIFS('caseload data'!E:E,'caseload data'!$B:$B,"custody",'caseload data'!$C:$C,'custody %'!$B$71),"")</f>
        <v/>
      </c>
      <c r="D76" s="175" t="str">
        <f>IFERROR(SUMIFS('caseload data'!F:F,'caseload data'!$C:$C,'custody %'!$B$71,'caseload data'!$D:$D,"SPO",'caseload data'!$B:$B,"custody")/SUMIFS('caseload data'!F:F,'caseload data'!$B:$B,"custody",'caseload data'!$C:$C,'custody %'!$B$71),"")</f>
        <v/>
      </c>
      <c r="E76" s="175" t="str">
        <f>IFERROR(SUMIFS('caseload data'!G:G,'caseload data'!$C:$C,'custody %'!$B$71,'caseload data'!$D:$D,"SPO",'caseload data'!$B:$B,"custody")/SUMIFS('caseload data'!G:G,'caseload data'!$B:$B,"custody",'caseload data'!$C:$C,'custody %'!$B$71),"")</f>
        <v/>
      </c>
      <c r="F76" s="175" t="str">
        <f>IFERROR(SUMIFS('caseload data'!H:H,'caseload data'!$C:$C,'custody %'!$B$71,'caseload data'!$D:$D,"SPO",'caseload data'!$B:$B,"custody")/SUMIFS('caseload data'!H:H,'caseload data'!$B:$B,"custody",'caseload data'!$C:$C,'custody %'!$B$71),"")</f>
        <v/>
      </c>
      <c r="G76" s="175" t="str">
        <f>IFERROR(SUMIFS('caseload data'!I:I,'caseload data'!$C:$C,'custody %'!$B$71,'caseload data'!$D:$D,"SPO",'caseload data'!$B:$B,"custody")/SUMIFS('caseload data'!I:I,'caseload data'!$B:$B,"custody",'caseload data'!$C:$C,'custody %'!$B$71),"")</f>
        <v/>
      </c>
      <c r="H76" s="175" t="str">
        <f>IFERROR(SUMIFS('caseload data'!J:J,'caseload data'!$C:$C,'custody %'!$B$71,'caseload data'!$D:$D,"SPO",'caseload data'!$B:$B,"custody")/SUMIFS('caseload data'!J:J,'caseload data'!$B:$B,"custody",'caseload data'!$C:$C,'custody %'!$B$71),"")</f>
        <v/>
      </c>
      <c r="I76" s="175" t="str">
        <f>IFERROR(SUMIFS('caseload data'!K:K,'caseload data'!$C:$C,'custody %'!$B$71,'caseload data'!$D:$D,"SPO",'caseload data'!$B:$B,"custody")/SUMIFS('caseload data'!K:K,'caseload data'!$B:$B,"custody",'caseload data'!$C:$C,'custody %'!$B$71),"")</f>
        <v/>
      </c>
      <c r="J76" s="175" t="str">
        <f>IFERROR(SUMIFS('caseload data'!L:L,'caseload data'!$C:$C,'custody %'!$B$71,'caseload data'!$D:$D,"SPO",'caseload data'!$B:$B,"custody")/SUMIFS('caseload data'!L:L,'caseload data'!$B:$B,"custody",'caseload data'!$C:$C,'custody %'!$B$71),"")</f>
        <v/>
      </c>
      <c r="K76" s="175" t="str">
        <f>IFERROR(SUMIFS('caseload data'!M:M,'caseload data'!$C:$C,'custody %'!$B$71,'caseload data'!$D:$D,"SPO",'caseload data'!$B:$B,"custody")/SUMIFS('caseload data'!M:M,'caseload data'!$B:$B,"custody",'caseload data'!$C:$C,'custody %'!$B$71),"")</f>
        <v/>
      </c>
      <c r="L76" s="175" t="str">
        <f>IFERROR(SUMIFS('caseload data'!N:N,'caseload data'!$C:$C,'custody %'!$B$71,'caseload data'!$D:$D,"TPO",'caseload data'!$B:$B,"custody")/SUMIFS('caseload data'!N:N,'caseload data'!$B:$B,"custody",'caseload data'!$C:$C,'custody %'!$B$71),"")</f>
        <v/>
      </c>
      <c r="M76" s="175" t="str">
        <f>IFERROR(SUMIFS('caseload data'!O:O,'caseload data'!$C:$C,'custody %'!$B$71,'caseload data'!$D:$D,"SPO",'caseload data'!$B:$B,"custody")/SUMIFS('caseload data'!O:O,'caseload data'!$B:$B,"custody",'caseload data'!$C:$C,'custody %'!$B$71),"")</f>
        <v/>
      </c>
      <c r="N76" s="175" t="str">
        <f>IFERROR(SUMIFS('caseload data'!P:P,'caseload data'!$C:$C,'custody %'!$B$71,'caseload data'!$D:$D,"SPO",'caseload data'!$B:$B,"custody")/SUMIFS('caseload data'!P:P,'caseload data'!$B:$B,"custody",'caseload data'!$C:$C,'custody %'!$B$71),"")</f>
        <v/>
      </c>
      <c r="O76" s="175" t="str">
        <f>IFERROR(SUMIFS('caseload data'!Q:Q,'caseload data'!$C:$C,'custody %'!$B$71,'caseload data'!$D:$D,"SPO",'caseload data'!$B:$B,"custody")/SUMIFS('caseload data'!Q:Q,'caseload data'!$B:$B,"custody",'caseload data'!$C:$C,'custody %'!$B$71),"")</f>
        <v/>
      </c>
      <c r="P76" s="175" t="str">
        <f>IFERROR(SUMIFS('caseload data'!R:R,'caseload data'!$C:$C,'custody %'!$B$71,'caseload data'!$D:$D,"SPO",'caseload data'!$B:$B,"custody")/SUMIFS('caseload data'!R:R,'caseload data'!$B:$B,"custody",'caseload data'!$C:$C,'custody %'!$B$71),"")</f>
        <v/>
      </c>
      <c r="Q76" s="175" t="str">
        <f>IFERROR(SUMIFS('caseload data'!S:S,'caseload data'!$C:$C,'custody %'!$B$71,'caseload data'!$D:$D,"SPO",'caseload data'!$B:$B,"custody")/SUMIFS('caseload data'!S:S,'caseload data'!$B:$B,"custody",'caseload data'!$C:$C,'custody %'!$B$71),"")</f>
        <v/>
      </c>
      <c r="R76" s="175" t="str">
        <f>IFERROR(SUMIFS('caseload data'!T:T,'caseload data'!$C:$C,'custody %'!$B$71,'caseload data'!$D:$D,"SPO",'caseload data'!$B:$B,"custody")/SUMIFS('caseload data'!T:T,'caseload data'!$B:$B,"custody",'caseload data'!$C:$C,'custody %'!$B$71),"")</f>
        <v/>
      </c>
      <c r="T76" s="102" t="s">
        <v>1174</v>
      </c>
      <c r="U76" s="175" t="str">
        <f>IFERROR(SUMIFS('caseload data'!E:E,'caseload data'!$C:$C,'custody %'!$T$71,'caseload data'!$D:$D,"SPO",'caseload data'!$B:$B,"custody")/SUMIFS('caseload data'!E:E,'caseload data'!$B:$B,"custody",'caseload data'!$C:$C,'custody %'!$T$71),"")</f>
        <v/>
      </c>
      <c r="V76" s="175" t="str">
        <f>IFERROR(SUMIFS('caseload data'!F:F,'caseload data'!$C:$C,'custody %'!$T$71,'caseload data'!$D:$D,"SPO",'caseload data'!$B:$B,"custody")/SUMIFS('caseload data'!F:F,'caseload data'!$B:$B,"custody",'caseload data'!$C:$C,'custody %'!$T$71),"")</f>
        <v/>
      </c>
      <c r="W76" s="175" t="str">
        <f>IFERROR(SUMIFS('caseload data'!G:G,'caseload data'!$C:$C,'custody %'!$T$71,'caseload data'!$D:$D,"SPO",'caseload data'!$B:$B,"custody")/SUMIFS('caseload data'!G:G,'caseload data'!$B:$B,"custody",'caseload data'!$C:$C,'custody %'!$T$71),"")</f>
        <v/>
      </c>
      <c r="X76" s="175" t="str">
        <f>IFERROR(SUMIFS('caseload data'!H:H,'caseload data'!$C:$C,'custody %'!$T$71,'caseload data'!$D:$D,"SPO",'caseload data'!$B:$B,"custody")/SUMIFS('caseload data'!H:H,'caseload data'!$B:$B,"custody",'caseload data'!$C:$C,'custody %'!$T$71),"")</f>
        <v/>
      </c>
      <c r="Y76" s="175" t="str">
        <f>IFERROR(SUMIFS('caseload data'!I:I,'caseload data'!$C:$C,'custody %'!$T$71,'caseload data'!$D:$D,"SPO",'caseload data'!$B:$B,"custody")/SUMIFS('caseload data'!I:I,'caseload data'!$B:$B,"custody",'caseload data'!$C:$C,'custody %'!$T$71),"")</f>
        <v/>
      </c>
      <c r="Z76" s="175" t="str">
        <f>IFERROR(SUMIFS('caseload data'!J:J,'caseload data'!$C:$C,'custody %'!$T$71,'caseload data'!$D:$D,"SPO",'caseload data'!$B:$B,"custody")/SUMIFS('caseload data'!J:J,'caseload data'!$B:$B,"custody",'caseload data'!$C:$C,'custody %'!$T$71),"")</f>
        <v/>
      </c>
      <c r="AA76" s="175" t="str">
        <f>IFERROR(SUMIFS('caseload data'!K:K,'caseload data'!$C:$C,'custody %'!$T$71,'caseload data'!$D:$D,"SPO",'caseload data'!$B:$B,"custody")/SUMIFS('caseload data'!K:K,'caseload data'!$B:$B,"custody",'caseload data'!$C:$C,'custody %'!$T$71),"")</f>
        <v/>
      </c>
      <c r="AB76" s="175" t="str">
        <f>IFERROR(SUMIFS('caseload data'!L:L,'caseload data'!$C:$C,'custody %'!$T$71,'caseload data'!$D:$D,"SPO",'caseload data'!$B:$B,"custody")/SUMIFS('caseload data'!L:L,'caseload data'!$B:$B,"custody",'caseload data'!$C:$C,'custody %'!$T$71),"")</f>
        <v/>
      </c>
      <c r="AC76" s="175" t="str">
        <f>IFERROR(SUMIFS('caseload data'!M:M,'caseload data'!$C:$C,'custody %'!$T$71,'caseload data'!$D:$D,"SPO",'caseload data'!$B:$B,"custody")/SUMIFS('caseload data'!M:M,'caseload data'!$B:$B,"custody",'caseload data'!$C:$C,'custody %'!$T$71),"")</f>
        <v/>
      </c>
      <c r="AD76" s="175" t="str">
        <f>IFERROR(SUMIFS('caseload data'!N:N,'caseload data'!$C:$C,'custody %'!$T$71,'caseload data'!$D:$D,"SPO",'caseload data'!$B:$B,"custody")/SUMIFS('caseload data'!N:N,'caseload data'!$B:$B,"custody",'caseload data'!$C:$C,'custody %'!$T$71),"")</f>
        <v/>
      </c>
      <c r="AE76" s="175" t="str">
        <f>IFERROR(SUMIFS('caseload data'!O:O,'caseload data'!$C:$C,'custody %'!$T$71,'caseload data'!$D:$D,"SPO",'caseload data'!$B:$B,"custody")/SUMIFS('caseload data'!O:O,'caseload data'!$B:$B,"custody",'caseload data'!$C:$C,'custody %'!$T$71),"")</f>
        <v/>
      </c>
      <c r="AF76" s="175" t="str">
        <f>IFERROR(SUMIFS('caseload data'!P:P,'caseload data'!$C:$C,'custody %'!$T$71,'caseload data'!$D:$D,"SPO",'caseload data'!$B:$B,"custody")/SUMIFS('caseload data'!P:P,'caseload data'!$B:$B,"custody",'caseload data'!$C:$C,'custody %'!$T$71),"")</f>
        <v/>
      </c>
      <c r="AG76" s="175" t="str">
        <f>IFERROR(SUMIFS('caseload data'!Q:Q,'caseload data'!$C:$C,'custody %'!$T$71,'caseload data'!$D:$D,"SPO",'caseload data'!$B:$B,"custody")/SUMIFS('caseload data'!Q:Q,'caseload data'!$B:$B,"custody",'caseload data'!$C:$C,'custody %'!$T$71),"")</f>
        <v/>
      </c>
      <c r="AH76" s="175" t="str">
        <f>IFERROR(SUMIFS('caseload data'!R:R,'caseload data'!$C:$C,'custody %'!$T$71,'caseload data'!$D:$D,"SPO",'caseload data'!$B:$B,"custody")/SUMIFS('caseload data'!R:R,'caseload data'!$B:$B,"custody",'caseload data'!$C:$C,'custody %'!$T$71),"")</f>
        <v/>
      </c>
      <c r="AI76" s="175"/>
      <c r="AJ76" s="175"/>
    </row>
    <row r="78" spans="2:36" ht="25.5" customHeight="1" x14ac:dyDescent="0.15">
      <c r="B78" s="302" t="str">
        <f>HLOOKUP($B$5,Region_Table,22,0)</f>
        <v>Tower Hamlets</v>
      </c>
      <c r="C78" s="467" t="s">
        <v>1305</v>
      </c>
      <c r="D78" s="468"/>
      <c r="E78" s="468"/>
      <c r="F78" s="468"/>
      <c r="G78" s="468"/>
      <c r="H78" s="468"/>
      <c r="I78" s="468"/>
      <c r="J78" s="468"/>
      <c r="K78" s="468"/>
      <c r="L78" s="468"/>
      <c r="M78" s="487"/>
      <c r="N78" s="487"/>
      <c r="O78" s="488"/>
      <c r="P78" s="462">
        <f>SUMIF('caseload data'!$C:$C,'custody %'!B78,'caseload data'!V:V)</f>
        <v>0</v>
      </c>
      <c r="Q78" s="479"/>
      <c r="R78" s="480"/>
      <c r="T78" s="302" t="str">
        <f>HLOOKUP($B$5,Region_Table,23,0)</f>
        <v>Unallocated Level 2(N07)</v>
      </c>
      <c r="U78" s="467" t="s">
        <v>1305</v>
      </c>
      <c r="V78" s="468"/>
      <c r="W78" s="468"/>
      <c r="X78" s="468"/>
      <c r="Y78" s="468"/>
      <c r="Z78" s="468"/>
      <c r="AA78" s="468"/>
      <c r="AB78" s="468"/>
      <c r="AC78" s="487"/>
      <c r="AD78" s="487"/>
      <c r="AE78" s="488"/>
      <c r="AF78" s="462">
        <f>SUMIF('caseload data'!$C:$C,'custody %'!T78,'caseload data'!V:V)</f>
        <v>0</v>
      </c>
      <c r="AG78" s="479"/>
      <c r="AH78" s="480"/>
    </row>
    <row r="79" spans="2:36" x14ac:dyDescent="0.15">
      <c r="B79" s="99" t="s">
        <v>1170</v>
      </c>
      <c r="C79" s="40" t="s">
        <v>1022</v>
      </c>
      <c r="D79" s="40" t="s">
        <v>1023</v>
      </c>
      <c r="E79" s="40" t="s">
        <v>1024</v>
      </c>
      <c r="F79" s="40" t="s">
        <v>1025</v>
      </c>
      <c r="G79" s="40" t="s">
        <v>1026</v>
      </c>
      <c r="H79" s="40" t="s">
        <v>1027</v>
      </c>
      <c r="I79" s="40" t="s">
        <v>1028</v>
      </c>
      <c r="J79" s="40" t="s">
        <v>1029</v>
      </c>
      <c r="K79" s="40" t="s">
        <v>1030</v>
      </c>
      <c r="L79" s="40" t="s">
        <v>1031</v>
      </c>
      <c r="M79" s="40" t="s">
        <v>1032</v>
      </c>
      <c r="N79" s="40" t="s">
        <v>1033</v>
      </c>
      <c r="O79" s="40" t="s">
        <v>1034</v>
      </c>
      <c r="P79" s="40" t="s">
        <v>1035</v>
      </c>
      <c r="Q79" s="40" t="s">
        <v>1036</v>
      </c>
      <c r="R79" s="40" t="s">
        <v>1037</v>
      </c>
      <c r="T79" s="99" t="s">
        <v>1170</v>
      </c>
      <c r="U79" s="40" t="s">
        <v>1022</v>
      </c>
      <c r="V79" s="40" t="s">
        <v>1023</v>
      </c>
      <c r="W79" s="40" t="s">
        <v>1024</v>
      </c>
      <c r="X79" s="40" t="s">
        <v>1025</v>
      </c>
      <c r="Y79" s="40" t="s">
        <v>1026</v>
      </c>
      <c r="Z79" s="40" t="s">
        <v>1027</v>
      </c>
      <c r="AA79" s="40" t="s">
        <v>1028</v>
      </c>
      <c r="AB79" s="40" t="s">
        <v>1029</v>
      </c>
      <c r="AC79" s="40" t="s">
        <v>1030</v>
      </c>
      <c r="AD79" s="40" t="s">
        <v>1031</v>
      </c>
      <c r="AE79" s="40" t="s">
        <v>1032</v>
      </c>
      <c r="AF79" s="40" t="s">
        <v>1033</v>
      </c>
      <c r="AG79" s="40" t="s">
        <v>1034</v>
      </c>
      <c r="AH79" s="40" t="s">
        <v>1035</v>
      </c>
      <c r="AI79" s="40" t="s">
        <v>1036</v>
      </c>
      <c r="AJ79" s="40" t="s">
        <v>1037</v>
      </c>
    </row>
    <row r="80" spans="2:36" x14ac:dyDescent="0.15">
      <c r="B80" s="100" t="s">
        <v>1166</v>
      </c>
      <c r="C80" s="175" t="str">
        <f>IFERROR(SUMIFS('caseload data'!E:E,'caseload data'!$C:$C,'custody %'!$B$78,'caseload data'!$D:$D,"PO",'caseload data'!$B:$B,"custody")/SUMIFS('caseload data'!E:E,'caseload data'!$B:$B,"custody",'caseload data'!$C:$C,'custody %'!$B$78),"")</f>
        <v/>
      </c>
      <c r="D80" s="175" t="str">
        <f>IFERROR(SUMIFS('caseload data'!F:F,'caseload data'!$C:$C,'custody %'!$B$78,'caseload data'!$D:$D,"PO",'caseload data'!$B:$B,"custody")/SUMIFS('caseload data'!F:F,'caseload data'!$B:$B,"custody",'caseload data'!$C:$C,'custody %'!$B$78),"")</f>
        <v/>
      </c>
      <c r="E80" s="175" t="str">
        <f>IFERROR(SUMIFS('caseload data'!G:G,'caseload data'!$C:$C,'custody %'!$B$78,'caseload data'!$D:$D,"PO",'caseload data'!$B:$B,"custody")/SUMIFS('caseload data'!G:G,'caseload data'!$B:$B,"custody",'caseload data'!$C:$C,'custody %'!$B$78),"")</f>
        <v/>
      </c>
      <c r="F80" s="175" t="str">
        <f>IFERROR(SUMIFS('caseload data'!H:H,'caseload data'!$C:$C,'custody %'!$B$78,'caseload data'!$D:$D,"PO",'caseload data'!$B:$B,"custody")/SUMIFS('caseload data'!H:H,'caseload data'!$B:$B,"custody",'caseload data'!$C:$C,'custody %'!$B$78),"")</f>
        <v/>
      </c>
      <c r="G80" s="175" t="str">
        <f>IFERROR(SUMIFS('caseload data'!I:I,'caseload data'!$C:$C,'custody %'!$B$78,'caseload data'!$D:$D,"PO",'caseload data'!$B:$B,"custody")/SUMIFS('caseload data'!I:I,'caseload data'!$B:$B,"custody",'caseload data'!$C:$C,'custody %'!$B$78),"")</f>
        <v/>
      </c>
      <c r="H80" s="175" t="str">
        <f>IFERROR(SUMIFS('caseload data'!J:J,'caseload data'!$C:$C,'custody %'!$B$78,'caseload data'!$D:$D,"PO",'caseload data'!$B:$B,"custody")/SUMIFS('caseload data'!J:J,'caseload data'!$B:$B,"custody",'caseload data'!$C:$C,'custody %'!$B$78),"")</f>
        <v/>
      </c>
      <c r="I80" s="175" t="str">
        <f>IFERROR(SUMIFS('caseload data'!K:K,'caseload data'!$C:$C,'custody %'!$B$78,'caseload data'!$D:$D,"PO",'caseload data'!$B:$B,"custody")/SUMIFS('caseload data'!K:K,'caseload data'!$B:$B,"custody",'caseload data'!$C:$C,'custody %'!$B$78),"")</f>
        <v/>
      </c>
      <c r="J80" s="175" t="str">
        <f>IFERROR(SUMIFS('caseload data'!L:L,'caseload data'!$C:$C,'custody %'!$B$78,'caseload data'!$D:$D,"PO",'caseload data'!$B:$B,"custody")/SUMIFS('caseload data'!L:L,'caseload data'!$B:$B,"custody",'caseload data'!$C:$C,'custody %'!$B$78),"")</f>
        <v/>
      </c>
      <c r="K80" s="175" t="str">
        <f>IFERROR(SUMIFS('caseload data'!M:M,'caseload data'!$C:$C,'custody %'!$B$78,'caseload data'!$D:$D,"PO",'caseload data'!$B:$B,"custody")/SUMIFS('caseload data'!M:M,'caseload data'!$B:$B,"custody",'caseload data'!$C:$C,'custody %'!$B$78),"")</f>
        <v/>
      </c>
      <c r="L80" s="175" t="str">
        <f>IFERROR(SUMIFS('caseload data'!N:N,'caseload data'!$C:$C,'custody %'!$B$78,'caseload data'!$D:$D,"PO",'caseload data'!$B:$B,"custody")/SUMIFS('caseload data'!N:N,'caseload data'!$B:$B,"custody",'caseload data'!$C:$C,'custody %'!$B$78),"")</f>
        <v/>
      </c>
      <c r="M80" s="175" t="str">
        <f>IFERROR(SUMIFS('caseload data'!O:O,'caseload data'!$C:$C,'custody %'!$B$78,'caseload data'!$D:$D,"PO",'caseload data'!$B:$B,"custody")/SUMIFS('caseload data'!O:O,'caseload data'!$B:$B,"custody",'caseload data'!$C:$C,'custody %'!$B$78),"")</f>
        <v/>
      </c>
      <c r="N80" s="175" t="str">
        <f>IFERROR(SUMIFS('caseload data'!P:P,'caseload data'!$C:$C,'custody %'!$B$78,'caseload data'!$D:$D,"PO",'caseload data'!$B:$B,"custody")/SUMIFS('caseload data'!P:P,'caseload data'!$B:$B,"custody",'caseload data'!$C:$C,'custody %'!$B$78),"")</f>
        <v/>
      </c>
      <c r="O80" s="175" t="str">
        <f>IFERROR(SUMIFS('caseload data'!Q:Q,'caseload data'!$C:$C,'custody %'!$B$78,'caseload data'!$D:$D,"PO",'caseload data'!$B:$B,"custody")/SUMIFS('caseload data'!Q:Q,'caseload data'!$B:$B,"custody",'caseload data'!$C:$C,'custody %'!$B$78),"")</f>
        <v/>
      </c>
      <c r="P80" s="175" t="str">
        <f>IFERROR(SUMIFS('caseload data'!R:R,'caseload data'!$C:$C,'custody %'!$B$78,'caseload data'!$D:$D,"PO",'caseload data'!$B:$B,"custody")/SUMIFS('caseload data'!R:R,'caseload data'!$B:$B,"custody",'caseload data'!$C:$C,'custody %'!$B$78),"")</f>
        <v/>
      </c>
      <c r="Q80" s="175" t="str">
        <f>IFERROR(SUMIFS('caseload data'!S:S,'caseload data'!$C:$C,'custody %'!$B$78,'caseload data'!$D:$D,"PO",'caseload data'!$B:$B,"custody")/SUMIFS('caseload data'!S:S,'caseload data'!$B:$B,"custody",'caseload data'!$C:$C,'custody %'!$B$78),"")</f>
        <v/>
      </c>
      <c r="R80" s="175" t="str">
        <f>IFERROR(SUMIFS('caseload data'!T:T,'caseload data'!$C:$C,'custody %'!$B$78,'caseload data'!$D:$D,"PO",'caseload data'!$B:$B,"custody")/SUMIFS('caseload data'!T:T,'caseload data'!$B:$B,"custody",'caseload data'!$C:$C,'custody %'!$B$78),"")</f>
        <v/>
      </c>
      <c r="T80" s="100" t="s">
        <v>1166</v>
      </c>
      <c r="U80" s="175" t="str">
        <f>IFERROR(SUMIFS('caseload data'!E:E,'caseload data'!$C:$C,'custody %'!$T$78,'caseload data'!$D:$D,"PO",'caseload data'!$B:$B,"custody")/SUMIFS('caseload data'!E:E,'caseload data'!$B:$B,"custody",'caseload data'!$C:$C,'custody %'!$T$78),"")</f>
        <v/>
      </c>
      <c r="V80" s="175" t="str">
        <f>IFERROR(SUMIFS('caseload data'!F:F,'caseload data'!$C:$C,'custody %'!$T$78,'caseload data'!$D:$D,"PO",'caseload data'!$B:$B,"custody")/SUMIFS('caseload data'!F:F,'caseload data'!$B:$B,"custody",'caseload data'!$C:$C,'custody %'!$T$78),"")</f>
        <v/>
      </c>
      <c r="W80" s="175" t="str">
        <f>IFERROR(SUMIFS('caseload data'!G:G,'caseload data'!$C:$C,'custody %'!$T$78,'caseload data'!$D:$D,"PO",'caseload data'!$B:$B,"custody")/SUMIFS('caseload data'!G:G,'caseload data'!$B:$B,"custody",'caseload data'!$C:$C,'custody %'!$T$78),"")</f>
        <v/>
      </c>
      <c r="X80" s="175" t="str">
        <f>IFERROR(SUMIFS('caseload data'!H:H,'caseload data'!$C:$C,'custody %'!$T$78,'caseload data'!$D:$D,"PO",'caseload data'!$B:$B,"custody")/SUMIFS('caseload data'!H:H,'caseload data'!$B:$B,"custody",'caseload data'!$C:$C,'custody %'!$T$78),"")</f>
        <v/>
      </c>
      <c r="Y80" s="175" t="str">
        <f>IFERROR(SUMIFS('caseload data'!I:I,'caseload data'!$C:$C,'custody %'!$T$78,'caseload data'!$D:$D,"PO",'caseload data'!$B:$B,"custody")/SUMIFS('caseload data'!I:I,'caseload data'!$B:$B,"custody",'caseload data'!$C:$C,'custody %'!$T$78),"")</f>
        <v/>
      </c>
      <c r="Z80" s="175" t="str">
        <f>IFERROR(SUMIFS('caseload data'!J:J,'caseload data'!$C:$C,'custody %'!$T$78,'caseload data'!$D:$D,"PO",'caseload data'!$B:$B,"custody")/SUMIFS('caseload data'!J:J,'caseload data'!$B:$B,"custody",'caseload data'!$C:$C,'custody %'!$T$78),"")</f>
        <v/>
      </c>
      <c r="AA80" s="175" t="str">
        <f>IFERROR(SUMIFS('caseload data'!K:K,'caseload data'!$C:$C,'custody %'!$T$78,'caseload data'!$D:$D,"PO",'caseload data'!$B:$B,"custody")/SUMIFS('caseload data'!K:K,'caseload data'!$B:$B,"custody",'caseload data'!$C:$C,'custody %'!$T$78),"")</f>
        <v/>
      </c>
      <c r="AB80" s="175" t="str">
        <f>IFERROR(SUMIFS('caseload data'!L:L,'caseload data'!$C:$C,'custody %'!$T$78,'caseload data'!$D:$D,"PO",'caseload data'!$B:$B,"custody")/SUMIFS('caseload data'!L:L,'caseload data'!$B:$B,"custody",'caseload data'!$C:$C,'custody %'!$T$78),"")</f>
        <v/>
      </c>
      <c r="AC80" s="175" t="str">
        <f>IFERROR(SUMIFS('caseload data'!M:M,'caseload data'!$C:$C,'custody %'!$T$78,'caseload data'!$D:$D,"PO",'caseload data'!$B:$B,"custody")/SUMIFS('caseload data'!M:M,'caseload data'!$B:$B,"custody",'caseload data'!$C:$C,'custody %'!$T$78),"")</f>
        <v/>
      </c>
      <c r="AD80" s="175" t="str">
        <f>IFERROR(SUMIFS('caseload data'!N:N,'caseload data'!$C:$C,'custody %'!$T$78,'caseload data'!$D:$D,"PO",'caseload data'!$B:$B,"custody")/SUMIFS('caseload data'!N:N,'caseload data'!$B:$B,"custody",'caseload data'!$C:$C,'custody %'!$T$78),"")</f>
        <v/>
      </c>
      <c r="AE80" s="175" t="str">
        <f>IFERROR(SUMIFS('caseload data'!O:O,'caseload data'!$C:$C,'custody %'!$T$78,'caseload data'!$D:$D,"PO",'caseload data'!$B:$B,"custody")/SUMIFS('caseload data'!O:O,'caseload data'!$B:$B,"custody",'caseload data'!$C:$C,'custody %'!$T$78),"")</f>
        <v/>
      </c>
      <c r="AF80" s="175" t="str">
        <f>IFERROR(SUMIFS('caseload data'!P:P,'caseload data'!$C:$C,'custody %'!$T$78,'caseload data'!$D:$D,"PO",'caseload data'!$B:$B,"custody")/SUMIFS('caseload data'!P:P,'caseload data'!$B:$B,"custody",'caseload data'!$C:$C,'custody %'!$T$78),"")</f>
        <v/>
      </c>
      <c r="AG80" s="175" t="str">
        <f>IFERROR(SUMIFS('caseload data'!Q:Q,'caseload data'!$C:$C,'custody %'!$T$78,'caseload data'!$D:$D,"PO",'caseload data'!$B:$B,"custody")/SUMIFS('caseload data'!Q:Q,'caseload data'!$B:$B,"custody",'caseload data'!$C:$C,'custody %'!$T$78),"")</f>
        <v/>
      </c>
      <c r="AH80" s="175" t="str">
        <f>IFERROR(SUMIFS('caseload data'!R:R,'caseload data'!$C:$C,'custody %'!$T$78,'caseload data'!$D:$D,"PO",'caseload data'!$B:$B,"custody")/SUMIFS('caseload data'!R:R,'caseload data'!$B:$B,"custody",'caseload data'!$C:$C,'custody %'!$T$78),"")</f>
        <v/>
      </c>
      <c r="AI80" s="175"/>
      <c r="AJ80" s="175"/>
    </row>
    <row r="81" spans="2:36" x14ac:dyDescent="0.15">
      <c r="B81" s="101" t="s">
        <v>1172</v>
      </c>
      <c r="C81" s="175" t="str">
        <f>IFERROR(SUMIFS('caseload data'!E:E,'caseload data'!$C:$C,'custody %'!$B$78,'caseload data'!$D:$D,"PSO",'caseload data'!$B:$B,"custody")/SUMIFS('caseload data'!E:E,'caseload data'!$B:$B,"custody",'caseload data'!$C:$C,'custody %'!$B$78),"")</f>
        <v/>
      </c>
      <c r="D81" s="175" t="str">
        <f>IFERROR(SUMIFS('caseload data'!F:F,'caseload data'!$C:$C,'custody %'!$B$78,'caseload data'!$D:$D,"PSO",'caseload data'!$B:$B,"custody")/SUMIFS('caseload data'!F:F,'caseload data'!$B:$B,"custody",'caseload data'!$C:$C,'custody %'!$B$78),"")</f>
        <v/>
      </c>
      <c r="E81" s="175" t="str">
        <f>IFERROR(SUMIFS('caseload data'!G:G,'caseload data'!$C:$C,'custody %'!$B$78,'caseload data'!$D:$D,"PSO",'caseload data'!$B:$B,"custody")/SUMIFS('caseload data'!G:G,'caseload data'!$B:$B,"custody",'caseload data'!$C:$C,'custody %'!$B$78),"")</f>
        <v/>
      </c>
      <c r="F81" s="175" t="str">
        <f>IFERROR(SUMIFS('caseload data'!H:H,'caseload data'!$C:$C,'custody %'!$B$78,'caseload data'!$D:$D,"PSO",'caseload data'!$B:$B,"custody")/SUMIFS('caseload data'!H:H,'caseload data'!$B:$B,"custody",'caseload data'!$C:$C,'custody %'!$B$78),"")</f>
        <v/>
      </c>
      <c r="G81" s="175" t="str">
        <f>IFERROR(SUMIFS('caseload data'!I:I,'caseload data'!$C:$C,'custody %'!$B$78,'caseload data'!$D:$D,"PSO",'caseload data'!$B:$B,"custody")/SUMIFS('caseload data'!I:I,'caseload data'!$B:$B,"custody",'caseload data'!$C:$C,'custody %'!$B$78),"")</f>
        <v/>
      </c>
      <c r="H81" s="175" t="str">
        <f>IFERROR(SUMIFS('caseload data'!J:J,'caseload data'!$C:$C,'custody %'!$B$78,'caseload data'!$D:$D,"PSO",'caseload data'!$B:$B,"custody")/SUMIFS('caseload data'!J:J,'caseload data'!$B:$B,"custody",'caseload data'!$C:$C,'custody %'!$B$78),"")</f>
        <v/>
      </c>
      <c r="I81" s="175" t="str">
        <f>IFERROR(SUMIFS('caseload data'!K:K,'caseload data'!$C:$C,'custody %'!$B$78,'caseload data'!$D:$D,"PSO",'caseload data'!$B:$B,"custody")/SUMIFS('caseload data'!K:K,'caseload data'!$B:$B,"custody",'caseload data'!$C:$C,'custody %'!$B$78),"")</f>
        <v/>
      </c>
      <c r="J81" s="175" t="str">
        <f>IFERROR(SUMIFS('caseload data'!L:L,'caseload data'!$C:$C,'custody %'!$B$78,'caseload data'!$D:$D,"PSO",'caseload data'!$B:$B,"custody")/SUMIFS('caseload data'!L:L,'caseload data'!$B:$B,"custody",'caseload data'!$C:$C,'custody %'!$B$78),"")</f>
        <v/>
      </c>
      <c r="K81" s="175" t="str">
        <f>IFERROR(SUMIFS('caseload data'!M:M,'caseload data'!$C:$C,'custody %'!$B$78,'caseload data'!$D:$D,"PSO",'caseload data'!$B:$B,"custody")/SUMIFS('caseload data'!M:M,'caseload data'!$B:$B,"custody",'caseload data'!$C:$C,'custody %'!$B$78),"")</f>
        <v/>
      </c>
      <c r="L81" s="175" t="str">
        <f>IFERROR(SUMIFS('caseload data'!N:N,'caseload data'!$C:$C,'custody %'!$B$78,'caseload data'!$D:$D,"PSO",'caseload data'!$B:$B,"custody")/SUMIFS('caseload data'!N:N,'caseload data'!$B:$B,"custody",'caseload data'!$C:$C,'custody %'!$B$78),"")</f>
        <v/>
      </c>
      <c r="M81" s="175" t="str">
        <f>IFERROR(SUMIFS('caseload data'!O:O,'caseload data'!$C:$C,'custody %'!$B$78,'caseload data'!$D:$D,"PSO",'caseload data'!$B:$B,"custody")/SUMIFS('caseload data'!O:O,'caseload data'!$B:$B,"custody",'caseload data'!$C:$C,'custody %'!$B$78),"")</f>
        <v/>
      </c>
      <c r="N81" s="175" t="str">
        <f>IFERROR(SUMIFS('caseload data'!P:P,'caseload data'!$C:$C,'custody %'!$B$78,'caseload data'!$D:$D,"PSO",'caseload data'!$B:$B,"custody")/SUMIFS('caseload data'!P:P,'caseload data'!$B:$B,"custody",'caseload data'!$C:$C,'custody %'!$B$78),"")</f>
        <v/>
      </c>
      <c r="O81" s="175" t="str">
        <f>IFERROR(SUMIFS('caseload data'!Q:Q,'caseload data'!$C:$C,'custody %'!$B$78,'caseload data'!$D:$D,"PSO",'caseload data'!$B:$B,"custody")/SUMIFS('caseload data'!Q:Q,'caseload data'!$B:$B,"custody",'caseload data'!$C:$C,'custody %'!$B$78),"")</f>
        <v/>
      </c>
      <c r="P81" s="175" t="str">
        <f>IFERROR(SUMIFS('caseload data'!R:R,'caseload data'!$C:$C,'custody %'!$B$78,'caseload data'!$D:$D,"PSO",'caseload data'!$B:$B,"custody")/SUMIFS('caseload data'!R:R,'caseload data'!$B:$B,"custody",'caseload data'!$C:$C,'custody %'!$B$78),"")</f>
        <v/>
      </c>
      <c r="Q81" s="175" t="str">
        <f>IFERROR(SUMIFS('caseload data'!S:S,'caseload data'!$C:$C,'custody %'!$B$78,'caseload data'!$D:$D,"PSO",'caseload data'!$B:$B,"custody")/SUMIFS('caseload data'!S:S,'caseload data'!$B:$B,"custody",'caseload data'!$C:$C,'custody %'!$B$78),"")</f>
        <v/>
      </c>
      <c r="R81" s="175" t="str">
        <f>IFERROR(SUMIFS('caseload data'!T:T,'caseload data'!$C:$C,'custody %'!$B$78,'caseload data'!$D:$D,"PSO",'caseload data'!$B:$B,"custody")/SUMIFS('caseload data'!T:T,'caseload data'!$B:$B,"custody",'caseload data'!$C:$C,'custody %'!$B$78),"")</f>
        <v/>
      </c>
      <c r="T81" s="101" t="s">
        <v>1172</v>
      </c>
      <c r="U81" s="175" t="str">
        <f>IFERROR(SUMIFS('caseload data'!E:E,'caseload data'!$C:$C,'custody %'!$T$78,'caseload data'!$D:$D,"PSO",'caseload data'!$B:$B,"custody")/SUMIFS('caseload data'!E:E,'caseload data'!$B:$B,"custody",'caseload data'!$C:$C,'custody %'!$T$78),"")</f>
        <v/>
      </c>
      <c r="V81" s="175" t="str">
        <f>IFERROR(SUMIFS('caseload data'!F:F,'caseload data'!$C:$C,'custody %'!$T$78,'caseload data'!$D:$D,"PSO",'caseload data'!$B:$B,"custody")/SUMIFS('caseload data'!F:F,'caseload data'!$B:$B,"custody",'caseload data'!$C:$C,'custody %'!$T$78),"")</f>
        <v/>
      </c>
      <c r="W81" s="175" t="str">
        <f>IFERROR(SUMIFS('caseload data'!G:G,'caseload data'!$C:$C,'custody %'!$T$78,'caseload data'!$D:$D,"PSO",'caseload data'!$B:$B,"custody")/SUMIFS('caseload data'!G:G,'caseload data'!$B:$B,"custody",'caseload data'!$C:$C,'custody %'!$T$78),"")</f>
        <v/>
      </c>
      <c r="X81" s="175" t="str">
        <f>IFERROR(SUMIFS('caseload data'!H:H,'caseload data'!$C:$C,'custody %'!$T$78,'caseload data'!$D:$D,"PSO",'caseload data'!$B:$B,"custody")/SUMIFS('caseload data'!H:H,'caseload data'!$B:$B,"custody",'caseload data'!$C:$C,'custody %'!$T$78),"")</f>
        <v/>
      </c>
      <c r="Y81" s="175" t="str">
        <f>IFERROR(SUMIFS('caseload data'!I:I,'caseload data'!$C:$C,'custody %'!$T$78,'caseload data'!$D:$D,"PSO",'caseload data'!$B:$B,"custody")/SUMIFS('caseload data'!I:I,'caseload data'!$B:$B,"custody",'caseload data'!$C:$C,'custody %'!$T$78),"")</f>
        <v/>
      </c>
      <c r="Z81" s="175" t="str">
        <f>IFERROR(SUMIFS('caseload data'!J:J,'caseload data'!$C:$C,'custody %'!$T$78,'caseload data'!$D:$D,"PSO",'caseload data'!$B:$B,"custody")/SUMIFS('caseload data'!J:J,'caseload data'!$B:$B,"custody",'caseload data'!$C:$C,'custody %'!$T$78),"")</f>
        <v/>
      </c>
      <c r="AA81" s="175" t="str">
        <f>IFERROR(SUMIFS('caseload data'!K:K,'caseload data'!$C:$C,'custody %'!$T$78,'caseload data'!$D:$D,"PSO",'caseload data'!$B:$B,"custody")/SUMIFS('caseload data'!K:K,'caseload data'!$B:$B,"custody",'caseload data'!$C:$C,'custody %'!$T$78),"")</f>
        <v/>
      </c>
      <c r="AB81" s="175" t="str">
        <f>IFERROR(SUMIFS('caseload data'!L:L,'caseload data'!$C:$C,'custody %'!$T$78,'caseload data'!$D:$D,"PSO",'caseload data'!$B:$B,"custody")/SUMIFS('caseload data'!L:L,'caseload data'!$B:$B,"custody",'caseload data'!$C:$C,'custody %'!$T$78),"")</f>
        <v/>
      </c>
      <c r="AC81" s="175" t="str">
        <f>IFERROR(SUMIFS('caseload data'!M:M,'caseload data'!$C:$C,'custody %'!$T$78,'caseload data'!$D:$D,"PSO",'caseload data'!$B:$B,"custody")/SUMIFS('caseload data'!M:M,'caseload data'!$B:$B,"custody",'caseload data'!$C:$C,'custody %'!$T$78),"")</f>
        <v/>
      </c>
      <c r="AD81" s="175" t="str">
        <f>IFERROR(SUMIFS('caseload data'!N:N,'caseload data'!$C:$C,'custody %'!$T$78,'caseload data'!$D:$D,"PSO",'caseload data'!$B:$B,"custody")/SUMIFS('caseload data'!N:N,'caseload data'!$B:$B,"custody",'caseload data'!$C:$C,'custody %'!$T$78),"")</f>
        <v/>
      </c>
      <c r="AE81" s="175" t="str">
        <f>IFERROR(SUMIFS('caseload data'!O:O,'caseload data'!$C:$C,'custody %'!$T$78,'caseload data'!$D:$D,"PSO",'caseload data'!$B:$B,"custody")/SUMIFS('caseload data'!O:O,'caseload data'!$B:$B,"custody",'caseload data'!$C:$C,'custody %'!$T$78),"")</f>
        <v/>
      </c>
      <c r="AF81" s="175" t="str">
        <f>IFERROR(SUMIFS('caseload data'!P:P,'caseload data'!$C:$C,'custody %'!$T$78,'caseload data'!$D:$D,"PSO",'caseload data'!$B:$B,"custody")/SUMIFS('caseload data'!P:P,'caseload data'!$B:$B,"custody",'caseload data'!$C:$C,'custody %'!$T$78),"")</f>
        <v/>
      </c>
      <c r="AG81" s="175" t="str">
        <f>IFERROR(SUMIFS('caseload data'!Q:Q,'caseload data'!$C:$C,'custody %'!$T$78,'caseload data'!$D:$D,"PSO",'caseload data'!$B:$B,"custody")/SUMIFS('caseload data'!Q:Q,'caseload data'!$B:$B,"custody",'caseload data'!$C:$C,'custody %'!$T$78),"")</f>
        <v/>
      </c>
      <c r="AH81" s="175" t="str">
        <f>IFERROR(SUMIFS('caseload data'!R:R,'caseload data'!$C:$C,'custody %'!$T$78,'caseload data'!$D:$D,"PSO",'caseload data'!$B:$B,"custody")/SUMIFS('caseload data'!R:R,'caseload data'!$B:$B,"custody",'caseload data'!$C:$C,'custody %'!$T$78),"")</f>
        <v/>
      </c>
      <c r="AI81" s="175"/>
      <c r="AJ81" s="175"/>
    </row>
    <row r="82" spans="2:36" x14ac:dyDescent="0.15">
      <c r="B82" s="101" t="s">
        <v>1173</v>
      </c>
      <c r="C82" s="175" t="str">
        <f>IFERROR(SUMIFS('caseload data'!E:E,'caseload data'!$C:$C,'custody %'!$B$78,'caseload data'!$D:$D,"TPO",'caseload data'!$B:$B,"custody")/SUMIFS('caseload data'!E:E,'caseload data'!$B:$B,"custody",'caseload data'!$C:$C,'custody %'!$B$78),"")</f>
        <v/>
      </c>
      <c r="D82" s="175" t="str">
        <f>IFERROR(SUMIFS('caseload data'!F:F,'caseload data'!$C:$C,'custody %'!$B$78,'caseload data'!$D:$D,"TPO",'caseload data'!$B:$B,"custody")/SUMIFS('caseload data'!F:F,'caseload data'!$B:$B,"custody",'caseload data'!$C:$C,'custody %'!$B$78),"")</f>
        <v/>
      </c>
      <c r="E82" s="175" t="str">
        <f>IFERROR(SUMIFS('caseload data'!G:G,'caseload data'!$C:$C,'custody %'!$B$78,'caseload data'!$D:$D,"TPO",'caseload data'!$B:$B,"custody")/SUMIFS('caseload data'!G:G,'caseload data'!$B:$B,"custody",'caseload data'!$C:$C,'custody %'!$B$78),"")</f>
        <v/>
      </c>
      <c r="F82" s="175" t="str">
        <f>IFERROR(SUMIFS('caseload data'!H:H,'caseload data'!$C:$C,'custody %'!$B$78,'caseload data'!$D:$D,"TPO",'caseload data'!$B:$B,"custody")/SUMIFS('caseload data'!H:H,'caseload data'!$B:$B,"custody",'caseload data'!$C:$C,'custody %'!$B$78),"")</f>
        <v/>
      </c>
      <c r="G82" s="175" t="str">
        <f>IFERROR(SUMIFS('caseload data'!I:I,'caseload data'!$C:$C,'custody %'!$B$78,'caseload data'!$D:$D,"TPO",'caseload data'!$B:$B,"custody")/SUMIFS('caseload data'!I:I,'caseload data'!$B:$B,"custody",'caseload data'!$C:$C,'custody %'!$B$78),"")</f>
        <v/>
      </c>
      <c r="H82" s="175" t="str">
        <f>IFERROR(SUMIFS('caseload data'!J:J,'caseload data'!$C:$C,'custody %'!$B$78,'caseload data'!$D:$D,"TPO",'caseload data'!$B:$B,"custody")/SUMIFS('caseload data'!J:J,'caseload data'!$B:$B,"custody",'caseload data'!$C:$C,'custody %'!$B$78),"")</f>
        <v/>
      </c>
      <c r="I82" s="175" t="str">
        <f>IFERROR(SUMIFS('caseload data'!K:K,'caseload data'!$C:$C,'custody %'!$B$78,'caseload data'!$D:$D,"TPO",'caseload data'!$B:$B,"custody")/SUMIFS('caseload data'!K:K,'caseload data'!$B:$B,"custody",'caseload data'!$C:$C,'custody %'!$B$78),"")</f>
        <v/>
      </c>
      <c r="J82" s="175" t="str">
        <f>IFERROR(SUMIFS('caseload data'!L:L,'caseload data'!$C:$C,'custody %'!$B$78,'caseload data'!$D:$D,"TPO",'caseload data'!$B:$B,"custody")/SUMIFS('caseload data'!L:L,'caseload data'!$B:$B,"custody",'caseload data'!$C:$C,'custody %'!$B$78),"")</f>
        <v/>
      </c>
      <c r="K82" s="175" t="str">
        <f>IFERROR(SUMIFS('caseload data'!M:M,'caseload data'!$C:$C,'custody %'!$B$78,'caseload data'!$D:$D,"TPO",'caseload data'!$B:$B,"custody")/SUMIFS('caseload data'!M:M,'caseload data'!$B:$B,"custody",'caseload data'!$C:$C,'custody %'!$B$78),"")</f>
        <v/>
      </c>
      <c r="L82" s="175" t="str">
        <f>IFERROR(SUMIFS('caseload data'!N:N,'caseload data'!$C:$C,'custody %'!$B$78,'caseload data'!$D:$D,"TPO",'caseload data'!$B:$B,"custody")/SUMIFS('caseload data'!N:N,'caseload data'!$B:$B,"custody",'caseload data'!$C:$C,'custody %'!$B$78),"")</f>
        <v/>
      </c>
      <c r="M82" s="175" t="str">
        <f>IFERROR(SUMIFS('caseload data'!O:O,'caseload data'!$C:$C,'custody %'!$B$78,'caseload data'!$D:$D,"TPO",'caseload data'!$B:$B,"custody")/SUMIFS('caseload data'!O:O,'caseload data'!$B:$B,"custody",'caseload data'!$C:$C,'custody %'!$B$78),"")</f>
        <v/>
      </c>
      <c r="N82" s="175" t="str">
        <f>IFERROR(SUMIFS('caseload data'!P:P,'caseload data'!$C:$C,'custody %'!$B$78,'caseload data'!$D:$D,"TPO",'caseload data'!$B:$B,"custody")/SUMIFS('caseload data'!P:P,'caseload data'!$B:$B,"custody",'caseload data'!$C:$C,'custody %'!$B$78),"")</f>
        <v/>
      </c>
      <c r="O82" s="175" t="str">
        <f>IFERROR(SUMIFS('caseload data'!Q:Q,'caseload data'!$C:$C,'custody %'!$B$78,'caseload data'!$D:$D,"TPO",'caseload data'!$B:$B,"custody")/SUMIFS('caseload data'!Q:Q,'caseload data'!$B:$B,"custody",'caseload data'!$C:$C,'custody %'!$B$78),"")</f>
        <v/>
      </c>
      <c r="P82" s="175" t="str">
        <f>IFERROR(SUMIFS('caseload data'!R:R,'caseload data'!$C:$C,'custody %'!$B$78,'caseload data'!$D:$D,"TPO",'caseload data'!$B:$B,"custody")/SUMIFS('caseload data'!R:R,'caseload data'!$B:$B,"custody",'caseload data'!$C:$C,'custody %'!$B$78),"")</f>
        <v/>
      </c>
      <c r="Q82" s="175" t="str">
        <f>IFERROR(SUMIFS('caseload data'!S:S,'caseload data'!$C:$C,'custody %'!$B$78,'caseload data'!$D:$D,"TPO",'caseload data'!$B:$B,"custody")/SUMIFS('caseload data'!S:S,'caseload data'!$B:$B,"custody",'caseload data'!$C:$C,'custody %'!$B$78),"")</f>
        <v/>
      </c>
      <c r="R82" s="175" t="str">
        <f>IFERROR(SUMIFS('caseload data'!T:T,'caseload data'!$C:$C,'custody %'!$B$78,'caseload data'!$D:$D,"TPO",'caseload data'!$B:$B,"custody")/SUMIFS('caseload data'!T:T,'caseload data'!$B:$B,"custody",'caseload data'!$C:$C,'custody %'!$B$78),"")</f>
        <v/>
      </c>
      <c r="T82" s="101" t="s">
        <v>1173</v>
      </c>
      <c r="U82" s="175" t="str">
        <f>IFERROR(SUMIFS('caseload data'!E:E,'caseload data'!$C:$C,'custody %'!$T$78,'caseload data'!$D:$D,"TPO",'caseload data'!$B:$B,"custody")/SUMIFS('caseload data'!E:E,'caseload data'!$B:$B,"custody",'caseload data'!$C:$C,'custody %'!$T$78),"")</f>
        <v/>
      </c>
      <c r="V82" s="175" t="str">
        <f>IFERROR(SUMIFS('caseload data'!F:F,'caseload data'!$C:$C,'custody %'!$T$78,'caseload data'!$D:$D,"TPO",'caseload data'!$B:$B,"custody")/SUMIFS('caseload data'!F:F,'caseload data'!$B:$B,"custody",'caseload data'!$C:$C,'custody %'!$T$78),"")</f>
        <v/>
      </c>
      <c r="W82" s="175" t="str">
        <f>IFERROR(SUMIFS('caseload data'!G:G,'caseload data'!$C:$C,'custody %'!$T$78,'caseload data'!$D:$D,"TPO",'caseload data'!$B:$B,"custody")/SUMIFS('caseload data'!G:G,'caseload data'!$B:$B,"custody",'caseload data'!$C:$C,'custody %'!$T$78),"")</f>
        <v/>
      </c>
      <c r="X82" s="175" t="str">
        <f>IFERROR(SUMIFS('caseload data'!H:H,'caseload data'!$C:$C,'custody %'!$T$78,'caseload data'!$D:$D,"TPO",'caseload data'!$B:$B,"custody")/SUMIFS('caseload data'!H:H,'caseload data'!$B:$B,"custody",'caseload data'!$C:$C,'custody %'!$T$78),"")</f>
        <v/>
      </c>
      <c r="Y82" s="175" t="str">
        <f>IFERROR(SUMIFS('caseload data'!I:I,'caseload data'!$C:$C,'custody %'!$T$78,'caseload data'!$D:$D,"TPO",'caseload data'!$B:$B,"custody")/SUMIFS('caseload data'!I:I,'caseload data'!$B:$B,"custody",'caseload data'!$C:$C,'custody %'!$T$78),"")</f>
        <v/>
      </c>
      <c r="Z82" s="175" t="str">
        <f>IFERROR(SUMIFS('caseload data'!J:J,'caseload data'!$C:$C,'custody %'!$T$78,'caseload data'!$D:$D,"TPO",'caseload data'!$B:$B,"custody")/SUMIFS('caseload data'!J:J,'caseload data'!$B:$B,"custody",'caseload data'!$C:$C,'custody %'!$T$78),"")</f>
        <v/>
      </c>
      <c r="AA82" s="175" t="str">
        <f>IFERROR(SUMIFS('caseload data'!K:K,'caseload data'!$C:$C,'custody %'!$T$78,'caseload data'!$D:$D,"TPO",'caseload data'!$B:$B,"custody")/SUMIFS('caseload data'!K:K,'caseload data'!$B:$B,"custody",'caseload data'!$C:$C,'custody %'!$T$78),"")</f>
        <v/>
      </c>
      <c r="AB82" s="175" t="str">
        <f>IFERROR(SUMIFS('caseload data'!L:L,'caseload data'!$C:$C,'custody %'!$T$78,'caseload data'!$D:$D,"TPO",'caseload data'!$B:$B,"custody")/SUMIFS('caseload data'!L:L,'caseload data'!$B:$B,"custody",'caseload data'!$C:$C,'custody %'!$T$78),"")</f>
        <v/>
      </c>
      <c r="AC82" s="175" t="str">
        <f>IFERROR(SUMIFS('caseload data'!M:M,'caseload data'!$C:$C,'custody %'!$T$78,'caseload data'!$D:$D,"TPO",'caseload data'!$B:$B,"custody")/SUMIFS('caseload data'!M:M,'caseload data'!$B:$B,"custody",'caseload data'!$C:$C,'custody %'!$T$78),"")</f>
        <v/>
      </c>
      <c r="AD82" s="175" t="str">
        <f>IFERROR(SUMIFS('caseload data'!N:N,'caseload data'!$C:$C,'custody %'!$T$78,'caseload data'!$D:$D,"TPO",'caseload data'!$B:$B,"custody")/SUMIFS('caseload data'!N:N,'caseload data'!$B:$B,"custody",'caseload data'!$C:$C,'custody %'!$T$78),"")</f>
        <v/>
      </c>
      <c r="AE82" s="175" t="str">
        <f>IFERROR(SUMIFS('caseload data'!O:O,'caseload data'!$C:$C,'custody %'!$T$78,'caseload data'!$D:$D,"TPO",'caseload data'!$B:$B,"custody")/SUMIFS('caseload data'!O:O,'caseload data'!$B:$B,"custody",'caseload data'!$C:$C,'custody %'!$T$78),"")</f>
        <v/>
      </c>
      <c r="AF82" s="175" t="str">
        <f>IFERROR(SUMIFS('caseload data'!P:P,'caseload data'!$C:$C,'custody %'!$T$78,'caseload data'!$D:$D,"TPO",'caseload data'!$B:$B,"custody")/SUMIFS('caseload data'!P:P,'caseload data'!$B:$B,"custody",'caseload data'!$C:$C,'custody %'!$T$78),"")</f>
        <v/>
      </c>
      <c r="AG82" s="175" t="str">
        <f>IFERROR(SUMIFS('caseload data'!Q:Q,'caseload data'!$C:$C,'custody %'!$T$78,'caseload data'!$D:$D,"TPO",'caseload data'!$B:$B,"custody")/SUMIFS('caseload data'!Q:Q,'caseload data'!$B:$B,"custody",'caseload data'!$C:$C,'custody %'!$T$78),"")</f>
        <v/>
      </c>
      <c r="AH82" s="175" t="str">
        <f>IFERROR(SUMIFS('caseload data'!R:R,'caseload data'!$C:$C,'custody %'!$T$78,'caseload data'!$D:$D,"TPO",'caseload data'!$B:$B,"custody")/SUMIFS('caseload data'!R:R,'caseload data'!$B:$B,"custody",'caseload data'!$C:$C,'custody %'!$T$78),"")</f>
        <v/>
      </c>
      <c r="AI82" s="175"/>
      <c r="AJ82" s="175"/>
    </row>
    <row r="83" spans="2:36" x14ac:dyDescent="0.15">
      <c r="B83" s="102" t="s">
        <v>1174</v>
      </c>
      <c r="C83" s="175" t="str">
        <f>IFERROR(SUMIFS('caseload data'!E:E,'caseload data'!$C:$C,'custody %'!$B$78,'caseload data'!$D:$D,"SPO",'caseload data'!$B:$B,"custody")/SUMIFS('caseload data'!E:E,'caseload data'!$B:$B,"custody",'caseload data'!$C:$C,'custody %'!$B$78),"")</f>
        <v/>
      </c>
      <c r="D83" s="175" t="str">
        <f>IFERROR(SUMIFS('caseload data'!F:F,'caseload data'!$C:$C,'custody %'!$B$78,'caseload data'!$D:$D,"SPO",'caseload data'!$B:$B,"custody")/SUMIFS('caseload data'!F:F,'caseload data'!$B:$B,"custody",'caseload data'!$C:$C,'custody %'!$B$78),"")</f>
        <v/>
      </c>
      <c r="E83" s="175" t="str">
        <f>IFERROR(SUMIFS('caseload data'!G:G,'caseload data'!$C:$C,'custody %'!$B$78,'caseload data'!$D:$D,"SPO",'caseload data'!$B:$B,"custody")/SUMIFS('caseload data'!G:G,'caseload data'!$B:$B,"custody",'caseload data'!$C:$C,'custody %'!$B$78),"")</f>
        <v/>
      </c>
      <c r="F83" s="175" t="str">
        <f>IFERROR(SUMIFS('caseload data'!H:H,'caseload data'!$C:$C,'custody %'!$B$78,'caseload data'!$D:$D,"SPO",'caseload data'!$B:$B,"custody")/SUMIFS('caseload data'!H:H,'caseload data'!$B:$B,"custody",'caseload data'!$C:$C,'custody %'!$B$78),"")</f>
        <v/>
      </c>
      <c r="G83" s="175" t="str">
        <f>IFERROR(SUMIFS('caseload data'!I:I,'caseload data'!$C:$C,'custody %'!$B$78,'caseload data'!$D:$D,"SPO",'caseload data'!$B:$B,"custody")/SUMIFS('caseload data'!I:I,'caseload data'!$B:$B,"custody",'caseload data'!$C:$C,'custody %'!$B$78),"")</f>
        <v/>
      </c>
      <c r="H83" s="175" t="str">
        <f>IFERROR(SUMIFS('caseload data'!J:J,'caseload data'!$C:$C,'custody %'!$B$78,'caseload data'!$D:$D,"SPO",'caseload data'!$B:$B,"custody")/SUMIFS('caseload data'!J:J,'caseload data'!$B:$B,"custody",'caseload data'!$C:$C,'custody %'!$B$78),"")</f>
        <v/>
      </c>
      <c r="I83" s="175" t="str">
        <f>IFERROR(SUMIFS('caseload data'!K:K,'caseload data'!$C:$C,'custody %'!$B$78,'caseload data'!$D:$D,"SPO",'caseload data'!$B:$B,"custody")/SUMIFS('caseload data'!K:K,'caseload data'!$B:$B,"custody",'caseload data'!$C:$C,'custody %'!$B$78),"")</f>
        <v/>
      </c>
      <c r="J83" s="175" t="str">
        <f>IFERROR(SUMIFS('caseload data'!L:L,'caseload data'!$C:$C,'custody %'!$B$78,'caseload data'!$D:$D,"SPO",'caseload data'!$B:$B,"custody")/SUMIFS('caseload data'!L:L,'caseload data'!$B:$B,"custody",'caseload data'!$C:$C,'custody %'!$B$78),"")</f>
        <v/>
      </c>
      <c r="K83" s="175" t="str">
        <f>IFERROR(SUMIFS('caseload data'!M:M,'caseload data'!$C:$C,'custody %'!$B$78,'caseload data'!$D:$D,"SPO",'caseload data'!$B:$B,"custody")/SUMIFS('caseload data'!M:M,'caseload data'!$B:$B,"custody",'caseload data'!$C:$C,'custody %'!$B$78),"")</f>
        <v/>
      </c>
      <c r="L83" s="175" t="str">
        <f>IFERROR(SUMIFS('caseload data'!N:N,'caseload data'!$C:$C,'custody %'!$B$78,'caseload data'!$D:$D,"SPO",'caseload data'!$B:$B,"custody")/SUMIFS('caseload data'!N:N,'caseload data'!$B:$B,"custody",'caseload data'!$C:$C,'custody %'!$B$78),"")</f>
        <v/>
      </c>
      <c r="M83" s="175" t="str">
        <f>IFERROR(SUMIFS('caseload data'!O:O,'caseload data'!$C:$C,'custody %'!$B$78,'caseload data'!$D:$D,"SPO",'caseload data'!$B:$B,"custody")/SUMIFS('caseload data'!O:O,'caseload data'!$B:$B,"custody",'caseload data'!$C:$C,'custody %'!$B$78),"")</f>
        <v/>
      </c>
      <c r="N83" s="175" t="str">
        <f>IFERROR(SUMIFS('caseload data'!P:P,'caseload data'!$C:$C,'custody %'!$B$78,'caseload data'!$D:$D,"SPO",'caseload data'!$B:$B,"custody")/SUMIFS('caseload data'!P:P,'caseload data'!$B:$B,"custody",'caseload data'!$C:$C,'custody %'!$B$78),"")</f>
        <v/>
      </c>
      <c r="O83" s="175" t="str">
        <f>IFERROR(SUMIFS('caseload data'!Q:Q,'caseload data'!$C:$C,'custody %'!$B$78,'caseload data'!$D:$D,"SPO",'caseload data'!$B:$B,"custody")/SUMIFS('caseload data'!Q:Q,'caseload data'!$B:$B,"custody",'caseload data'!$C:$C,'custody %'!$B$78),"")</f>
        <v/>
      </c>
      <c r="P83" s="175" t="str">
        <f>IFERROR(SUMIFS('caseload data'!R:R,'caseload data'!$C:$C,'custody %'!$B$78,'caseload data'!$D:$D,"SPO",'caseload data'!$B:$B,"custody")/SUMIFS('caseload data'!R:R,'caseload data'!$B:$B,"custody",'caseload data'!$C:$C,'custody %'!$B$78),"")</f>
        <v/>
      </c>
      <c r="Q83" s="175" t="str">
        <f>IFERROR(SUMIFS('caseload data'!S:S,'caseload data'!$C:$C,'custody %'!$B$78,'caseload data'!$D:$D,"SPO",'caseload data'!$B:$B,"custody")/SUMIFS('caseload data'!S:S,'caseload data'!$B:$B,"custody",'caseload data'!$C:$C,'custody %'!$B$78),"")</f>
        <v/>
      </c>
      <c r="R83" s="175" t="str">
        <f>IFERROR(SUMIFS('caseload data'!T:T,'caseload data'!$C:$C,'custody %'!$B$78,'caseload data'!$D:$D,"SPO",'caseload data'!$B:$B,"custody")/SUMIFS('caseload data'!T:T,'caseload data'!$B:$B,"custody",'caseload data'!$C:$C,'custody %'!$B$78),"")</f>
        <v/>
      </c>
      <c r="T83" s="102" t="s">
        <v>1174</v>
      </c>
      <c r="U83" s="175" t="str">
        <f>IFERROR(SUMIFS('caseload data'!E:E,'caseload data'!$C:$C,'custody %'!$T$78,'caseload data'!$D:$D,"SPO",'caseload data'!$B:$B,"custody")/SUMIFS('caseload data'!E:E,'caseload data'!$B:$B,"custody",'caseload data'!$C:$C,'custody %'!$T$78),"")</f>
        <v/>
      </c>
      <c r="V83" s="175" t="str">
        <f>IFERROR(SUMIFS('caseload data'!F:F,'caseload data'!$C:$C,'custody %'!$T$78,'caseload data'!$D:$D,"SPO",'caseload data'!$B:$B,"custody")/SUMIFS('caseload data'!F:F,'caseload data'!$B:$B,"custody",'caseload data'!$C:$C,'custody %'!$T$78),"")</f>
        <v/>
      </c>
      <c r="W83" s="175" t="str">
        <f>IFERROR(SUMIFS('caseload data'!G:G,'caseload data'!$C:$C,'custody %'!$T$78,'caseload data'!$D:$D,"SPO",'caseload data'!$B:$B,"custody")/SUMIFS('caseload data'!G:G,'caseload data'!$B:$B,"custody",'caseload data'!$C:$C,'custody %'!$T$78),"")</f>
        <v/>
      </c>
      <c r="X83" s="175" t="str">
        <f>IFERROR(SUMIFS('caseload data'!H:H,'caseload data'!$C:$C,'custody %'!$T$78,'caseload data'!$D:$D,"SPO",'caseload data'!$B:$B,"custody")/SUMIFS('caseload data'!H:H,'caseload data'!$B:$B,"custody",'caseload data'!$C:$C,'custody %'!$T$78),"")</f>
        <v/>
      </c>
      <c r="Y83" s="175" t="str">
        <f>IFERROR(SUMIFS('caseload data'!I:I,'caseload data'!$C:$C,'custody %'!$T$78,'caseload data'!$D:$D,"SPO",'caseload data'!$B:$B,"custody")/SUMIFS('caseload data'!I:I,'caseload data'!$B:$B,"custody",'caseload data'!$C:$C,'custody %'!$T$78),"")</f>
        <v/>
      </c>
      <c r="Z83" s="175" t="str">
        <f>IFERROR(SUMIFS('caseload data'!J:J,'caseload data'!$C:$C,'custody %'!$T$78,'caseload data'!$D:$D,"SPO",'caseload data'!$B:$B,"custody")/SUMIFS('caseload data'!J:J,'caseload data'!$B:$B,"custody",'caseload data'!$C:$C,'custody %'!$T$78),"")</f>
        <v/>
      </c>
      <c r="AA83" s="175" t="str">
        <f>IFERROR(SUMIFS('caseload data'!K:K,'caseload data'!$C:$C,'custody %'!$T$78,'caseload data'!$D:$D,"SPO",'caseload data'!$B:$B,"custody")/SUMIFS('caseload data'!K:K,'caseload data'!$B:$B,"custody",'caseload data'!$C:$C,'custody %'!$T$78),"")</f>
        <v/>
      </c>
      <c r="AB83" s="175" t="str">
        <f>IFERROR(SUMIFS('caseload data'!L:L,'caseload data'!$C:$C,'custody %'!$T$78,'caseload data'!$D:$D,"SPO",'caseload data'!$B:$B,"custody")/SUMIFS('caseload data'!L:L,'caseload data'!$B:$B,"custody",'caseload data'!$C:$C,'custody %'!$T$78),"")</f>
        <v/>
      </c>
      <c r="AC83" s="175" t="str">
        <f>IFERROR(SUMIFS('caseload data'!M:M,'caseload data'!$C:$C,'custody %'!$T$78,'caseload data'!$D:$D,"SPO",'caseload data'!$B:$B,"custody")/SUMIFS('caseload data'!M:M,'caseload data'!$B:$B,"custody",'caseload data'!$C:$C,'custody %'!$T$78),"")</f>
        <v/>
      </c>
      <c r="AD83" s="175" t="str">
        <f>IFERROR(SUMIFS('caseload data'!N:N,'caseload data'!$C:$C,'custody %'!$T$78,'caseload data'!$D:$D,"SPO",'caseload data'!$B:$B,"custody")/SUMIFS('caseload data'!N:N,'caseload data'!$B:$B,"custody",'caseload data'!$C:$C,'custody %'!$T$78),"")</f>
        <v/>
      </c>
      <c r="AE83" s="175" t="str">
        <f>IFERROR(SUMIFS('caseload data'!O:O,'caseload data'!$C:$C,'custody %'!$T$78,'caseload data'!$D:$D,"SPO",'caseload data'!$B:$B,"custody")/SUMIFS('caseload data'!O:O,'caseload data'!$B:$B,"custody",'caseload data'!$C:$C,'custody %'!$T$78),"")</f>
        <v/>
      </c>
      <c r="AF83" s="175" t="str">
        <f>IFERROR(SUMIFS('caseload data'!P:P,'caseload data'!$C:$C,'custody %'!$T$78,'caseload data'!$D:$D,"SPO",'caseload data'!$B:$B,"custody")/SUMIFS('caseload data'!P:P,'caseload data'!$B:$B,"custody",'caseload data'!$C:$C,'custody %'!$T$78),"")</f>
        <v/>
      </c>
      <c r="AG83" s="175" t="str">
        <f>IFERROR(SUMIFS('caseload data'!Q:Q,'caseload data'!$C:$C,'custody %'!$T$78,'caseload data'!$D:$D,"SPO",'caseload data'!$B:$B,"custody")/SUMIFS('caseload data'!Q:Q,'caseload data'!$B:$B,"custody",'caseload data'!$C:$C,'custody %'!$T$78),"")</f>
        <v/>
      </c>
      <c r="AH83" s="175" t="str">
        <f>IFERROR(SUMIFS('caseload data'!R:R,'caseload data'!$C:$C,'custody %'!$T$78,'caseload data'!$D:$D,"SPO",'caseload data'!$B:$B,"custody")/SUMIFS('caseload data'!R:R,'caseload data'!$B:$B,"custody",'caseload data'!$C:$C,'custody %'!$T$78),"")</f>
        <v/>
      </c>
      <c r="AI83" s="175"/>
      <c r="AJ83" s="175"/>
    </row>
    <row r="85" spans="2:36" ht="24.75" customHeight="1" x14ac:dyDescent="0.15">
      <c r="B85" s="302" t="str">
        <f>HLOOKUP($B$5,Region_Table,24,0)</f>
        <v>Unpaid Work and Attendance Centres - N07</v>
      </c>
      <c r="C85" s="467" t="s">
        <v>1305</v>
      </c>
      <c r="D85" s="468"/>
      <c r="E85" s="468"/>
      <c r="F85" s="468"/>
      <c r="G85" s="468"/>
      <c r="H85" s="468"/>
      <c r="I85" s="468"/>
      <c r="J85" s="468"/>
      <c r="K85" s="468"/>
      <c r="L85" s="468"/>
      <c r="M85" s="487"/>
      <c r="N85" s="487"/>
      <c r="O85" s="488"/>
      <c r="P85" s="462">
        <f>SUMIF('caseload data'!$C:$C,'custody %'!B85,'caseload data'!V:V)</f>
        <v>0</v>
      </c>
      <c r="Q85" s="479"/>
      <c r="R85" s="480"/>
      <c r="T85" s="302" t="str">
        <f>HLOOKUP($B$5,Region_Table,25,0)</f>
        <v>Wandsworth, Merton and Sutton</v>
      </c>
      <c r="U85" s="467" t="s">
        <v>1305</v>
      </c>
      <c r="V85" s="468"/>
      <c r="W85" s="468"/>
      <c r="X85" s="468"/>
      <c r="Y85" s="468"/>
      <c r="Z85" s="468"/>
      <c r="AA85" s="468"/>
      <c r="AB85" s="468"/>
      <c r="AC85" s="487"/>
      <c r="AD85" s="487"/>
      <c r="AE85" s="488"/>
      <c r="AF85" s="462">
        <f>SUMIF('caseload data'!$C:$C,'custody %'!T85,'caseload data'!V:V)</f>
        <v>0</v>
      </c>
      <c r="AG85" s="479"/>
      <c r="AH85" s="480"/>
    </row>
    <row r="86" spans="2:36" x14ac:dyDescent="0.15">
      <c r="B86" s="99" t="s">
        <v>1170</v>
      </c>
      <c r="C86" s="40" t="s">
        <v>1022</v>
      </c>
      <c r="D86" s="40" t="s">
        <v>1023</v>
      </c>
      <c r="E86" s="40" t="s">
        <v>1024</v>
      </c>
      <c r="F86" s="40" t="s">
        <v>1025</v>
      </c>
      <c r="G86" s="40" t="s">
        <v>1026</v>
      </c>
      <c r="H86" s="40" t="s">
        <v>1027</v>
      </c>
      <c r="I86" s="40" t="s">
        <v>1028</v>
      </c>
      <c r="J86" s="40" t="s">
        <v>1029</v>
      </c>
      <c r="K86" s="40" t="s">
        <v>1030</v>
      </c>
      <c r="L86" s="40" t="s">
        <v>1031</v>
      </c>
      <c r="M86" s="40" t="s">
        <v>1032</v>
      </c>
      <c r="N86" s="40" t="s">
        <v>1033</v>
      </c>
      <c r="O86" s="40" t="s">
        <v>1034</v>
      </c>
      <c r="P86" s="40" t="s">
        <v>1035</v>
      </c>
      <c r="Q86" s="40" t="s">
        <v>1036</v>
      </c>
      <c r="R86" s="40" t="s">
        <v>1037</v>
      </c>
      <c r="T86" s="99" t="s">
        <v>1170</v>
      </c>
      <c r="U86" s="40" t="s">
        <v>1022</v>
      </c>
      <c r="V86" s="40" t="s">
        <v>1023</v>
      </c>
      <c r="W86" s="40" t="s">
        <v>1024</v>
      </c>
      <c r="X86" s="40" t="s">
        <v>1025</v>
      </c>
      <c r="Y86" s="40" t="s">
        <v>1026</v>
      </c>
      <c r="Z86" s="40" t="s">
        <v>1027</v>
      </c>
      <c r="AA86" s="40" t="s">
        <v>1028</v>
      </c>
      <c r="AB86" s="40" t="s">
        <v>1029</v>
      </c>
      <c r="AC86" s="40" t="s">
        <v>1030</v>
      </c>
      <c r="AD86" s="40" t="s">
        <v>1031</v>
      </c>
      <c r="AE86" s="40" t="s">
        <v>1032</v>
      </c>
      <c r="AF86" s="40" t="s">
        <v>1033</v>
      </c>
      <c r="AG86" s="40" t="s">
        <v>1034</v>
      </c>
      <c r="AH86" s="40" t="s">
        <v>1035</v>
      </c>
      <c r="AI86" s="40" t="s">
        <v>1036</v>
      </c>
      <c r="AJ86" s="40" t="s">
        <v>1037</v>
      </c>
    </row>
    <row r="87" spans="2:36" x14ac:dyDescent="0.15">
      <c r="B87" s="100" t="s">
        <v>1166</v>
      </c>
      <c r="C87" s="175" t="str">
        <f>IFERROR(SUMIFS('caseload data'!E:E,'caseload data'!$C:$C,'custody %'!$B$85,'caseload data'!$D:$D,"PO",'caseload data'!$B:$B,"custody")/SUMIFS('caseload data'!E:E,'caseload data'!$B:$B,"custody",'caseload data'!$C:$C,'custody %'!$B$85),"")</f>
        <v/>
      </c>
      <c r="D87" s="175" t="str">
        <f>IFERROR(SUMIFS('caseload data'!F:F,'caseload data'!$C:$C,'custody %'!$B$85,'caseload data'!$D:$D,"PO",'caseload data'!$B:$B,"custody")/SUMIFS('caseload data'!F:F,'caseload data'!$B:$B,"custody",'caseload data'!$C:$C,'custody %'!$B$85),"")</f>
        <v/>
      </c>
      <c r="E87" s="175" t="str">
        <f>IFERROR(SUMIFS('caseload data'!G:G,'caseload data'!$C:$C,'custody %'!$B$85,'caseload data'!$D:$D,"PO",'caseload data'!$B:$B,"custody")/SUMIFS('caseload data'!G:G,'caseload data'!$B:$B,"custody",'caseload data'!$C:$C,'custody %'!$B$85),"")</f>
        <v/>
      </c>
      <c r="F87" s="175" t="str">
        <f>IFERROR(SUMIFS('caseload data'!H:H,'caseload data'!$C:$C,'custody %'!$B$85,'caseload data'!$D:$D,"PO",'caseload data'!$B:$B,"custody")/SUMIFS('caseload data'!H:H,'caseload data'!$B:$B,"custody",'caseload data'!$C:$C,'custody %'!$B$85),"")</f>
        <v/>
      </c>
      <c r="G87" s="175" t="str">
        <f>IFERROR(SUMIFS('caseload data'!I:I,'caseload data'!$C:$C,'custody %'!$B$85,'caseload data'!$D:$D,"PO",'caseload data'!$B:$B,"custody")/SUMIFS('caseload data'!I:I,'caseload data'!$B:$B,"custody",'caseload data'!$C:$C,'custody %'!$B$85),"")</f>
        <v/>
      </c>
      <c r="H87" s="175" t="str">
        <f>IFERROR(SUMIFS('caseload data'!J:J,'caseload data'!$C:$C,'custody %'!$B$85,'caseload data'!$D:$D,"PO",'caseload data'!$B:$B,"custody")/SUMIFS('caseload data'!J:J,'caseload data'!$B:$B,"custody",'caseload data'!$C:$C,'custody %'!$B$85),"")</f>
        <v/>
      </c>
      <c r="I87" s="175" t="str">
        <f>IFERROR(SUMIFS('caseload data'!K:K,'caseload data'!$C:$C,'custody %'!$B$85,'caseload data'!$D:$D,"PO",'caseload data'!$B:$B,"custody")/SUMIFS('caseload data'!K:K,'caseload data'!$B:$B,"custody",'caseload data'!$C:$C,'custody %'!$B$85),"")</f>
        <v/>
      </c>
      <c r="J87" s="175" t="str">
        <f>IFERROR(SUMIFS('caseload data'!L:L,'caseload data'!$C:$C,'custody %'!$B$85,'caseload data'!$D:$D,"PO",'caseload data'!$B:$B,"custody")/SUMIFS('caseload data'!L:L,'caseload data'!$B:$B,"custody",'caseload data'!$C:$C,'custody %'!$B$85),"")</f>
        <v/>
      </c>
      <c r="K87" s="175" t="str">
        <f>IFERROR(SUMIFS('caseload data'!M:M,'caseload data'!$C:$C,'custody %'!$B$85,'caseload data'!$D:$D,"PO",'caseload data'!$B:$B,"custody")/SUMIFS('caseload data'!M:M,'caseload data'!$B:$B,"custody",'caseload data'!$C:$C,'custody %'!$B$85),"")</f>
        <v/>
      </c>
      <c r="L87" s="175" t="str">
        <f>IFERROR(SUMIFS('caseload data'!N:N,'caseload data'!$C:$C,'custody %'!$B$85,'caseload data'!$D:$D,"PO",'caseload data'!$B:$B,"custody")/SUMIFS('caseload data'!N:N,'caseload data'!$B:$B,"custody",'caseload data'!$C:$C,'custody %'!$B$85),"")</f>
        <v/>
      </c>
      <c r="M87" s="175" t="str">
        <f>IFERROR(SUMIFS('caseload data'!O:O,'caseload data'!$C:$C,'custody %'!$B$85,'caseload data'!$D:$D,"PO",'caseload data'!$B:$B,"custody")/SUMIFS('caseload data'!O:O,'caseload data'!$B:$B,"custody",'caseload data'!$C:$C,'custody %'!$B$85),"")</f>
        <v/>
      </c>
      <c r="N87" s="175" t="str">
        <f>IFERROR(SUMIFS('caseload data'!P:P,'caseload data'!$C:$C,'custody %'!$B$85,'caseload data'!$D:$D,"PO",'caseload data'!$B:$B,"custody")/SUMIFS('caseload data'!P:P,'caseload data'!$B:$B,"custody",'caseload data'!$C:$C,'custody %'!$B$85),"")</f>
        <v/>
      </c>
      <c r="O87" s="175" t="str">
        <f>IFERROR(SUMIFS('caseload data'!Q:Q,'caseload data'!$C:$C,'custody %'!$B$85,'caseload data'!$D:$D,"PO",'caseload data'!$B:$B,"custody")/SUMIFS('caseload data'!Q:Q,'caseload data'!$B:$B,"custody",'caseload data'!$C:$C,'custody %'!$B$85),"")</f>
        <v/>
      </c>
      <c r="P87" s="175" t="str">
        <f>IFERROR(SUMIFS('caseload data'!R:R,'caseload data'!$C:$C,'custody %'!$B$85,'caseload data'!$D:$D,"PO",'caseload data'!$B:$B,"custody")/SUMIFS('caseload data'!R:R,'caseload data'!$B:$B,"custody",'caseload data'!$C:$C,'custody %'!$B$85),"")</f>
        <v/>
      </c>
      <c r="Q87" s="175" t="str">
        <f>IFERROR(SUMIFS('caseload data'!S:S,'caseload data'!$C:$C,'custody %'!$B$85,'caseload data'!$D:$D,"PO",'caseload data'!$B:$B,"custody")/SUMIFS('caseload data'!S:S,'caseload data'!$B:$B,"custody",'caseload data'!$C:$C,'custody %'!$B$85),"")</f>
        <v/>
      </c>
      <c r="R87" s="175" t="str">
        <f>IFERROR(SUMIFS('caseload data'!T:T,'caseload data'!$C:$C,'custody %'!$B$85,'caseload data'!$D:$D,"PO",'caseload data'!$B:$B,"custody")/SUMIFS('caseload data'!T:T,'caseload data'!$B:$B,"custody",'caseload data'!$C:$C,'custody %'!$B$85),"")</f>
        <v/>
      </c>
      <c r="T87" s="100" t="s">
        <v>1166</v>
      </c>
      <c r="U87" s="175" t="str">
        <f>IFERROR(SUMIFS('caseload data'!E:E,'caseload data'!$C:$C,'custody %'!$T$85,'caseload data'!$D:$D,"PO",'caseload data'!$B:$B,"custody")/SUMIFS('caseload data'!E:E,'caseload data'!$B:$B,"custody",'caseload data'!$C:$C,'custody %'!$T$85),"")</f>
        <v/>
      </c>
      <c r="V87" s="175" t="str">
        <f>IFERROR(SUMIFS('caseload data'!F:F,'caseload data'!$C:$C,'custody %'!$T$85,'caseload data'!$D:$D,"PO",'caseload data'!$B:$B,"custody")/SUMIFS('caseload data'!F:F,'caseload data'!$B:$B,"custody",'caseload data'!$C:$C,'custody %'!$T$85),"")</f>
        <v/>
      </c>
      <c r="W87" s="175" t="str">
        <f>IFERROR(SUMIFS('caseload data'!G:G,'caseload data'!$C:$C,'custody %'!$T$85,'caseload data'!$D:$D,"PO",'caseload data'!$B:$B,"custody")/SUMIFS('caseload data'!G:G,'caseload data'!$B:$B,"custody",'caseload data'!$C:$C,'custody %'!$T$85),"")</f>
        <v/>
      </c>
      <c r="X87" s="175" t="str">
        <f>IFERROR(SUMIFS('caseload data'!H:H,'caseload data'!$C:$C,'custody %'!$T$85,'caseload data'!$D:$D,"PO",'caseload data'!$B:$B,"custody")/SUMIFS('caseload data'!H:H,'caseload data'!$B:$B,"custody",'caseload data'!$C:$C,'custody %'!$T$85),"")</f>
        <v/>
      </c>
      <c r="Y87" s="175" t="str">
        <f>IFERROR(SUMIFS('caseload data'!I:I,'caseload data'!$C:$C,'custody %'!$T$85,'caseload data'!$D:$D,"PO",'caseload data'!$B:$B,"custody")/SUMIFS('caseload data'!I:I,'caseload data'!$B:$B,"custody",'caseload data'!$C:$C,'custody %'!$T$85),"")</f>
        <v/>
      </c>
      <c r="Z87" s="175" t="str">
        <f>IFERROR(SUMIFS('caseload data'!J:J,'caseload data'!$C:$C,'custody %'!$T$85,'caseload data'!$D:$D,"PO",'caseload data'!$B:$B,"custody")/SUMIFS('caseload data'!J:J,'caseload data'!$B:$B,"custody",'caseload data'!$C:$C,'custody %'!$T$85),"")</f>
        <v/>
      </c>
      <c r="AA87" s="175" t="str">
        <f>IFERROR(SUMIFS('caseload data'!K:K,'caseload data'!$C:$C,'custody %'!$T$85,'caseload data'!$D:$D,"PO",'caseload data'!$B:$B,"custody")/SUMIFS('caseload data'!K:K,'caseload data'!$B:$B,"custody",'caseload data'!$C:$C,'custody %'!$T$85),"")</f>
        <v/>
      </c>
      <c r="AB87" s="175" t="str">
        <f>IFERROR(SUMIFS('caseload data'!L:L,'caseload data'!$C:$C,'custody %'!$T$85,'caseload data'!$D:$D,"PO",'caseload data'!$B:$B,"custody")/SUMIFS('caseload data'!L:L,'caseload data'!$B:$B,"custody",'caseload data'!$C:$C,'custody %'!$T$85),"")</f>
        <v/>
      </c>
      <c r="AC87" s="175" t="str">
        <f>IFERROR(SUMIFS('caseload data'!M:M,'caseload data'!$C:$C,'custody %'!$T$85,'caseload data'!$D:$D,"PO",'caseload data'!$B:$B,"custody")/SUMIFS('caseload data'!M:M,'caseload data'!$B:$B,"custody",'caseload data'!$C:$C,'custody %'!$T$85),"")</f>
        <v/>
      </c>
      <c r="AD87" s="175" t="str">
        <f>IFERROR(SUMIFS('caseload data'!N:N,'caseload data'!$C:$C,'custody %'!$T$85,'caseload data'!$D:$D,"PO",'caseload data'!$B:$B,"custody")/SUMIFS('caseload data'!N:N,'caseload data'!$B:$B,"custody",'caseload data'!$C:$C,'custody %'!$T$85),"")</f>
        <v/>
      </c>
      <c r="AE87" s="175" t="str">
        <f>IFERROR(SUMIFS('caseload data'!O:O,'caseload data'!$C:$C,'custody %'!$T$85,'caseload data'!$D:$D,"PO",'caseload data'!$B:$B,"custody")/SUMIFS('caseload data'!O:O,'caseload data'!$B:$B,"custody",'caseload data'!$C:$C,'custody %'!$T$85),"")</f>
        <v/>
      </c>
      <c r="AF87" s="175" t="str">
        <f>IFERROR(SUMIFS('caseload data'!P:P,'caseload data'!$C:$C,'custody %'!$T$85,'caseload data'!$D:$D,"PO",'caseload data'!$B:$B,"custody")/SUMIFS('caseload data'!P:P,'caseload data'!$B:$B,"custody",'caseload data'!$C:$C,'custody %'!$T$85),"")</f>
        <v/>
      </c>
      <c r="AG87" s="175" t="str">
        <f>IFERROR(SUMIFS('caseload data'!Q:Q,'caseload data'!$C:$C,'custody %'!$T$85,'caseload data'!$D:$D,"PO",'caseload data'!$B:$B,"custody")/SUMIFS('caseload data'!Q:Q,'caseload data'!$B:$B,"custody",'caseload data'!$C:$C,'custody %'!$T$85),"")</f>
        <v/>
      </c>
      <c r="AH87" s="175" t="str">
        <f>IFERROR(SUMIFS('caseload data'!R:R,'caseload data'!$C:$C,'custody %'!$T$85,'caseload data'!$D:$D,"PO",'caseload data'!$B:$B,"custody")/SUMIFS('caseload data'!R:R,'caseload data'!$B:$B,"custody",'caseload data'!$C:$C,'custody %'!$T$85),"")</f>
        <v/>
      </c>
      <c r="AI87" s="175"/>
      <c r="AJ87" s="175"/>
    </row>
    <row r="88" spans="2:36" x14ac:dyDescent="0.15">
      <c r="B88" s="101" t="s">
        <v>1172</v>
      </c>
      <c r="C88" s="175" t="str">
        <f>IFERROR(SUMIFS('caseload data'!E:E,'caseload data'!$C:$C,'custody %'!$B$85,'caseload data'!$D:$D,"PSO",'caseload data'!$B:$B,"custody")/SUMIFS('caseload data'!E:E,'caseload data'!$B:$B,"custody",'caseload data'!$C:$C,'custody %'!$B$85),"")</f>
        <v/>
      </c>
      <c r="D88" s="175" t="str">
        <f>IFERROR(SUMIFS('caseload data'!F:F,'caseload data'!$C:$C,'custody %'!$B$85,'caseload data'!$D:$D,"PSO",'caseload data'!$B:$B,"custody")/SUMIFS('caseload data'!F:F,'caseload data'!$B:$B,"custody",'caseload data'!$C:$C,'custody %'!$B$85),"")</f>
        <v/>
      </c>
      <c r="E88" s="175" t="str">
        <f>IFERROR(SUMIFS('caseload data'!G:G,'caseload data'!$C:$C,'custody %'!$B$85,'caseload data'!$D:$D,"PSO",'caseload data'!$B:$B,"custody")/SUMIFS('caseload data'!G:G,'caseload data'!$B:$B,"custody",'caseload data'!$C:$C,'custody %'!$B$85),"")</f>
        <v/>
      </c>
      <c r="F88" s="175" t="str">
        <f>IFERROR(SUMIFS('caseload data'!H:H,'caseload data'!$C:$C,'custody %'!$B$85,'caseload data'!$D:$D,"PSO",'caseload data'!$B:$B,"custody")/SUMIFS('caseload data'!H:H,'caseload data'!$B:$B,"custody",'caseload data'!$C:$C,'custody %'!$B$85),"")</f>
        <v/>
      </c>
      <c r="G88" s="175" t="str">
        <f>IFERROR(SUMIFS('caseload data'!I:I,'caseload data'!$C:$C,'custody %'!$B$85,'caseload data'!$D:$D,"PSO",'caseload data'!$B:$B,"custody")/SUMIFS('caseload data'!I:I,'caseload data'!$B:$B,"custody",'caseload data'!$C:$C,'custody %'!$B$85),"")</f>
        <v/>
      </c>
      <c r="H88" s="175" t="str">
        <f>IFERROR(SUMIFS('caseload data'!J:J,'caseload data'!$C:$C,'custody %'!$B$85,'caseload data'!$D:$D,"PSO",'caseload data'!$B:$B,"custody")/SUMIFS('caseload data'!J:J,'caseload data'!$B:$B,"custody",'caseload data'!$C:$C,'custody %'!$B$85),"")</f>
        <v/>
      </c>
      <c r="I88" s="175" t="str">
        <f>IFERROR(SUMIFS('caseload data'!K:K,'caseload data'!$C:$C,'custody %'!$B$85,'caseload data'!$D:$D,"PSO",'caseload data'!$B:$B,"custody")/SUMIFS('caseload data'!K:K,'caseload data'!$B:$B,"custody",'caseload data'!$C:$C,'custody %'!$B$85),"")</f>
        <v/>
      </c>
      <c r="J88" s="175" t="str">
        <f>IFERROR(SUMIFS('caseload data'!L:L,'caseload data'!$C:$C,'custody %'!$B$85,'caseload data'!$D:$D,"PSO",'caseload data'!$B:$B,"custody")/SUMIFS('caseload data'!L:L,'caseload data'!$B:$B,"custody",'caseload data'!$C:$C,'custody %'!$B$85),"")</f>
        <v/>
      </c>
      <c r="K88" s="175" t="str">
        <f>IFERROR(SUMIFS('caseload data'!M:M,'caseload data'!$C:$C,'custody %'!$B$85,'caseload data'!$D:$D,"PSO",'caseload data'!$B:$B,"custody")/SUMIFS('caseload data'!M:M,'caseload data'!$B:$B,"custody",'caseload data'!$C:$C,'custody %'!$B$85),"")</f>
        <v/>
      </c>
      <c r="L88" s="175" t="str">
        <f>IFERROR(SUMIFS('caseload data'!N:N,'caseload data'!$C:$C,'custody %'!$B$85,'caseload data'!$D:$D,"PSO",'caseload data'!$B:$B,"custody")/SUMIFS('caseload data'!N:N,'caseload data'!$B:$B,"custody",'caseload data'!$C:$C,'custody %'!$B$85),"")</f>
        <v/>
      </c>
      <c r="M88" s="175" t="str">
        <f>IFERROR(SUMIFS('caseload data'!O:O,'caseload data'!$C:$C,'custody %'!$B$85,'caseload data'!$D:$D,"PSO",'caseload data'!$B:$B,"custody")/SUMIFS('caseload data'!O:O,'caseload data'!$B:$B,"custody",'caseload data'!$C:$C,'custody %'!$B$85),"")</f>
        <v/>
      </c>
      <c r="N88" s="175" t="str">
        <f>IFERROR(SUMIFS('caseload data'!P:P,'caseload data'!$C:$C,'custody %'!$B$85,'caseload data'!$D:$D,"PSO",'caseload data'!$B:$B,"custody")/SUMIFS('caseload data'!P:P,'caseload data'!$B:$B,"custody",'caseload data'!$C:$C,'custody %'!$B$85),"")</f>
        <v/>
      </c>
      <c r="O88" s="175" t="str">
        <f>IFERROR(SUMIFS('caseload data'!Q:Q,'caseload data'!$C:$C,'custody %'!$B$85,'caseload data'!$D:$D,"PSO",'caseload data'!$B:$B,"custody")/SUMIFS('caseload data'!Q:Q,'caseload data'!$B:$B,"custody",'caseload data'!$C:$C,'custody %'!$B$85),"")</f>
        <v/>
      </c>
      <c r="P88" s="175" t="str">
        <f>IFERROR(SUMIFS('caseload data'!R:R,'caseload data'!$C:$C,'custody %'!$B$85,'caseload data'!$D:$D,"PSO",'caseload data'!$B:$B,"custody")/SUMIFS('caseload data'!R:R,'caseload data'!$B:$B,"custody",'caseload data'!$C:$C,'custody %'!$B$85),"")</f>
        <v/>
      </c>
      <c r="Q88" s="175" t="str">
        <f>IFERROR(SUMIFS('caseload data'!S:S,'caseload data'!$C:$C,'custody %'!$B$85,'caseload data'!$D:$D,"PSO",'caseload data'!$B:$B,"custody")/SUMIFS('caseload data'!S:S,'caseload data'!$B:$B,"custody",'caseload data'!$C:$C,'custody %'!$B$85),"")</f>
        <v/>
      </c>
      <c r="R88" s="175" t="str">
        <f>IFERROR(SUMIFS('caseload data'!T:T,'caseload data'!$C:$C,'custody %'!$B$85,'caseload data'!$D:$D,"PSO",'caseload data'!$B:$B,"custody")/SUMIFS('caseload data'!T:T,'caseload data'!$B:$B,"custody",'caseload data'!$C:$C,'custody %'!$B$85),"")</f>
        <v/>
      </c>
      <c r="T88" s="101" t="s">
        <v>1172</v>
      </c>
      <c r="U88" s="175" t="str">
        <f>IFERROR(SUMIFS('caseload data'!E:E,'caseload data'!$C:$C,'custody %'!$T$85,'caseload data'!$D:$D,"PSO",'caseload data'!$B:$B,"custody")/SUMIFS('caseload data'!E:E,'caseload data'!$B:$B,"custody",'caseload data'!$C:$C,'custody %'!$T$85),"")</f>
        <v/>
      </c>
      <c r="V88" s="175" t="str">
        <f>IFERROR(SUMIFS('caseload data'!F:F,'caseload data'!$C:$C,'custody %'!$T$85,'caseload data'!$D:$D,"PSO",'caseload data'!$B:$B,"custody")/SUMIFS('caseload data'!F:F,'caseload data'!$B:$B,"custody",'caseload data'!$C:$C,'custody %'!$T$85),"")</f>
        <v/>
      </c>
      <c r="W88" s="175" t="str">
        <f>IFERROR(SUMIFS('caseload data'!G:G,'caseload data'!$C:$C,'custody %'!$T$85,'caseload data'!$D:$D,"PSO",'caseload data'!$B:$B,"custody")/SUMIFS('caseload data'!G:G,'caseload data'!$B:$B,"custody",'caseload data'!$C:$C,'custody %'!$T$85),"")</f>
        <v/>
      </c>
      <c r="X88" s="175" t="str">
        <f>IFERROR(SUMIFS('caseload data'!H:H,'caseload data'!$C:$C,'custody %'!$T$85,'caseload data'!$D:$D,"PSO",'caseload data'!$B:$B,"custody")/SUMIFS('caseload data'!H:H,'caseload data'!$B:$B,"custody",'caseload data'!$C:$C,'custody %'!$T$85),"")</f>
        <v/>
      </c>
      <c r="Y88" s="175" t="str">
        <f>IFERROR(SUMIFS('caseload data'!I:I,'caseload data'!$C:$C,'custody %'!$T$85,'caseload data'!$D:$D,"PSO",'caseload data'!$B:$B,"custody")/SUMIFS('caseload data'!I:I,'caseload data'!$B:$B,"custody",'caseload data'!$C:$C,'custody %'!$T$85),"")</f>
        <v/>
      </c>
      <c r="Z88" s="175" t="str">
        <f>IFERROR(SUMIFS('caseload data'!J:J,'caseload data'!$C:$C,'custody %'!$T$85,'caseload data'!$D:$D,"PSO",'caseload data'!$B:$B,"custody")/SUMIFS('caseload data'!J:J,'caseload data'!$B:$B,"custody",'caseload data'!$C:$C,'custody %'!$T$85),"")</f>
        <v/>
      </c>
      <c r="AA88" s="175" t="str">
        <f>IFERROR(SUMIFS('caseload data'!K:K,'caseload data'!$C:$C,'custody %'!$T$85,'caseload data'!$D:$D,"PSO",'caseload data'!$B:$B,"custody")/SUMIFS('caseload data'!K:K,'caseload data'!$B:$B,"custody",'caseload data'!$C:$C,'custody %'!$T$85),"")</f>
        <v/>
      </c>
      <c r="AB88" s="175" t="str">
        <f>IFERROR(SUMIFS('caseload data'!L:L,'caseload data'!$C:$C,'custody %'!$T$85,'caseload data'!$D:$D,"PSO",'caseload data'!$B:$B,"custody")/SUMIFS('caseload data'!L:L,'caseload data'!$B:$B,"custody",'caseload data'!$C:$C,'custody %'!$T$85),"")</f>
        <v/>
      </c>
      <c r="AC88" s="175" t="str">
        <f>IFERROR(SUMIFS('caseload data'!M:M,'caseload data'!$C:$C,'custody %'!$T$85,'caseload data'!$D:$D,"PSO",'caseload data'!$B:$B,"custody")/SUMIFS('caseload data'!M:M,'caseload data'!$B:$B,"custody",'caseload data'!$C:$C,'custody %'!$T$85),"")</f>
        <v/>
      </c>
      <c r="AD88" s="175" t="str">
        <f>IFERROR(SUMIFS('caseload data'!N:N,'caseload data'!$C:$C,'custody %'!$T$85,'caseload data'!$D:$D,"PSO",'caseload data'!$B:$B,"custody")/SUMIFS('caseload data'!N:N,'caseload data'!$B:$B,"custody",'caseload data'!$C:$C,'custody %'!$T$85),"")</f>
        <v/>
      </c>
      <c r="AE88" s="175" t="str">
        <f>IFERROR(SUMIFS('caseload data'!O:O,'caseload data'!$C:$C,'custody %'!$T$85,'caseload data'!$D:$D,"PSO",'caseload data'!$B:$B,"custody")/SUMIFS('caseload data'!O:O,'caseload data'!$B:$B,"custody",'caseload data'!$C:$C,'custody %'!$T$85),"")</f>
        <v/>
      </c>
      <c r="AF88" s="175" t="str">
        <f>IFERROR(SUMIFS('caseload data'!P:P,'caseload data'!$C:$C,'custody %'!$T$85,'caseload data'!$D:$D,"PSO",'caseload data'!$B:$B,"custody")/SUMIFS('caseload data'!P:P,'caseload data'!$B:$B,"custody",'caseload data'!$C:$C,'custody %'!$T$85),"")</f>
        <v/>
      </c>
      <c r="AG88" s="175" t="str">
        <f>IFERROR(SUMIFS('caseload data'!Q:Q,'caseload data'!$C:$C,'custody %'!$T$85,'caseload data'!$D:$D,"PSO",'caseload data'!$B:$B,"custody")/SUMIFS('caseload data'!Q:Q,'caseload data'!$B:$B,"custody",'caseload data'!$C:$C,'custody %'!$T$85),"")</f>
        <v/>
      </c>
      <c r="AH88" s="175" t="str">
        <f>IFERROR(SUMIFS('caseload data'!R:R,'caseload data'!$C:$C,'custody %'!$T$85,'caseload data'!$D:$D,"PSO",'caseload data'!$B:$B,"custody")/SUMIFS('caseload data'!R:R,'caseload data'!$B:$B,"custody",'caseload data'!$C:$C,'custody %'!$T$85),"")</f>
        <v/>
      </c>
      <c r="AI88" s="175"/>
      <c r="AJ88" s="175"/>
    </row>
    <row r="89" spans="2:36" x14ac:dyDescent="0.15">
      <c r="B89" s="101" t="s">
        <v>1173</v>
      </c>
      <c r="C89" s="175" t="str">
        <f>IFERROR(SUMIFS('caseload data'!E:E,'caseload data'!$C:$C,'custody %'!$B$85,'caseload data'!$D:$D,"TPO",'caseload data'!$B:$B,"custody")/SUMIFS('caseload data'!E:E,'caseload data'!$B:$B,"custody",'caseload data'!$C:$C,'custody %'!$B$85),"")</f>
        <v/>
      </c>
      <c r="D89" s="175" t="str">
        <f>IFERROR(SUMIFS('caseload data'!F:F,'caseload data'!$C:$C,'custody %'!$B$85,'caseload data'!$D:$D,"TPO",'caseload data'!$B:$B,"custody")/SUMIFS('caseload data'!F:F,'caseload data'!$B:$B,"custody",'caseload data'!$C:$C,'custody %'!$B$85),"")</f>
        <v/>
      </c>
      <c r="E89" s="175" t="str">
        <f>IFERROR(SUMIFS('caseload data'!G:G,'caseload data'!$C:$C,'custody %'!$B$85,'caseload data'!$D:$D,"TPO",'caseload data'!$B:$B,"custody")/SUMIFS('caseload data'!G:G,'caseload data'!$B:$B,"custody",'caseload data'!$C:$C,'custody %'!$B$85),"")</f>
        <v/>
      </c>
      <c r="F89" s="175" t="str">
        <f>IFERROR(SUMIFS('caseload data'!H:H,'caseload data'!$C:$C,'custody %'!$B$85,'caseload data'!$D:$D,"TPO",'caseload data'!$B:$B,"custody")/SUMIFS('caseload data'!H:H,'caseload data'!$B:$B,"custody",'caseload data'!$C:$C,'custody %'!$B$85),"")</f>
        <v/>
      </c>
      <c r="G89" s="175" t="str">
        <f>IFERROR(SUMIFS('caseload data'!I:I,'caseload data'!$C:$C,'custody %'!$B$85,'caseload data'!$D:$D,"TPO",'caseload data'!$B:$B,"custody")/SUMIFS('caseload data'!I:I,'caseload data'!$B:$B,"custody",'caseload data'!$C:$C,'custody %'!$B$85),"")</f>
        <v/>
      </c>
      <c r="H89" s="175" t="str">
        <f>IFERROR(SUMIFS('caseload data'!J:J,'caseload data'!$C:$C,'custody %'!$B$85,'caseload data'!$D:$D,"TPO",'caseload data'!$B:$B,"custody")/SUMIFS('caseload data'!J:J,'caseload data'!$B:$B,"custody",'caseload data'!$C:$C,'custody %'!$B$85),"")</f>
        <v/>
      </c>
      <c r="I89" s="175" t="str">
        <f>IFERROR(SUMIFS('caseload data'!K:K,'caseload data'!$C:$C,'custody %'!$B$85,'caseload data'!$D:$D,"TPO",'caseload data'!$B:$B,"custody")/SUMIFS('caseload data'!K:K,'caseload data'!$B:$B,"custody",'caseload data'!$C:$C,'custody %'!$B$85),"")</f>
        <v/>
      </c>
      <c r="J89" s="175" t="str">
        <f>IFERROR(SUMIFS('caseload data'!L:L,'caseload data'!$C:$C,'custody %'!$B$85,'caseload data'!$D:$D,"TPO",'caseload data'!$B:$B,"custody")/SUMIFS('caseload data'!L:L,'caseload data'!$B:$B,"custody",'caseload data'!$C:$C,'custody %'!$B$85),"")</f>
        <v/>
      </c>
      <c r="K89" s="175" t="str">
        <f>IFERROR(SUMIFS('caseload data'!M:M,'caseload data'!$C:$C,'custody %'!$B$85,'caseload data'!$D:$D,"TPO",'caseload data'!$B:$B,"custody")/SUMIFS('caseload data'!M:M,'caseload data'!$B:$B,"custody",'caseload data'!$C:$C,'custody %'!$B$85),"")</f>
        <v/>
      </c>
      <c r="L89" s="175" t="str">
        <f>IFERROR(SUMIFS('caseload data'!N:N,'caseload data'!$C:$C,'custody %'!$B$85,'caseload data'!$D:$D,"TPO",'caseload data'!$B:$B,"custody")/SUMIFS('caseload data'!N:N,'caseload data'!$B:$B,"custody",'caseload data'!$C:$C,'custody %'!$B$85),"")</f>
        <v/>
      </c>
      <c r="M89" s="175" t="str">
        <f>IFERROR(SUMIFS('caseload data'!O:O,'caseload data'!$C:$C,'custody %'!$B$85,'caseload data'!$D:$D,"TPO",'caseload data'!$B:$B,"custody")/SUMIFS('caseload data'!O:O,'caseload data'!$B:$B,"custody",'caseload data'!$C:$C,'custody %'!$B$85),"")</f>
        <v/>
      </c>
      <c r="N89" s="175" t="str">
        <f>IFERROR(SUMIFS('caseload data'!P:P,'caseload data'!$C:$C,'custody %'!$B$85,'caseload data'!$D:$D,"TPO",'caseload data'!$B:$B,"custody")/SUMIFS('caseload data'!P:P,'caseload data'!$B:$B,"custody",'caseload data'!$C:$C,'custody %'!$B$85),"")</f>
        <v/>
      </c>
      <c r="O89" s="175" t="str">
        <f>IFERROR(SUMIFS('caseload data'!Q:Q,'caseload data'!$C:$C,'custody %'!$B$85,'caseload data'!$D:$D,"TPO",'caseload data'!$B:$B,"custody")/SUMIFS('caseload data'!Q:Q,'caseload data'!$B:$B,"custody",'caseload data'!$C:$C,'custody %'!$B$85),"")</f>
        <v/>
      </c>
      <c r="P89" s="175" t="str">
        <f>IFERROR(SUMIFS('caseload data'!R:R,'caseload data'!$C:$C,'custody %'!$B$85,'caseload data'!$D:$D,"TPO",'caseload data'!$B:$B,"custody")/SUMIFS('caseload data'!R:R,'caseload data'!$B:$B,"custody",'caseload data'!$C:$C,'custody %'!$B$85),"")</f>
        <v/>
      </c>
      <c r="Q89" s="175" t="str">
        <f>IFERROR(SUMIFS('caseload data'!S:S,'caseload data'!$C:$C,'custody %'!$B$85,'caseload data'!$D:$D,"TPO",'caseload data'!$B:$B,"custody")/SUMIFS('caseload data'!S:S,'caseload data'!$B:$B,"custody",'caseload data'!$C:$C,'custody %'!$B$85),"")</f>
        <v/>
      </c>
      <c r="R89" s="175" t="str">
        <f>IFERROR(SUMIFS('caseload data'!T:T,'caseload data'!$C:$C,'custody %'!$B$85,'caseload data'!$D:$D,"TPO",'caseload data'!$B:$B,"custody")/SUMIFS('caseload data'!T:T,'caseload data'!$B:$B,"custody",'caseload data'!$C:$C,'custody %'!$B$85),"")</f>
        <v/>
      </c>
      <c r="T89" s="101" t="s">
        <v>1173</v>
      </c>
      <c r="U89" s="175" t="str">
        <f>IFERROR(SUMIFS('caseload data'!E:E,'caseload data'!$C:$C,'custody %'!$T$85,'caseload data'!$D:$D,"TPO",'caseload data'!$B:$B,"custody")/SUMIFS('caseload data'!E:E,'caseload data'!$B:$B,"custody",'caseload data'!$C:$C,'custody %'!$T$85),"")</f>
        <v/>
      </c>
      <c r="V89" s="175" t="str">
        <f>IFERROR(SUMIFS('caseload data'!F:F,'caseload data'!$C:$C,'custody %'!$T$85,'caseload data'!$D:$D,"TPO",'caseload data'!$B:$B,"custody")/SUMIFS('caseload data'!F:F,'caseload data'!$B:$B,"custody",'caseload data'!$C:$C,'custody %'!$T$85),"")</f>
        <v/>
      </c>
      <c r="W89" s="175" t="str">
        <f>IFERROR(SUMIFS('caseload data'!G:G,'caseload data'!$C:$C,'custody %'!$T$85,'caseload data'!$D:$D,"TPO",'caseload data'!$B:$B,"custody")/SUMIFS('caseload data'!G:G,'caseload data'!$B:$B,"custody",'caseload data'!$C:$C,'custody %'!$T$85),"")</f>
        <v/>
      </c>
      <c r="X89" s="175" t="str">
        <f>IFERROR(SUMIFS('caseload data'!H:H,'caseload data'!$C:$C,'custody %'!$T$85,'caseload data'!$D:$D,"TPO",'caseload data'!$B:$B,"custody")/SUMIFS('caseload data'!H:H,'caseload data'!$B:$B,"custody",'caseload data'!$C:$C,'custody %'!$T$85),"")</f>
        <v/>
      </c>
      <c r="Y89" s="175" t="str">
        <f>IFERROR(SUMIFS('caseload data'!I:I,'caseload data'!$C:$C,'custody %'!$T$85,'caseload data'!$D:$D,"TPO",'caseload data'!$B:$B,"custody")/SUMIFS('caseload data'!I:I,'caseload data'!$B:$B,"custody",'caseload data'!$C:$C,'custody %'!$T$85),"")</f>
        <v/>
      </c>
      <c r="Z89" s="175" t="str">
        <f>IFERROR(SUMIFS('caseload data'!J:J,'caseload data'!$C:$C,'custody %'!$T$85,'caseload data'!$D:$D,"TPO",'caseload data'!$B:$B,"custody")/SUMIFS('caseload data'!J:J,'caseload data'!$B:$B,"custody",'caseload data'!$C:$C,'custody %'!$T$85),"")</f>
        <v/>
      </c>
      <c r="AA89" s="175" t="str">
        <f>IFERROR(SUMIFS('caseload data'!K:K,'caseload data'!$C:$C,'custody %'!$T$85,'caseload data'!$D:$D,"TPO",'caseload data'!$B:$B,"custody")/SUMIFS('caseload data'!K:K,'caseload data'!$B:$B,"custody",'caseload data'!$C:$C,'custody %'!$T$85),"")</f>
        <v/>
      </c>
      <c r="AB89" s="175" t="str">
        <f>IFERROR(SUMIFS('caseload data'!L:L,'caseload data'!$C:$C,'custody %'!$T$85,'caseload data'!$D:$D,"TPO",'caseload data'!$B:$B,"custody")/SUMIFS('caseload data'!L:L,'caseload data'!$B:$B,"custody",'caseload data'!$C:$C,'custody %'!$T$85),"")</f>
        <v/>
      </c>
      <c r="AC89" s="175" t="str">
        <f>IFERROR(SUMIFS('caseload data'!M:M,'caseload data'!$C:$C,'custody %'!$T$85,'caseload data'!$D:$D,"TPO",'caseload data'!$B:$B,"custody")/SUMIFS('caseload data'!M:M,'caseload data'!$B:$B,"custody",'caseload data'!$C:$C,'custody %'!$T$85),"")</f>
        <v/>
      </c>
      <c r="AD89" s="175" t="str">
        <f>IFERROR(SUMIFS('caseload data'!N:N,'caseload data'!$C:$C,'custody %'!$T$85,'caseload data'!$D:$D,"TPO",'caseload data'!$B:$B,"custody")/SUMIFS('caseload data'!N:N,'caseload data'!$B:$B,"custody",'caseload data'!$C:$C,'custody %'!$T$85),"")</f>
        <v/>
      </c>
      <c r="AE89" s="175" t="str">
        <f>IFERROR(SUMIFS('caseload data'!O:O,'caseload data'!$C:$C,'custody %'!$T$85,'caseload data'!$D:$D,"TPO",'caseload data'!$B:$B,"custody")/SUMIFS('caseload data'!O:O,'caseload data'!$B:$B,"custody",'caseload data'!$C:$C,'custody %'!$T$85),"")</f>
        <v/>
      </c>
      <c r="AF89" s="175" t="str">
        <f>IFERROR(SUMIFS('caseload data'!P:P,'caseload data'!$C:$C,'custody %'!$T$85,'caseload data'!$D:$D,"TPO",'caseload data'!$B:$B,"custody")/SUMIFS('caseload data'!P:P,'caseload data'!$B:$B,"custody",'caseload data'!$C:$C,'custody %'!$T$85),"")</f>
        <v/>
      </c>
      <c r="AG89" s="175" t="str">
        <f>IFERROR(SUMIFS('caseload data'!Q:Q,'caseload data'!$C:$C,'custody %'!$T$85,'caseload data'!$D:$D,"TPO",'caseload data'!$B:$B,"custody")/SUMIFS('caseload data'!Q:Q,'caseload data'!$B:$B,"custody",'caseload data'!$C:$C,'custody %'!$T$85),"")</f>
        <v/>
      </c>
      <c r="AH89" s="175" t="str">
        <f>IFERROR(SUMIFS('caseload data'!R:R,'caseload data'!$C:$C,'custody %'!$T$85,'caseload data'!$D:$D,"TPO",'caseload data'!$B:$B,"custody")/SUMIFS('caseload data'!R:R,'caseload data'!$B:$B,"custody",'caseload data'!$C:$C,'custody %'!$T$85),"")</f>
        <v/>
      </c>
      <c r="AI89" s="175"/>
      <c r="AJ89" s="175"/>
    </row>
    <row r="90" spans="2:36" x14ac:dyDescent="0.15">
      <c r="B90" s="102" t="s">
        <v>1174</v>
      </c>
      <c r="C90" s="175" t="str">
        <f>IFERROR(SUMIFS('caseload data'!E:E,'caseload data'!$C:$C,'custody %'!$B$85,'caseload data'!$D:$D,"SPO",'caseload data'!$B:$B,"custody")/SUMIFS('caseload data'!E:E,'caseload data'!$B:$B,"custody",'caseload data'!$C:$C,'custody %'!$B$85),"")</f>
        <v/>
      </c>
      <c r="D90" s="175" t="str">
        <f>IFERROR(SUMIFS('caseload data'!F:F,'caseload data'!$C:$C,'custody %'!$B$85,'caseload data'!$D:$D,"SPO",'caseload data'!$B:$B,"custody")/SUMIFS('caseload data'!F:F,'caseload data'!$B:$B,"custody",'caseload data'!$C:$C,'custody %'!$B$85),"")</f>
        <v/>
      </c>
      <c r="E90" s="175" t="str">
        <f>IFERROR(SUMIFS('caseload data'!G:G,'caseload data'!$C:$C,'custody %'!$B$85,'caseload data'!$D:$D,"SPO",'caseload data'!$B:$B,"custody")/SUMIFS('caseload data'!G:G,'caseload data'!$B:$B,"custody",'caseload data'!$C:$C,'custody %'!$B$85),"")</f>
        <v/>
      </c>
      <c r="F90" s="175" t="str">
        <f>IFERROR(SUMIFS('caseload data'!H:H,'caseload data'!$C:$C,'custody %'!$B$85,'caseload data'!$D:$D,"SPO",'caseload data'!$B:$B,"custody")/SUMIFS('caseload data'!H:H,'caseload data'!$B:$B,"custody",'caseload data'!$C:$C,'custody %'!$B$85),"")</f>
        <v/>
      </c>
      <c r="G90" s="175" t="str">
        <f>IFERROR(SUMIFS('caseload data'!I:I,'caseload data'!$C:$C,'custody %'!$B$85,'caseload data'!$D:$D,"SPO",'caseload data'!$B:$B,"custody")/SUMIFS('caseload data'!I:I,'caseload data'!$B:$B,"custody",'caseload data'!$C:$C,'custody %'!$B$85),"")</f>
        <v/>
      </c>
      <c r="H90" s="175" t="str">
        <f>IFERROR(SUMIFS('caseload data'!J:J,'caseload data'!$C:$C,'custody %'!$B$85,'caseload data'!$D:$D,"SPO",'caseload data'!$B:$B,"custody")/SUMIFS('caseload data'!J:J,'caseload data'!$B:$B,"custody",'caseload data'!$C:$C,'custody %'!$B$85),"")</f>
        <v/>
      </c>
      <c r="I90" s="175" t="str">
        <f>IFERROR(SUMIFS('caseload data'!K:K,'caseload data'!$C:$C,'custody %'!$B$85,'caseload data'!$D:$D,"SPO",'caseload data'!$B:$B,"custody")/SUMIFS('caseload data'!K:K,'caseload data'!$B:$B,"custody",'caseload data'!$C:$C,'custody %'!$B$85),"")</f>
        <v/>
      </c>
      <c r="J90" s="175" t="str">
        <f>IFERROR(SUMIFS('caseload data'!L:L,'caseload data'!$C:$C,'custody %'!$B$85,'caseload data'!$D:$D,"SPO",'caseload data'!$B:$B,"custody")/SUMIFS('caseload data'!L:L,'caseload data'!$B:$B,"custody",'caseload data'!$C:$C,'custody %'!$B$85),"")</f>
        <v/>
      </c>
      <c r="K90" s="175" t="str">
        <f>IFERROR(SUMIFS('caseload data'!M:M,'caseload data'!$C:$C,'custody %'!$B$85,'caseload data'!$D:$D,"SPO",'caseload data'!$B:$B,"custody")/SUMIFS('caseload data'!M:M,'caseload data'!$B:$B,"custody",'caseload data'!$C:$C,'custody %'!$B$85),"")</f>
        <v/>
      </c>
      <c r="L90" s="175" t="str">
        <f>IFERROR(SUMIFS('caseload data'!N:N,'caseload data'!$C:$C,'custody %'!$B$85,'caseload data'!$D:$D,"SPO",'caseload data'!$B:$B,"custody")/SUMIFS('caseload data'!N:N,'caseload data'!$B:$B,"custody",'caseload data'!$C:$C,'custody %'!$B$85),"")</f>
        <v/>
      </c>
      <c r="M90" s="175" t="str">
        <f>IFERROR(SUMIFS('caseload data'!O:O,'caseload data'!$C:$C,'custody %'!$B$85,'caseload data'!$D:$D,"SPO",'caseload data'!$B:$B,"custody")/SUMIFS('caseload data'!O:O,'caseload data'!$B:$B,"custody",'caseload data'!$C:$C,'custody %'!$B$85),"")</f>
        <v/>
      </c>
      <c r="N90" s="175" t="str">
        <f>IFERROR(SUMIFS('caseload data'!P:P,'caseload data'!$C:$C,'custody %'!$B$85,'caseload data'!$D:$D,"SPO",'caseload data'!$B:$B,"custody")/SUMIFS('caseload data'!P:P,'caseload data'!$B:$B,"custody",'caseload data'!$C:$C,'custody %'!$B$85),"")</f>
        <v/>
      </c>
      <c r="O90" s="175" t="str">
        <f>IFERROR(SUMIFS('caseload data'!Q:Q,'caseload data'!$C:$C,'custody %'!$B$85,'caseload data'!$D:$D,"SPO",'caseload data'!$B:$B,"custody")/SUMIFS('caseload data'!Q:Q,'caseload data'!$B:$B,"custody",'caseload data'!$C:$C,'custody %'!$B$85),"")</f>
        <v/>
      </c>
      <c r="P90" s="175" t="str">
        <f>IFERROR(SUMIFS('caseload data'!R:R,'caseload data'!$C:$C,'custody %'!$B$85,'caseload data'!$D:$D,"SPO",'caseload data'!$B:$B,"custody")/SUMIFS('caseload data'!R:R,'caseload data'!$B:$B,"custody",'caseload data'!$C:$C,'custody %'!$B$85),"")</f>
        <v/>
      </c>
      <c r="Q90" s="175" t="str">
        <f>IFERROR(SUMIFS('caseload data'!S:S,'caseload data'!$C:$C,'custody %'!$B$85,'caseload data'!$D:$D,"SPO",'caseload data'!$B:$B,"custody")/SUMIFS('caseload data'!S:S,'caseload data'!$B:$B,"custody",'caseload data'!$C:$C,'custody %'!$B$85),"")</f>
        <v/>
      </c>
      <c r="R90" s="175" t="str">
        <f>IFERROR(SUMIFS('caseload data'!T:T,'caseload data'!$C:$C,'custody %'!$B$85,'caseload data'!$D:$D,"SPO",'caseload data'!$B:$B,"custody")/SUMIFS('caseload data'!T:T,'caseload data'!$B:$B,"custody",'caseload data'!$C:$C,'custody %'!$B$85),"")</f>
        <v/>
      </c>
      <c r="T90" s="102" t="s">
        <v>1174</v>
      </c>
      <c r="U90" s="175" t="str">
        <f>IFERROR(SUMIFS('caseload data'!E:E,'caseload data'!$C:$C,'custody %'!$T$85,'caseload data'!$D:$D,"SPO",'caseload data'!$B:$B,"custody")/SUMIFS('caseload data'!E:E,'caseload data'!$B:$B,"custody",'caseload data'!$C:$C,'custody %'!$T$85),"")</f>
        <v/>
      </c>
      <c r="V90" s="175" t="str">
        <f>IFERROR(SUMIFS('caseload data'!F:F,'caseload data'!$C:$C,'custody %'!$T$85,'caseload data'!$D:$D,"SPO",'caseload data'!$B:$B,"custody")/SUMIFS('caseload data'!F:F,'caseload data'!$B:$B,"custody",'caseload data'!$C:$C,'custody %'!$T$85),"")</f>
        <v/>
      </c>
      <c r="W90" s="175" t="str">
        <f>IFERROR(SUMIFS('caseload data'!G:G,'caseload data'!$C:$C,'custody %'!$T$85,'caseload data'!$D:$D,"SPO",'caseload data'!$B:$B,"custody")/SUMIFS('caseload data'!G:G,'caseload data'!$B:$B,"custody",'caseload data'!$C:$C,'custody %'!$T$85),"")</f>
        <v/>
      </c>
      <c r="X90" s="175" t="str">
        <f>IFERROR(SUMIFS('caseload data'!H:H,'caseload data'!$C:$C,'custody %'!$T$85,'caseload data'!$D:$D,"SPO",'caseload data'!$B:$B,"custody")/SUMIFS('caseload data'!H:H,'caseload data'!$B:$B,"custody",'caseload data'!$C:$C,'custody %'!$T$85),"")</f>
        <v/>
      </c>
      <c r="Y90" s="175" t="str">
        <f>IFERROR(SUMIFS('caseload data'!I:I,'caseload data'!$C:$C,'custody %'!$T$85,'caseload data'!$D:$D,"SPO",'caseload data'!$B:$B,"custody")/SUMIFS('caseload data'!I:I,'caseload data'!$B:$B,"custody",'caseload data'!$C:$C,'custody %'!$T$85),"")</f>
        <v/>
      </c>
      <c r="Z90" s="175" t="str">
        <f>IFERROR(SUMIFS('caseload data'!J:J,'caseload data'!$C:$C,'custody %'!$T$85,'caseload data'!$D:$D,"SPO",'caseload data'!$B:$B,"custody")/SUMIFS('caseload data'!J:J,'caseload data'!$B:$B,"custody",'caseload data'!$C:$C,'custody %'!$T$85),"")</f>
        <v/>
      </c>
      <c r="AA90" s="175" t="str">
        <f>IFERROR(SUMIFS('caseload data'!K:K,'caseload data'!$C:$C,'custody %'!$T$85,'caseload data'!$D:$D,"SPO",'caseload data'!$B:$B,"custody")/SUMIFS('caseload data'!K:K,'caseload data'!$B:$B,"custody",'caseload data'!$C:$C,'custody %'!$T$85),"")</f>
        <v/>
      </c>
      <c r="AB90" s="175" t="str">
        <f>IFERROR(SUMIFS('caseload data'!L:L,'caseload data'!$C:$C,'custody %'!$T$85,'caseload data'!$D:$D,"SPO",'caseload data'!$B:$B,"custody")/SUMIFS('caseload data'!L:L,'caseload data'!$B:$B,"custody",'caseload data'!$C:$C,'custody %'!$T$85),"")</f>
        <v/>
      </c>
      <c r="AC90" s="175" t="str">
        <f>IFERROR(SUMIFS('caseload data'!M:M,'caseload data'!$C:$C,'custody %'!$T$85,'caseload data'!$D:$D,"SPO",'caseload data'!$B:$B,"custody")/SUMIFS('caseload data'!M:M,'caseload data'!$B:$B,"custody",'caseload data'!$C:$C,'custody %'!$T$85),"")</f>
        <v/>
      </c>
      <c r="AD90" s="175" t="str">
        <f>IFERROR(SUMIFS('caseload data'!N:N,'caseload data'!$C:$C,'custody %'!$T$85,'caseload data'!$D:$D,"SPO",'caseload data'!$B:$B,"custody")/SUMIFS('caseload data'!N:N,'caseload data'!$B:$B,"custody",'caseload data'!$C:$C,'custody %'!$T$85),"")</f>
        <v/>
      </c>
      <c r="AE90" s="175" t="str">
        <f>IFERROR(SUMIFS('caseload data'!O:O,'caseload data'!$C:$C,'custody %'!$T$85,'caseload data'!$D:$D,"SPO",'caseload data'!$B:$B,"custody")/SUMIFS('caseload data'!O:O,'caseload data'!$B:$B,"custody",'caseload data'!$C:$C,'custody %'!$T$85),"")</f>
        <v/>
      </c>
      <c r="AF90" s="175" t="str">
        <f>IFERROR(SUMIFS('caseload data'!P:P,'caseload data'!$C:$C,'custody %'!$T$85,'caseload data'!$D:$D,"SPO",'caseload data'!$B:$B,"custody")/SUMIFS('caseload data'!P:P,'caseload data'!$B:$B,"custody",'caseload data'!$C:$C,'custody %'!$T$85),"")</f>
        <v/>
      </c>
      <c r="AG90" s="175" t="str">
        <f>IFERROR(SUMIFS('caseload data'!Q:Q,'caseload data'!$C:$C,'custody %'!$T$85,'caseload data'!$D:$D,"SPO",'caseload data'!$B:$B,"custody")/SUMIFS('caseload data'!Q:Q,'caseload data'!$B:$B,"custody",'caseload data'!$C:$C,'custody %'!$T$85),"")</f>
        <v/>
      </c>
      <c r="AH90" s="175" t="str">
        <f>IFERROR(SUMIFS('caseload data'!R:R,'caseload data'!$C:$C,'custody %'!$T$85,'caseload data'!$D:$D,"SPO",'caseload data'!$B:$B,"custody")/SUMIFS('caseload data'!R:R,'caseload data'!$B:$B,"custody",'caseload data'!$C:$C,'custody %'!$T$85),"")</f>
        <v/>
      </c>
      <c r="AI90" s="175"/>
      <c r="AJ90" s="175"/>
    </row>
    <row r="92" spans="2:36" ht="21" customHeight="1" x14ac:dyDescent="0.15">
      <c r="B92" s="302">
        <f>HLOOKUP($B$5,Region_Table,26,0)</f>
        <v>0</v>
      </c>
      <c r="C92" s="467" t="s">
        <v>1305</v>
      </c>
      <c r="D92" s="468"/>
      <c r="E92" s="468"/>
      <c r="F92" s="468"/>
      <c r="G92" s="468"/>
      <c r="H92" s="468"/>
      <c r="I92" s="468"/>
      <c r="J92" s="468"/>
      <c r="K92" s="468"/>
      <c r="L92" s="468"/>
      <c r="M92" s="487"/>
      <c r="N92" s="487"/>
      <c r="O92" s="488"/>
      <c r="P92" s="462">
        <f>SUMIF('caseload data'!$C:$C,'custody %'!B92,'caseload data'!V:V)</f>
        <v>0</v>
      </c>
      <c r="Q92" s="479"/>
      <c r="R92" s="480"/>
      <c r="T92" s="302">
        <f>HLOOKUP($B$5,Region_Table,27,0)</f>
        <v>0</v>
      </c>
      <c r="U92" s="467" t="s">
        <v>1305</v>
      </c>
      <c r="V92" s="468"/>
      <c r="W92" s="468"/>
      <c r="X92" s="468"/>
      <c r="Y92" s="468"/>
      <c r="Z92" s="468"/>
      <c r="AA92" s="468"/>
      <c r="AB92" s="468"/>
      <c r="AC92" s="487"/>
      <c r="AD92" s="487"/>
      <c r="AE92" s="488"/>
      <c r="AF92" s="462">
        <f>SUMIF('caseload data'!$C:$C,'custody %'!T92,'caseload data'!V:V)</f>
        <v>0</v>
      </c>
      <c r="AG92" s="479"/>
      <c r="AH92" s="480"/>
    </row>
    <row r="93" spans="2:36" x14ac:dyDescent="0.15">
      <c r="B93" s="99" t="s">
        <v>1170</v>
      </c>
      <c r="C93" s="40" t="s">
        <v>1022</v>
      </c>
      <c r="D93" s="40" t="s">
        <v>1023</v>
      </c>
      <c r="E93" s="40" t="s">
        <v>1024</v>
      </c>
      <c r="F93" s="40" t="s">
        <v>1025</v>
      </c>
      <c r="G93" s="40" t="s">
        <v>1026</v>
      </c>
      <c r="H93" s="40" t="s">
        <v>1027</v>
      </c>
      <c r="I93" s="40" t="s">
        <v>1028</v>
      </c>
      <c r="J93" s="40" t="s">
        <v>1029</v>
      </c>
      <c r="K93" s="40" t="s">
        <v>1030</v>
      </c>
      <c r="L93" s="40" t="s">
        <v>1031</v>
      </c>
      <c r="M93" s="40" t="s">
        <v>1032</v>
      </c>
      <c r="N93" s="40" t="s">
        <v>1033</v>
      </c>
      <c r="O93" s="40" t="s">
        <v>1034</v>
      </c>
      <c r="P93" s="40" t="s">
        <v>1035</v>
      </c>
      <c r="Q93" s="40" t="s">
        <v>1036</v>
      </c>
      <c r="R93" s="40" t="s">
        <v>1037</v>
      </c>
      <c r="T93" s="99" t="s">
        <v>1170</v>
      </c>
      <c r="U93" s="40" t="s">
        <v>1022</v>
      </c>
      <c r="V93" s="40" t="s">
        <v>1023</v>
      </c>
      <c r="W93" s="40" t="s">
        <v>1024</v>
      </c>
      <c r="X93" s="40" t="s">
        <v>1025</v>
      </c>
      <c r="Y93" s="40" t="s">
        <v>1026</v>
      </c>
      <c r="Z93" s="40" t="s">
        <v>1027</v>
      </c>
      <c r="AA93" s="40" t="s">
        <v>1028</v>
      </c>
      <c r="AB93" s="40" t="s">
        <v>1029</v>
      </c>
      <c r="AC93" s="40" t="s">
        <v>1030</v>
      </c>
      <c r="AD93" s="40" t="s">
        <v>1031</v>
      </c>
      <c r="AE93" s="40" t="s">
        <v>1032</v>
      </c>
      <c r="AF93" s="40" t="s">
        <v>1033</v>
      </c>
      <c r="AG93" s="40" t="s">
        <v>1034</v>
      </c>
      <c r="AH93" s="40" t="s">
        <v>1035</v>
      </c>
      <c r="AI93" s="40" t="s">
        <v>1036</v>
      </c>
      <c r="AJ93" s="40" t="s">
        <v>1037</v>
      </c>
    </row>
    <row r="94" spans="2:36" x14ac:dyDescent="0.15">
      <c r="B94" s="100" t="s">
        <v>1166</v>
      </c>
      <c r="C94" s="175" t="str">
        <f>IFERROR(SUMIFS('caseload data'!E:E,'caseload data'!$C:$C,'custody %'!$B$92,'caseload data'!$D:$D,"PO",'caseload data'!$B:$B,"custody")/SUMIFS('caseload data'!E:E,'caseload data'!$B:$B,"custody",'caseload data'!$C:$C,'custody %'!$B$92),"")</f>
        <v/>
      </c>
      <c r="D94" s="175" t="str">
        <f>IFERROR(SUMIFS('caseload data'!F:F,'caseload data'!$C:$C,'custody %'!$B$92,'caseload data'!$D:$D,"PO",'caseload data'!$B:$B,"custody")/SUMIFS('caseload data'!F:F,'caseload data'!$B:$B,"custody",'caseload data'!$C:$C,'custody %'!$B$92),"")</f>
        <v/>
      </c>
      <c r="E94" s="175" t="str">
        <f>IFERROR(SUMIFS('caseload data'!G:G,'caseload data'!$C:$C,'custody %'!$B$92,'caseload data'!$D:$D,"PO",'caseload data'!$B:$B,"custody")/SUMIFS('caseload data'!G:G,'caseload data'!$B:$B,"custody",'caseload data'!$C:$C,'custody %'!$B$92),"")</f>
        <v/>
      </c>
      <c r="F94" s="175" t="str">
        <f>IFERROR(SUMIFS('caseload data'!H:H,'caseload data'!$C:$C,'custody %'!$B$92,'caseload data'!$D:$D,"PO",'caseload data'!$B:$B,"custody")/SUMIFS('caseload data'!H:H,'caseload data'!$B:$B,"custody",'caseload data'!$C:$C,'custody %'!$B$92),"")</f>
        <v/>
      </c>
      <c r="G94" s="175" t="str">
        <f>IFERROR(SUMIFS('caseload data'!I:I,'caseload data'!$C:$C,'custody %'!$B$92,'caseload data'!$D:$D,"PO",'caseload data'!$B:$B,"custody")/SUMIFS('caseload data'!I:I,'caseload data'!$B:$B,"custody",'caseload data'!$C:$C,'custody %'!$B$92),"")</f>
        <v/>
      </c>
      <c r="H94" s="175" t="str">
        <f>IFERROR(SUMIFS('caseload data'!J:J,'caseload data'!$C:$C,'custody %'!$B$92,'caseload data'!$D:$D,"PO",'caseload data'!$B:$B,"custody")/SUMIFS('caseload data'!J:J,'caseload data'!$B:$B,"custody",'caseload data'!$C:$C,'custody %'!$B$92),"")</f>
        <v/>
      </c>
      <c r="I94" s="175" t="str">
        <f>IFERROR(SUMIFS('caseload data'!K:K,'caseload data'!$C:$C,'custody %'!$B$92,'caseload data'!$D:$D,"PO",'caseload data'!$B:$B,"custody")/SUMIFS('caseload data'!K:K,'caseload data'!$B:$B,"custody",'caseload data'!$C:$C,'custody %'!$B$92),"")</f>
        <v/>
      </c>
      <c r="J94" s="175" t="str">
        <f>IFERROR(SUMIFS('caseload data'!L:L,'caseload data'!$C:$C,'custody %'!$B$92,'caseload data'!$D:$D,"PO",'caseload data'!$B:$B,"custody")/SUMIFS('caseload data'!L:L,'caseload data'!$B:$B,"custody",'caseload data'!$C:$C,'custody %'!$B$92),"")</f>
        <v/>
      </c>
      <c r="K94" s="175" t="str">
        <f>IFERROR(SUMIFS('caseload data'!M:M,'caseload data'!$C:$C,'custody %'!$B$92,'caseload data'!$D:$D,"PO",'caseload data'!$B:$B,"custody")/SUMIFS('caseload data'!M:M,'caseload data'!$B:$B,"custody",'caseload data'!$C:$C,'custody %'!$B$92),"")</f>
        <v/>
      </c>
      <c r="L94" s="175" t="str">
        <f>IFERROR(SUMIFS('caseload data'!N:N,'caseload data'!$C:$C,'custody %'!$B$92,'caseload data'!$D:$D,"PO",'caseload data'!$B:$B,"custody")/SUMIFS('caseload data'!N:N,'caseload data'!$B:$B,"custody",'caseload data'!$C:$C,'custody %'!$B$92),"")</f>
        <v/>
      </c>
      <c r="M94" s="175" t="str">
        <f>IFERROR(SUMIFS('caseload data'!O:O,'caseload data'!$C:$C,'custody %'!$B$92,'caseload data'!$D:$D,"PO",'caseload data'!$B:$B,"custody")/SUMIFS('caseload data'!O:O,'caseload data'!$B:$B,"custody",'caseload data'!$C:$C,'custody %'!$B$92),"")</f>
        <v/>
      </c>
      <c r="N94" s="175" t="str">
        <f>IFERROR(SUMIFS('caseload data'!P:P,'caseload data'!$C:$C,'custody %'!$B$92,'caseload data'!$D:$D,"PO",'caseload data'!$B:$B,"custody")/SUMIFS('caseload data'!P:P,'caseload data'!$B:$B,"custody",'caseload data'!$C:$C,'custody %'!$B$92),"")</f>
        <v/>
      </c>
      <c r="O94" s="175" t="str">
        <f>IFERROR(SUMIFS('caseload data'!Q:Q,'caseload data'!$C:$C,'custody %'!$B$92,'caseload data'!$D:$D,"PO",'caseload data'!$B:$B,"custody")/SUMIFS('caseload data'!Q:Q,'caseload data'!$B:$B,"custody",'caseload data'!$C:$C,'custody %'!$B$92),"")</f>
        <v/>
      </c>
      <c r="P94" s="175" t="str">
        <f>IFERROR(SUMIFS('caseload data'!R:R,'caseload data'!$C:$C,'custody %'!$B$92,'caseload data'!$D:$D,"PO",'caseload data'!$B:$B,"custody")/SUMIFS('caseload data'!R:R,'caseload data'!$B:$B,"custody",'caseload data'!$C:$C,'custody %'!$B$92),"")</f>
        <v/>
      </c>
      <c r="Q94" s="175" t="str">
        <f>IFERROR(SUMIFS('caseload data'!S:S,'caseload data'!$C:$C,'custody %'!$B$92,'caseload data'!$D:$D,"PO",'caseload data'!$B:$B,"custody")/SUMIFS('caseload data'!S:S,'caseload data'!$B:$B,"custody",'caseload data'!$C:$C,'custody %'!$B$92),"")</f>
        <v/>
      </c>
      <c r="R94" s="175" t="str">
        <f>IFERROR(SUMIFS('caseload data'!T:T,'caseload data'!$C:$C,'custody %'!$B$92,'caseload data'!$D:$D,"PO",'caseload data'!$B:$B,"custody")/SUMIFS('caseload data'!T:T,'caseload data'!$B:$B,"custody",'caseload data'!$C:$C,'custody %'!$B$92),"")</f>
        <v/>
      </c>
      <c r="T94" s="100" t="s">
        <v>1166</v>
      </c>
      <c r="U94" s="175" t="str">
        <f>IFERROR(SUMIFS('caseload data'!E:E,'caseload data'!$C:$C,'custody %'!$T$92,'caseload data'!$D:$D,"PO",'caseload data'!$B:$B,"custody")/SUMIFS('caseload data'!E:E,'caseload data'!$B:$B,"custody",'caseload data'!$C:$C,'custody %'!$T$92),"")</f>
        <v/>
      </c>
      <c r="V94" s="175" t="str">
        <f>IFERROR(SUMIFS('caseload data'!F:F,'caseload data'!$C:$C,'custody %'!$T$92,'caseload data'!$D:$D,"PO",'caseload data'!$B:$B,"custody")/SUMIFS('caseload data'!F:F,'caseload data'!$B:$B,"custody",'caseload data'!$C:$C,'custody %'!$T$92),"")</f>
        <v/>
      </c>
      <c r="W94" s="175" t="str">
        <f>IFERROR(SUMIFS('caseload data'!G:G,'caseload data'!$C:$C,'custody %'!$T$92,'caseload data'!$D:$D,"PO",'caseload data'!$B:$B,"custody")/SUMIFS('caseload data'!G:G,'caseload data'!$B:$B,"custody",'caseload data'!$C:$C,'custody %'!$T$92),"")</f>
        <v/>
      </c>
      <c r="X94" s="175" t="str">
        <f>IFERROR(SUMIFS('caseload data'!H:H,'caseload data'!$C:$C,'custody %'!$T$92,'caseload data'!$D:$D,"PO",'caseload data'!$B:$B,"custody")/SUMIFS('caseload data'!H:H,'caseload data'!$B:$B,"custody",'caseload data'!$C:$C,'custody %'!$T$92),"")</f>
        <v/>
      </c>
      <c r="Y94" s="175" t="str">
        <f>IFERROR(SUMIFS('caseload data'!I:I,'caseload data'!$C:$C,'custody %'!$T$92,'caseload data'!$D:$D,"PO",'caseload data'!$B:$B,"custody")/SUMIFS('caseload data'!I:I,'caseload data'!$B:$B,"custody",'caseload data'!$C:$C,'custody %'!$T$92),"")</f>
        <v/>
      </c>
      <c r="Z94" s="175" t="str">
        <f>IFERROR(SUMIFS('caseload data'!J:J,'caseload data'!$C:$C,'custody %'!$T$92,'caseload data'!$D:$D,"PO",'caseload data'!$B:$B,"custody")/SUMIFS('caseload data'!J:J,'caseload data'!$B:$B,"custody",'caseload data'!$C:$C,'custody %'!$T$92),"")</f>
        <v/>
      </c>
      <c r="AA94" s="175" t="str">
        <f>IFERROR(SUMIFS('caseload data'!K:K,'caseload data'!$C:$C,'custody %'!$T$92,'caseload data'!$D:$D,"PO",'caseload data'!$B:$B,"custody")/SUMIFS('caseload data'!K:K,'caseload data'!$B:$B,"custody",'caseload data'!$C:$C,'custody %'!$T$92),"")</f>
        <v/>
      </c>
      <c r="AB94" s="175" t="str">
        <f>IFERROR(SUMIFS('caseload data'!L:L,'caseload data'!$C:$C,'custody %'!$T$92,'caseload data'!$D:$D,"PO",'caseload data'!$B:$B,"custody")/SUMIFS('caseload data'!L:L,'caseload data'!$B:$B,"custody",'caseload data'!$C:$C,'custody %'!$T$92),"")</f>
        <v/>
      </c>
      <c r="AC94" s="175" t="str">
        <f>IFERROR(SUMIFS('caseload data'!M:M,'caseload data'!$C:$C,'custody %'!$T$92,'caseload data'!$D:$D,"PO",'caseload data'!$B:$B,"custody")/SUMIFS('caseload data'!M:M,'caseload data'!$B:$B,"custody",'caseload data'!$C:$C,'custody %'!$T$92),"")</f>
        <v/>
      </c>
      <c r="AD94" s="175" t="str">
        <f>IFERROR(SUMIFS('caseload data'!N:N,'caseload data'!$C:$C,'custody %'!$T$92,'caseload data'!$D:$D,"PO",'caseload data'!$B:$B,"custody")/SUMIFS('caseload data'!N:N,'caseload data'!$B:$B,"custody",'caseload data'!$C:$C,'custody %'!$T$92),"")</f>
        <v/>
      </c>
      <c r="AE94" s="175" t="str">
        <f>IFERROR(SUMIFS('caseload data'!O:O,'caseload data'!$C:$C,'custody %'!$T$92,'caseload data'!$D:$D,"PO",'caseload data'!$B:$B,"custody")/SUMIFS('caseload data'!O:O,'caseload data'!$B:$B,"custody",'caseload data'!$C:$C,'custody %'!$T$92),"")</f>
        <v/>
      </c>
      <c r="AF94" s="175" t="str">
        <f>IFERROR(SUMIFS('caseload data'!P:P,'caseload data'!$C:$C,'custody %'!$T$92,'caseload data'!$D:$D,"PO",'caseload data'!$B:$B,"custody")/SUMIFS('caseload data'!P:P,'caseload data'!$B:$B,"custody",'caseload data'!$C:$C,'custody %'!$T$92),"")</f>
        <v/>
      </c>
      <c r="AG94" s="175" t="str">
        <f>IFERROR(SUMIFS('caseload data'!Q:Q,'caseload data'!$C:$C,'custody %'!$T$92,'caseload data'!$D:$D,"PO",'caseload data'!$B:$B,"custody")/SUMIFS('caseload data'!Q:Q,'caseload data'!$B:$B,"custody",'caseload data'!$C:$C,'custody %'!$T$92),"")</f>
        <v/>
      </c>
      <c r="AH94" s="175" t="str">
        <f>IFERROR(SUMIFS('caseload data'!R:R,'caseload data'!$C:$C,'custody %'!$T$92,'caseload data'!$D:$D,"PO",'caseload data'!$B:$B,"custody")/SUMIFS('caseload data'!R:R,'caseload data'!$B:$B,"custody",'caseload data'!$C:$C,'custody %'!$T$92),"")</f>
        <v/>
      </c>
      <c r="AI94" s="175"/>
      <c r="AJ94" s="175"/>
    </row>
    <row r="95" spans="2:36" x14ac:dyDescent="0.15">
      <c r="B95" s="101" t="s">
        <v>1172</v>
      </c>
      <c r="C95" s="175" t="str">
        <f>IFERROR(SUMIFS('caseload data'!E:E,'caseload data'!$C:$C,'custody %'!$B$92,'caseload data'!$D:$D,"PSO",'caseload data'!$B:$B,"custody")/SUMIFS('caseload data'!E:E,'caseload data'!$B:$B,"custody",'caseload data'!$C:$C,'custody %'!$B$92),"")</f>
        <v/>
      </c>
      <c r="D95" s="175" t="str">
        <f>IFERROR(SUMIFS('caseload data'!F:F,'caseload data'!$C:$C,'custody %'!$B$92,'caseload data'!$D:$D,"PSO",'caseload data'!$B:$B,"custody")/SUMIFS('caseload data'!F:F,'caseload data'!$B:$B,"custody",'caseload data'!$C:$C,'custody %'!$B$92),"")</f>
        <v/>
      </c>
      <c r="E95" s="175" t="str">
        <f>IFERROR(SUMIFS('caseload data'!G:G,'caseload data'!$C:$C,'custody %'!$B$92,'caseload data'!$D:$D,"PSO",'caseload data'!$B:$B,"custody")/SUMIFS('caseload data'!G:G,'caseload data'!$B:$B,"custody",'caseload data'!$C:$C,'custody %'!$B$92),"")</f>
        <v/>
      </c>
      <c r="F95" s="175" t="str">
        <f>IFERROR(SUMIFS('caseload data'!H:H,'caseload data'!$C:$C,'custody %'!$B$92,'caseload data'!$D:$D,"PSO",'caseload data'!$B:$B,"custody")/SUMIFS('caseload data'!H:H,'caseload data'!$B:$B,"custody",'caseload data'!$C:$C,'custody %'!$B$92),"")</f>
        <v/>
      </c>
      <c r="G95" s="175" t="str">
        <f>IFERROR(SUMIFS('caseload data'!I:I,'caseload data'!$C:$C,'custody %'!$B$92,'caseload data'!$D:$D,"PSO",'caseload data'!$B:$B,"custody")/SUMIFS('caseload data'!I:I,'caseload data'!$B:$B,"custody",'caseload data'!$C:$C,'custody %'!$B$92),"")</f>
        <v/>
      </c>
      <c r="H95" s="175" t="str">
        <f>IFERROR(SUMIFS('caseload data'!J:J,'caseload data'!$C:$C,'custody %'!$B$92,'caseload data'!$D:$D,"PSO",'caseload data'!$B:$B,"custody")/SUMIFS('caseload data'!J:J,'caseload data'!$B:$B,"custody",'caseload data'!$C:$C,'custody %'!$B$92),"")</f>
        <v/>
      </c>
      <c r="I95" s="175" t="str">
        <f>IFERROR(SUMIFS('caseload data'!K:K,'caseload data'!$C:$C,'custody %'!$B$92,'caseload data'!$D:$D,"PSO",'caseload data'!$B:$B,"custody")/SUMIFS('caseload data'!K:K,'caseload data'!$B:$B,"custody",'caseload data'!$C:$C,'custody %'!$B$92),"")</f>
        <v/>
      </c>
      <c r="J95" s="175" t="str">
        <f>IFERROR(SUMIFS('caseload data'!L:L,'caseload data'!$C:$C,'custody %'!$B$92,'caseload data'!$D:$D,"PSO",'caseload data'!$B:$B,"custody")/SUMIFS('caseload data'!L:L,'caseload data'!$B:$B,"custody",'caseload data'!$C:$C,'custody %'!$B$92),"")</f>
        <v/>
      </c>
      <c r="K95" s="175" t="str">
        <f>IFERROR(SUMIFS('caseload data'!M:M,'caseload data'!$C:$C,'custody %'!$B$92,'caseload data'!$D:$D,"PSO",'caseload data'!$B:$B,"custody")/SUMIFS('caseload data'!M:M,'caseload data'!$B:$B,"custody",'caseload data'!$C:$C,'custody %'!$B$92),"")</f>
        <v/>
      </c>
      <c r="L95" s="175" t="str">
        <f>IFERROR(SUMIFS('caseload data'!N:N,'caseload data'!$C:$C,'custody %'!$B$92,'caseload data'!$D:$D,"PSO",'caseload data'!$B:$B,"custody")/SUMIFS('caseload data'!N:N,'caseload data'!$B:$B,"custody",'caseload data'!$C:$C,'custody %'!$B$92),"")</f>
        <v/>
      </c>
      <c r="M95" s="175" t="str">
        <f>IFERROR(SUMIFS('caseload data'!O:O,'caseload data'!$C:$C,'custody %'!$B$92,'caseload data'!$D:$D,"PSO",'caseload data'!$B:$B,"custody")/SUMIFS('caseload data'!O:O,'caseload data'!$B:$B,"custody",'caseload data'!$C:$C,'custody %'!$B$92),"")</f>
        <v/>
      </c>
      <c r="N95" s="175" t="str">
        <f>IFERROR(SUMIFS('caseload data'!P:P,'caseload data'!$C:$C,'custody %'!$B$92,'caseload data'!$D:$D,"PSO",'caseload data'!$B:$B,"custody")/SUMIFS('caseload data'!P:P,'caseload data'!$B:$B,"custody",'caseload data'!$C:$C,'custody %'!$B$92),"")</f>
        <v/>
      </c>
      <c r="O95" s="175" t="str">
        <f>IFERROR(SUMIFS('caseload data'!Q:Q,'caseload data'!$C:$C,'custody %'!$B$92,'caseload data'!$D:$D,"PSO",'caseload data'!$B:$B,"custody")/SUMIFS('caseload data'!Q:Q,'caseload data'!$B:$B,"custody",'caseload data'!$C:$C,'custody %'!$B$92),"")</f>
        <v/>
      </c>
      <c r="P95" s="175" t="str">
        <f>IFERROR(SUMIFS('caseload data'!R:R,'caseload data'!$C:$C,'custody %'!$B$92,'caseload data'!$D:$D,"PSO",'caseload data'!$B:$B,"custody")/SUMIFS('caseload data'!R:R,'caseload data'!$B:$B,"custody",'caseload data'!$C:$C,'custody %'!$B$92),"")</f>
        <v/>
      </c>
      <c r="Q95" s="175" t="str">
        <f>IFERROR(SUMIFS('caseload data'!S:S,'caseload data'!$C:$C,'custody %'!$B$92,'caseload data'!$D:$D,"PSO",'caseload data'!$B:$B,"custody")/SUMIFS('caseload data'!S:S,'caseload data'!$B:$B,"custody",'caseload data'!$C:$C,'custody %'!$B$92),"")</f>
        <v/>
      </c>
      <c r="R95" s="175" t="str">
        <f>IFERROR(SUMIFS('caseload data'!T:T,'caseload data'!$C:$C,'custody %'!$B$92,'caseload data'!$D:$D,"PSO",'caseload data'!$B:$B,"custody")/SUMIFS('caseload data'!T:T,'caseload data'!$B:$B,"custody",'caseload data'!$C:$C,'custody %'!$B$92),"")</f>
        <v/>
      </c>
      <c r="T95" s="101" t="s">
        <v>1172</v>
      </c>
      <c r="U95" s="175" t="str">
        <f>IFERROR(SUMIFS('caseload data'!E:E,'caseload data'!$C:$C,'custody %'!$T$92,'caseload data'!$D:$D,"PSO",'caseload data'!$B:$B,"custody")/SUMIFS('caseload data'!E:E,'caseload data'!$B:$B,"custody",'caseload data'!$C:$C,'custody %'!$T$92),"")</f>
        <v/>
      </c>
      <c r="V95" s="175" t="str">
        <f>IFERROR(SUMIFS('caseload data'!F:F,'caseload data'!$C:$C,'custody %'!$T$92,'caseload data'!$D:$D,"PSO",'caseload data'!$B:$B,"custody")/SUMIFS('caseload data'!F:F,'caseload data'!$B:$B,"custody",'caseload data'!$C:$C,'custody %'!$T$92),"")</f>
        <v/>
      </c>
      <c r="W95" s="175" t="str">
        <f>IFERROR(SUMIFS('caseload data'!G:G,'caseload data'!$C:$C,'custody %'!$T$92,'caseload data'!$D:$D,"PSO",'caseload data'!$B:$B,"custody")/SUMIFS('caseload data'!G:G,'caseload data'!$B:$B,"custody",'caseload data'!$C:$C,'custody %'!$T$92),"")</f>
        <v/>
      </c>
      <c r="X95" s="175" t="str">
        <f>IFERROR(SUMIFS('caseload data'!H:H,'caseload data'!$C:$C,'custody %'!$T$92,'caseload data'!$D:$D,"PSO",'caseload data'!$B:$B,"custody")/SUMIFS('caseload data'!H:H,'caseload data'!$B:$B,"custody",'caseload data'!$C:$C,'custody %'!$T$92),"")</f>
        <v/>
      </c>
      <c r="Y95" s="175" t="str">
        <f>IFERROR(SUMIFS('caseload data'!I:I,'caseload data'!$C:$C,'custody %'!$T$92,'caseload data'!$D:$D,"PSO",'caseload data'!$B:$B,"custody")/SUMIFS('caseload data'!I:I,'caseload data'!$B:$B,"custody",'caseload data'!$C:$C,'custody %'!$T$92),"")</f>
        <v/>
      </c>
      <c r="Z95" s="175" t="str">
        <f>IFERROR(SUMIFS('caseload data'!J:J,'caseload data'!$C:$C,'custody %'!$T$92,'caseload data'!$D:$D,"PSO",'caseload data'!$B:$B,"custody")/SUMIFS('caseload data'!J:J,'caseload data'!$B:$B,"custody",'caseload data'!$C:$C,'custody %'!$T$92),"")</f>
        <v/>
      </c>
      <c r="AA95" s="175" t="str">
        <f>IFERROR(SUMIFS('caseload data'!K:K,'caseload data'!$C:$C,'custody %'!$T$92,'caseload data'!$D:$D,"PSO",'caseload data'!$B:$B,"custody")/SUMIFS('caseload data'!K:K,'caseload data'!$B:$B,"custody",'caseload data'!$C:$C,'custody %'!$T$92),"")</f>
        <v/>
      </c>
      <c r="AB95" s="175" t="str">
        <f>IFERROR(SUMIFS('caseload data'!L:L,'caseload data'!$C:$C,'custody %'!$T$92,'caseload data'!$D:$D,"PSO",'caseload data'!$B:$B,"custody")/SUMIFS('caseload data'!L:L,'caseload data'!$B:$B,"custody",'caseload data'!$C:$C,'custody %'!$T$92),"")</f>
        <v/>
      </c>
      <c r="AC95" s="175" t="str">
        <f>IFERROR(SUMIFS('caseload data'!M:M,'caseload data'!$C:$C,'custody %'!$T$92,'caseload data'!$D:$D,"PSO",'caseload data'!$B:$B,"custody")/SUMIFS('caseload data'!M:M,'caseload data'!$B:$B,"custody",'caseload data'!$C:$C,'custody %'!$T$92),"")</f>
        <v/>
      </c>
      <c r="AD95" s="175" t="str">
        <f>IFERROR(SUMIFS('caseload data'!N:N,'caseload data'!$C:$C,'custody %'!$T$92,'caseload data'!$D:$D,"PSO",'caseload data'!$B:$B,"custody")/SUMIFS('caseload data'!N:N,'caseload data'!$B:$B,"custody",'caseload data'!$C:$C,'custody %'!$T$92),"")</f>
        <v/>
      </c>
      <c r="AE95" s="175" t="str">
        <f>IFERROR(SUMIFS('caseload data'!O:O,'caseload data'!$C:$C,'custody %'!$T$92,'caseload data'!$D:$D,"PSO",'caseload data'!$B:$B,"custody")/SUMIFS('caseload data'!O:O,'caseload data'!$B:$B,"custody",'caseload data'!$C:$C,'custody %'!$T$92),"")</f>
        <v/>
      </c>
      <c r="AF95" s="175" t="str">
        <f>IFERROR(SUMIFS('caseload data'!P:P,'caseload data'!$C:$C,'custody %'!$T$92,'caseload data'!$D:$D,"PSO",'caseload data'!$B:$B,"custody")/SUMIFS('caseload data'!P:P,'caseload data'!$B:$B,"custody",'caseload data'!$C:$C,'custody %'!$T$92),"")</f>
        <v/>
      </c>
      <c r="AG95" s="175" t="str">
        <f>IFERROR(SUMIFS('caseload data'!Q:Q,'caseload data'!$C:$C,'custody %'!$T$92,'caseload data'!$D:$D,"PSO",'caseload data'!$B:$B,"custody")/SUMIFS('caseload data'!Q:Q,'caseload data'!$B:$B,"custody",'caseload data'!$C:$C,'custody %'!$T$92),"")</f>
        <v/>
      </c>
      <c r="AH95" s="175" t="str">
        <f>IFERROR(SUMIFS('caseload data'!R:R,'caseload data'!$C:$C,'custody %'!$T$92,'caseload data'!$D:$D,"PSO",'caseload data'!$B:$B,"custody")/SUMIFS('caseload data'!R:R,'caseload data'!$B:$B,"custody",'caseload data'!$C:$C,'custody %'!$T$92),"")</f>
        <v/>
      </c>
      <c r="AI95" s="175"/>
      <c r="AJ95" s="175"/>
    </row>
    <row r="96" spans="2:36" x14ac:dyDescent="0.15">
      <c r="B96" s="101" t="s">
        <v>1173</v>
      </c>
      <c r="C96" s="175" t="str">
        <f>IFERROR(SUMIFS('caseload data'!E:E,'caseload data'!$C:$C,'custody %'!$B$92,'caseload data'!$D:$D,"TPO",'caseload data'!$B:$B,"custody")/SUMIFS('caseload data'!E:E,'caseload data'!$B:$B,"custody",'caseload data'!$C:$C,'custody %'!$B$92),"")</f>
        <v/>
      </c>
      <c r="D96" s="175" t="str">
        <f>IFERROR(SUMIFS('caseload data'!F:F,'caseload data'!$C:$C,'custody %'!$B$92,'caseload data'!$D:$D,"TPO",'caseload data'!$B:$B,"custody")/SUMIFS('caseload data'!F:F,'caseload data'!$B:$B,"custody",'caseload data'!$C:$C,'custody %'!$B$92),"")</f>
        <v/>
      </c>
      <c r="E96" s="175" t="str">
        <f>IFERROR(SUMIFS('caseload data'!G:G,'caseload data'!$C:$C,'custody %'!$B$92,'caseload data'!$D:$D,"TPO",'caseload data'!$B:$B,"custody")/SUMIFS('caseload data'!G:G,'caseload data'!$B:$B,"custody",'caseload data'!$C:$C,'custody %'!$B$92),"")</f>
        <v/>
      </c>
      <c r="F96" s="175" t="str">
        <f>IFERROR(SUMIFS('caseload data'!H:H,'caseload data'!$C:$C,'custody %'!$B$92,'caseload data'!$D:$D,"TPO",'caseload data'!$B:$B,"custody")/SUMIFS('caseload data'!H:H,'caseload data'!$B:$B,"custody",'caseload data'!$C:$C,'custody %'!$B$92),"")</f>
        <v/>
      </c>
      <c r="G96" s="175" t="str">
        <f>IFERROR(SUMIFS('caseload data'!I:I,'caseload data'!$C:$C,'custody %'!$B$92,'caseload data'!$D:$D,"TPO",'caseload data'!$B:$B,"custody")/SUMIFS('caseload data'!I:I,'caseload data'!$B:$B,"custody",'caseload data'!$C:$C,'custody %'!$B$92),"")</f>
        <v/>
      </c>
      <c r="H96" s="175" t="str">
        <f>IFERROR(SUMIFS('caseload data'!J:J,'caseload data'!$C:$C,'custody %'!$B$92,'caseload data'!$D:$D,"TPO",'caseload data'!$B:$B,"custody")/SUMIFS('caseload data'!J:J,'caseload data'!$B:$B,"custody",'caseload data'!$C:$C,'custody %'!$B$92),"")</f>
        <v/>
      </c>
      <c r="I96" s="175" t="str">
        <f>IFERROR(SUMIFS('caseload data'!K:K,'caseload data'!$C:$C,'custody %'!$B$92,'caseload data'!$D:$D,"TPO",'caseload data'!$B:$B,"custody")/SUMIFS('caseload data'!K:K,'caseload data'!$B:$B,"custody",'caseload data'!$C:$C,'custody %'!$B$92),"")</f>
        <v/>
      </c>
      <c r="J96" s="175" t="str">
        <f>IFERROR(SUMIFS('caseload data'!L:L,'caseload data'!$C:$C,'custody %'!$B$92,'caseload data'!$D:$D,"TPO",'caseload data'!$B:$B,"custody")/SUMIFS('caseload data'!L:L,'caseload data'!$B:$B,"custody",'caseload data'!$C:$C,'custody %'!$B$92),"")</f>
        <v/>
      </c>
      <c r="K96" s="175" t="str">
        <f>IFERROR(SUMIFS('caseload data'!M:M,'caseload data'!$C:$C,'custody %'!$B$92,'caseload data'!$D:$D,"TPO",'caseload data'!$B:$B,"custody")/SUMIFS('caseload data'!M:M,'caseload data'!$B:$B,"custody",'caseload data'!$C:$C,'custody %'!$B$92),"")</f>
        <v/>
      </c>
      <c r="L96" s="175" t="str">
        <f>IFERROR(SUMIFS('caseload data'!N:N,'caseload data'!$C:$C,'custody %'!$B$92,'caseload data'!$D:$D,"TPO",'caseload data'!$B:$B,"custody")/SUMIFS('caseload data'!N:N,'caseload data'!$B:$B,"custody",'caseload data'!$C:$C,'custody %'!$B$92),"")</f>
        <v/>
      </c>
      <c r="M96" s="175" t="str">
        <f>IFERROR(SUMIFS('caseload data'!O:O,'caseload data'!$C:$C,'custody %'!$B$92,'caseload data'!$D:$D,"TPO",'caseload data'!$B:$B,"custody")/SUMIFS('caseload data'!O:O,'caseload data'!$B:$B,"custody",'caseload data'!$C:$C,'custody %'!$B$92),"")</f>
        <v/>
      </c>
      <c r="N96" s="175" t="str">
        <f>IFERROR(SUMIFS('caseload data'!P:P,'caseload data'!$C:$C,'custody %'!$B$92,'caseload data'!$D:$D,"TPO",'caseload data'!$B:$B,"custody")/SUMIFS('caseload data'!P:P,'caseload data'!$B:$B,"custody",'caseload data'!$C:$C,'custody %'!$B$92),"")</f>
        <v/>
      </c>
      <c r="O96" s="175" t="str">
        <f>IFERROR(SUMIFS('caseload data'!Q:Q,'caseload data'!$C:$C,'custody %'!$B$92,'caseload data'!$D:$D,"TPO",'caseload data'!$B:$B,"custody")/SUMIFS('caseload data'!Q:Q,'caseload data'!$B:$B,"custody",'caseload data'!$C:$C,'custody %'!$B$92),"")</f>
        <v/>
      </c>
      <c r="P96" s="175" t="str">
        <f>IFERROR(SUMIFS('caseload data'!R:R,'caseload data'!$C:$C,'custody %'!$B$92,'caseload data'!$D:$D,"TPO",'caseload data'!$B:$B,"custody")/SUMIFS('caseload data'!R:R,'caseload data'!$B:$B,"custody",'caseload data'!$C:$C,'custody %'!$B$92),"")</f>
        <v/>
      </c>
      <c r="Q96" s="175" t="str">
        <f>IFERROR(SUMIFS('caseload data'!S:S,'caseload data'!$C:$C,'custody %'!$B$92,'caseload data'!$D:$D,"TPO",'caseload data'!$B:$B,"custody")/SUMIFS('caseload data'!S:S,'caseload data'!$B:$B,"custody",'caseload data'!$C:$C,'custody %'!$B$92),"")</f>
        <v/>
      </c>
      <c r="R96" s="175" t="str">
        <f>IFERROR(SUMIFS('caseload data'!T:T,'caseload data'!$C:$C,'custody %'!$B$92,'caseload data'!$D:$D,"TPO",'caseload data'!$B:$B,"custody")/SUMIFS('caseload data'!T:T,'caseload data'!$B:$B,"custody",'caseload data'!$C:$C,'custody %'!$B$92),"")</f>
        <v/>
      </c>
      <c r="T96" s="101" t="s">
        <v>1173</v>
      </c>
      <c r="U96" s="175" t="str">
        <f>IFERROR(SUMIFS('caseload data'!E:E,'caseload data'!$C:$C,'custody %'!$T$92,'caseload data'!$D:$D,"TPO",'caseload data'!$B:$B,"custody")/SUMIFS('caseload data'!E:E,'caseload data'!$B:$B,"custody",'caseload data'!$C:$C,'custody %'!$T$92),"")</f>
        <v/>
      </c>
      <c r="V96" s="175" t="str">
        <f>IFERROR(SUMIFS('caseload data'!F:F,'caseload data'!$C:$C,'custody %'!$T$92,'caseload data'!$D:$D,"TPO",'caseload data'!$B:$B,"custody")/SUMIFS('caseload data'!F:F,'caseload data'!$B:$B,"custody",'caseload data'!$C:$C,'custody %'!$T$92),"")</f>
        <v/>
      </c>
      <c r="W96" s="175" t="str">
        <f>IFERROR(SUMIFS('caseload data'!G:G,'caseload data'!$C:$C,'custody %'!$T$92,'caseload data'!$D:$D,"TPO",'caseload data'!$B:$B,"custody")/SUMIFS('caseload data'!G:G,'caseload data'!$B:$B,"custody",'caseload data'!$C:$C,'custody %'!$T$92),"")</f>
        <v/>
      </c>
      <c r="X96" s="175" t="str">
        <f>IFERROR(SUMIFS('caseload data'!H:H,'caseload data'!$C:$C,'custody %'!$T$92,'caseload data'!$D:$D,"TPO",'caseload data'!$B:$B,"custody")/SUMIFS('caseload data'!H:H,'caseload data'!$B:$B,"custody",'caseload data'!$C:$C,'custody %'!$T$92),"")</f>
        <v/>
      </c>
      <c r="Y96" s="175" t="str">
        <f>IFERROR(SUMIFS('caseload data'!I:I,'caseload data'!$C:$C,'custody %'!$T$92,'caseload data'!$D:$D,"TPO",'caseload data'!$B:$B,"custody")/SUMIFS('caseload data'!I:I,'caseload data'!$B:$B,"custody",'caseload data'!$C:$C,'custody %'!$T$92),"")</f>
        <v/>
      </c>
      <c r="Z96" s="175" t="str">
        <f>IFERROR(SUMIFS('caseload data'!J:J,'caseload data'!$C:$C,'custody %'!$T$92,'caseload data'!$D:$D,"TPO",'caseload data'!$B:$B,"custody")/SUMIFS('caseload data'!J:J,'caseload data'!$B:$B,"custody",'caseload data'!$C:$C,'custody %'!$T$92),"")</f>
        <v/>
      </c>
      <c r="AA96" s="175" t="str">
        <f>IFERROR(SUMIFS('caseload data'!K:K,'caseload data'!$C:$C,'custody %'!$T$92,'caseload data'!$D:$D,"TPO",'caseload data'!$B:$B,"custody")/SUMIFS('caseload data'!K:K,'caseload data'!$B:$B,"custody",'caseload data'!$C:$C,'custody %'!$T$92),"")</f>
        <v/>
      </c>
      <c r="AB96" s="175" t="str">
        <f>IFERROR(SUMIFS('caseload data'!L:L,'caseload data'!$C:$C,'custody %'!$T$92,'caseload data'!$D:$D,"TPO",'caseload data'!$B:$B,"custody")/SUMIFS('caseload data'!L:L,'caseload data'!$B:$B,"custody",'caseload data'!$C:$C,'custody %'!$T$92),"")</f>
        <v/>
      </c>
      <c r="AC96" s="175" t="str">
        <f>IFERROR(SUMIFS('caseload data'!M:M,'caseload data'!$C:$C,'custody %'!$T$92,'caseload data'!$D:$D,"TPO",'caseload data'!$B:$B,"custody")/SUMIFS('caseload data'!M:M,'caseload data'!$B:$B,"custody",'caseload data'!$C:$C,'custody %'!$T$92),"")</f>
        <v/>
      </c>
      <c r="AD96" s="175" t="str">
        <f>IFERROR(SUMIFS('caseload data'!N:N,'caseload data'!$C:$C,'custody %'!$T$92,'caseload data'!$D:$D,"TPO",'caseload data'!$B:$B,"custody")/SUMIFS('caseload data'!N:N,'caseload data'!$B:$B,"custody",'caseload data'!$C:$C,'custody %'!$T$92),"")</f>
        <v/>
      </c>
      <c r="AE96" s="175" t="str">
        <f>IFERROR(SUMIFS('caseload data'!O:O,'caseload data'!$C:$C,'custody %'!$T$92,'caseload data'!$D:$D,"TPO",'caseload data'!$B:$B,"custody")/SUMIFS('caseload data'!O:O,'caseload data'!$B:$B,"custody",'caseload data'!$C:$C,'custody %'!$T$92),"")</f>
        <v/>
      </c>
      <c r="AF96" s="175" t="str">
        <f>IFERROR(SUMIFS('caseload data'!P:P,'caseload data'!$C:$C,'custody %'!$T$92,'caseload data'!$D:$D,"TPO",'caseload data'!$B:$B,"custody")/SUMIFS('caseload data'!P:P,'caseload data'!$B:$B,"custody",'caseload data'!$C:$C,'custody %'!$T$92),"")</f>
        <v/>
      </c>
      <c r="AG96" s="175" t="str">
        <f>IFERROR(SUMIFS('caseload data'!Q:Q,'caseload data'!$C:$C,'custody %'!$T$92,'caseload data'!$D:$D,"TPO",'caseload data'!$B:$B,"custody")/SUMIFS('caseload data'!Q:Q,'caseload data'!$B:$B,"custody",'caseload data'!$C:$C,'custody %'!$T$92),"")</f>
        <v/>
      </c>
      <c r="AH96" s="175" t="str">
        <f>IFERROR(SUMIFS('caseload data'!R:R,'caseload data'!$C:$C,'custody %'!$T$92,'caseload data'!$D:$D,"TPO",'caseload data'!$B:$B,"custody")/SUMIFS('caseload data'!R:R,'caseload data'!$B:$B,"custody",'caseload data'!$C:$C,'custody %'!$T$92),"")</f>
        <v/>
      </c>
      <c r="AI96" s="175"/>
      <c r="AJ96" s="175"/>
    </row>
    <row r="97" spans="2:36" x14ac:dyDescent="0.15">
      <c r="B97" s="102" t="s">
        <v>1174</v>
      </c>
      <c r="C97" s="175" t="str">
        <f>IFERROR(SUMIFS('caseload data'!E:E,'caseload data'!$C:$C,'custody %'!$B$92,'caseload data'!$D:$D,"SPO",'caseload data'!$B:$B,"custody")/SUMIFS('caseload data'!E:E,'caseload data'!$B:$B,"custody",'caseload data'!$C:$C,'custody %'!$B$92),"")</f>
        <v/>
      </c>
      <c r="D97" s="175" t="str">
        <f>IFERROR(SUMIFS('caseload data'!F:F,'caseload data'!$C:$C,'custody %'!$B$92,'caseload data'!$D:$D,"SPO",'caseload data'!$B:$B,"custody")/SUMIFS('caseload data'!F:F,'caseload data'!$B:$B,"custody",'caseload data'!$C:$C,'custody %'!$B$92),"")</f>
        <v/>
      </c>
      <c r="E97" s="175" t="str">
        <f>IFERROR(SUMIFS('caseload data'!G:G,'caseload data'!$C:$C,'custody %'!$B$92,'caseload data'!$D:$D,"SPO",'caseload data'!$B:$B,"custody")/SUMIFS('caseload data'!G:G,'caseload data'!$B:$B,"custody",'caseload data'!$C:$C,'custody %'!$B$92),"")</f>
        <v/>
      </c>
      <c r="F97" s="175" t="str">
        <f>IFERROR(SUMIFS('caseload data'!H:H,'caseload data'!$C:$C,'custody %'!$B$92,'caseload data'!$D:$D,"SPO",'caseload data'!$B:$B,"custody")/SUMIFS('caseload data'!H:H,'caseload data'!$B:$B,"custody",'caseload data'!$C:$C,'custody %'!$B$92),"")</f>
        <v/>
      </c>
      <c r="G97" s="175" t="str">
        <f>IFERROR(SUMIFS('caseload data'!I:I,'caseload data'!$C:$C,'custody %'!$B$92,'caseload data'!$D:$D,"SPO",'caseload data'!$B:$B,"custody")/SUMIFS('caseload data'!I:I,'caseload data'!$B:$B,"custody",'caseload data'!$C:$C,'custody %'!$B$92),"")</f>
        <v/>
      </c>
      <c r="H97" s="175" t="str">
        <f>IFERROR(SUMIFS('caseload data'!J:J,'caseload data'!$C:$C,'custody %'!$B$92,'caseload data'!$D:$D,"SPO",'caseload data'!$B:$B,"custody")/SUMIFS('caseload data'!J:J,'caseload data'!$B:$B,"custody",'caseload data'!$C:$C,'custody %'!$B$92),"")</f>
        <v/>
      </c>
      <c r="I97" s="175" t="str">
        <f>IFERROR(SUMIFS('caseload data'!K:K,'caseload data'!$C:$C,'custody %'!$B$92,'caseload data'!$D:$D,"SPO",'caseload data'!$B:$B,"custody")/SUMIFS('caseload data'!K:K,'caseload data'!$B:$B,"custody",'caseload data'!$C:$C,'custody %'!$B$92),"")</f>
        <v/>
      </c>
      <c r="J97" s="175" t="str">
        <f>IFERROR(SUMIFS('caseload data'!L:L,'caseload data'!$C:$C,'custody %'!$B$92,'caseload data'!$D:$D,"SPO",'caseload data'!$B:$B,"custody")/SUMIFS('caseload data'!L:L,'caseload data'!$B:$B,"custody",'caseload data'!$C:$C,'custody %'!$B$92),"")</f>
        <v/>
      </c>
      <c r="K97" s="175" t="str">
        <f>IFERROR(SUMIFS('caseload data'!M:M,'caseload data'!$C:$C,'custody %'!$B$92,'caseload data'!$D:$D,"SPO",'caseload data'!$B:$B,"custody")/SUMIFS('caseload data'!M:M,'caseload data'!$B:$B,"custody",'caseload data'!$C:$C,'custody %'!$B$92),"")</f>
        <v/>
      </c>
      <c r="L97" s="175" t="str">
        <f>IFERROR(SUMIFS('caseload data'!N:N,'caseload data'!$C:$C,'custody %'!$B$92,'caseload data'!$D:$D,"SPO",'caseload data'!$B:$B,"custody")/SUMIFS('caseload data'!N:N,'caseload data'!$B:$B,"custody",'caseload data'!$C:$C,'custody %'!$B$92),"")</f>
        <v/>
      </c>
      <c r="M97" s="175" t="str">
        <f>IFERROR(SUMIFS('caseload data'!O:O,'caseload data'!$C:$C,'custody %'!$B$92,'caseload data'!$D:$D,"SPO",'caseload data'!$B:$B,"custody")/SUMIFS('caseload data'!O:O,'caseload data'!$B:$B,"custody",'caseload data'!$C:$C,'custody %'!$B$92),"")</f>
        <v/>
      </c>
      <c r="N97" s="175" t="str">
        <f>IFERROR(SUMIFS('caseload data'!P:P,'caseload data'!$C:$C,'custody %'!$B$92,'caseload data'!$D:$D,"SPO",'caseload data'!$B:$B,"custody")/SUMIFS('caseload data'!P:P,'caseload data'!$B:$B,"custody",'caseload data'!$C:$C,'custody %'!$B$92),"")</f>
        <v/>
      </c>
      <c r="O97" s="175" t="str">
        <f>IFERROR(SUMIFS('caseload data'!Q:Q,'caseload data'!$C:$C,'custody %'!$B$92,'caseload data'!$D:$D,"SPO",'caseload data'!$B:$B,"custody")/SUMIFS('caseload data'!Q:Q,'caseload data'!$B:$B,"custody",'caseload data'!$C:$C,'custody %'!$B$92),"")</f>
        <v/>
      </c>
      <c r="P97" s="175" t="str">
        <f>IFERROR(SUMIFS('caseload data'!R:R,'caseload data'!$C:$C,'custody %'!$B$92,'caseload data'!$D:$D,"SPO",'caseload data'!$B:$B,"custody")/SUMIFS('caseload data'!R:R,'caseload data'!$B:$B,"custody",'caseload data'!$C:$C,'custody %'!$B$92),"")</f>
        <v/>
      </c>
      <c r="Q97" s="175" t="str">
        <f>IFERROR(SUMIFS('caseload data'!S:S,'caseload data'!$C:$C,'custody %'!$B$92,'caseload data'!$D:$D,"SPO",'caseload data'!$B:$B,"custody")/SUMIFS('caseload data'!S:S,'caseload data'!$B:$B,"custody",'caseload data'!$C:$C,'custody %'!$B$92),"")</f>
        <v/>
      </c>
      <c r="R97" s="175" t="str">
        <f>IFERROR(SUMIFS('caseload data'!T:T,'caseload data'!$C:$C,'custody %'!$B$92,'caseload data'!$D:$D,"SPO",'caseload data'!$B:$B,"custody")/SUMIFS('caseload data'!T:T,'caseload data'!$B:$B,"custody",'caseload data'!$C:$C,'custody %'!$B$92),"")</f>
        <v/>
      </c>
      <c r="T97" s="102" t="s">
        <v>1174</v>
      </c>
      <c r="U97" s="175" t="str">
        <f>IFERROR(SUMIFS('caseload data'!E:E,'caseload data'!$C:$C,'custody %'!$T$92,'caseload data'!$D:$D,"SPO",'caseload data'!$B:$B,"custody")/SUMIFS('caseload data'!E:E,'caseload data'!$B:$B,"custody",'caseload data'!$C:$C,'custody %'!$T$92),"")</f>
        <v/>
      </c>
      <c r="V97" s="175" t="str">
        <f>IFERROR(SUMIFS('caseload data'!F:F,'caseload data'!$C:$C,'custody %'!$T$92,'caseload data'!$D:$D,"SPO",'caseload data'!$B:$B,"custody")/SUMIFS('caseload data'!F:F,'caseload data'!$B:$B,"custody",'caseload data'!$C:$C,'custody %'!$T$92),"")</f>
        <v/>
      </c>
      <c r="W97" s="175" t="str">
        <f>IFERROR(SUMIFS('caseload data'!G:G,'caseload data'!$C:$C,'custody %'!$T$92,'caseload data'!$D:$D,"SPO",'caseload data'!$B:$B,"custody")/SUMIFS('caseload data'!G:G,'caseload data'!$B:$B,"custody",'caseload data'!$C:$C,'custody %'!$T$92),"")</f>
        <v/>
      </c>
      <c r="X97" s="175" t="str">
        <f>IFERROR(SUMIFS('caseload data'!H:H,'caseload data'!$C:$C,'custody %'!$T$92,'caseload data'!$D:$D,"SPO",'caseload data'!$B:$B,"custody")/SUMIFS('caseload data'!H:H,'caseload data'!$B:$B,"custody",'caseload data'!$C:$C,'custody %'!$T$92),"")</f>
        <v/>
      </c>
      <c r="Y97" s="175" t="str">
        <f>IFERROR(SUMIFS('caseload data'!I:I,'caseload data'!$C:$C,'custody %'!$T$92,'caseload data'!$D:$D,"SPO",'caseload data'!$B:$B,"custody")/SUMIFS('caseload data'!I:I,'caseload data'!$B:$B,"custody",'caseload data'!$C:$C,'custody %'!$T$92),"")</f>
        <v/>
      </c>
      <c r="Z97" s="175" t="str">
        <f>IFERROR(SUMIFS('caseload data'!J:J,'caseload data'!$C:$C,'custody %'!$T$92,'caseload data'!$D:$D,"SPO",'caseload data'!$B:$B,"custody")/SUMIFS('caseload data'!J:J,'caseload data'!$B:$B,"custody",'caseload data'!$C:$C,'custody %'!$T$92),"")</f>
        <v/>
      </c>
      <c r="AA97" s="175" t="str">
        <f>IFERROR(SUMIFS('caseload data'!K:K,'caseload data'!$C:$C,'custody %'!$T$92,'caseload data'!$D:$D,"SPO",'caseload data'!$B:$B,"custody")/SUMIFS('caseload data'!K:K,'caseload data'!$B:$B,"custody",'caseload data'!$C:$C,'custody %'!$T$92),"")</f>
        <v/>
      </c>
      <c r="AB97" s="175" t="str">
        <f>IFERROR(SUMIFS('caseload data'!L:L,'caseload data'!$C:$C,'custody %'!$T$92,'caseload data'!$D:$D,"SPO",'caseload data'!$B:$B,"custody")/SUMIFS('caseload data'!L:L,'caseload data'!$B:$B,"custody",'caseload data'!$C:$C,'custody %'!$T$92),"")</f>
        <v/>
      </c>
      <c r="AC97" s="175" t="str">
        <f>IFERROR(SUMIFS('caseload data'!M:M,'caseload data'!$C:$C,'custody %'!$T$92,'caseload data'!$D:$D,"SPO",'caseload data'!$B:$B,"custody")/SUMIFS('caseload data'!M:M,'caseload data'!$B:$B,"custody",'caseload data'!$C:$C,'custody %'!$T$92),"")</f>
        <v/>
      </c>
      <c r="AD97" s="175" t="str">
        <f>IFERROR(SUMIFS('caseload data'!N:N,'caseload data'!$C:$C,'custody %'!$T$92,'caseload data'!$D:$D,"SPO",'caseload data'!$B:$B,"custody")/SUMIFS('caseload data'!N:N,'caseload data'!$B:$B,"custody",'caseload data'!$C:$C,'custody %'!$T$92),"")</f>
        <v/>
      </c>
      <c r="AE97" s="175" t="str">
        <f>IFERROR(SUMIFS('caseload data'!O:O,'caseload data'!$C:$C,'custody %'!$T$92,'caseload data'!$D:$D,"SPO",'caseload data'!$B:$B,"custody")/SUMIFS('caseload data'!O:O,'caseload data'!$B:$B,"custody",'caseload data'!$C:$C,'custody %'!$T$92),"")</f>
        <v/>
      </c>
      <c r="AF97" s="175" t="str">
        <f>IFERROR(SUMIFS('caseload data'!P:P,'caseload data'!$C:$C,'custody %'!$T$92,'caseload data'!$D:$D,"SPO",'caseload data'!$B:$B,"custody")/SUMIFS('caseload data'!P:P,'caseload data'!$B:$B,"custody",'caseload data'!$C:$C,'custody %'!$T$92),"")</f>
        <v/>
      </c>
      <c r="AG97" s="175" t="str">
        <f>IFERROR(SUMIFS('caseload data'!Q:Q,'caseload data'!$C:$C,'custody %'!$T$92,'caseload data'!$D:$D,"SPO",'caseload data'!$B:$B,"custody")/SUMIFS('caseload data'!Q:Q,'caseload data'!$B:$B,"custody",'caseload data'!$C:$C,'custody %'!$T$92),"")</f>
        <v/>
      </c>
      <c r="AH97" s="175" t="str">
        <f>IFERROR(SUMIFS('caseload data'!R:R,'caseload data'!$C:$C,'custody %'!$T$92,'caseload data'!$D:$D,"SPO",'caseload data'!$B:$B,"custody")/SUMIFS('caseload data'!R:R,'caseload data'!$B:$B,"custody",'caseload data'!$C:$C,'custody %'!$T$92),"")</f>
        <v/>
      </c>
      <c r="AI97" s="175"/>
      <c r="AJ97" s="175"/>
    </row>
    <row r="99" spans="2:36" ht="23.25" customHeight="1" x14ac:dyDescent="0.15">
      <c r="B99" s="302">
        <f>HLOOKUP($B$5,Region_Table,28,0)</f>
        <v>0</v>
      </c>
      <c r="C99" s="467" t="s">
        <v>1305</v>
      </c>
      <c r="D99" s="468"/>
      <c r="E99" s="468"/>
      <c r="F99" s="468"/>
      <c r="G99" s="468"/>
      <c r="H99" s="468"/>
      <c r="I99" s="468"/>
      <c r="J99" s="468"/>
      <c r="K99" s="468"/>
      <c r="L99" s="468"/>
      <c r="M99" s="487"/>
      <c r="N99" s="487"/>
      <c r="O99" s="488"/>
      <c r="P99" s="462">
        <f>SUMIF('caseload data'!$C:$C,'custody %'!B99,'caseload data'!V:V)</f>
        <v>0</v>
      </c>
      <c r="Q99" s="479"/>
      <c r="R99" s="480"/>
    </row>
    <row r="100" spans="2:36" x14ac:dyDescent="0.15">
      <c r="B100" s="99" t="s">
        <v>1170</v>
      </c>
      <c r="C100" s="40" t="s">
        <v>1022</v>
      </c>
      <c r="D100" s="40" t="s">
        <v>1023</v>
      </c>
      <c r="E100" s="40" t="s">
        <v>1024</v>
      </c>
      <c r="F100" s="40" t="s">
        <v>1025</v>
      </c>
      <c r="G100" s="40" t="s">
        <v>1026</v>
      </c>
      <c r="H100" s="40" t="s">
        <v>1027</v>
      </c>
      <c r="I100" s="40" t="s">
        <v>1028</v>
      </c>
      <c r="J100" s="40" t="s">
        <v>1029</v>
      </c>
      <c r="K100" s="40" t="s">
        <v>1030</v>
      </c>
      <c r="L100" s="40" t="s">
        <v>1031</v>
      </c>
      <c r="M100" s="40" t="s">
        <v>1032</v>
      </c>
      <c r="N100" s="40" t="s">
        <v>1033</v>
      </c>
      <c r="O100" s="40" t="s">
        <v>1034</v>
      </c>
      <c r="P100" s="40" t="s">
        <v>1035</v>
      </c>
      <c r="Q100" s="40" t="s">
        <v>1036</v>
      </c>
      <c r="R100" s="40" t="s">
        <v>1037</v>
      </c>
    </row>
    <row r="101" spans="2:36" x14ac:dyDescent="0.15">
      <c r="B101" s="100" t="s">
        <v>1166</v>
      </c>
      <c r="C101" s="175" t="str">
        <f>IFERROR(SUMIFS('caseload data'!E:E,'caseload data'!$C:$C,'custody %'!$B$99,'caseload data'!$D:$D,"PO",'caseload data'!$B:$B,"custody")/SUMIFS('caseload data'!E:E,'caseload data'!$B:$B,"custody",'caseload data'!$C:$C,'custody %'!$B$99),"")</f>
        <v/>
      </c>
      <c r="D101" s="175" t="str">
        <f>IFERROR(SUMIFS('caseload data'!F:F,'caseload data'!$C:$C,'custody %'!$B$99,'caseload data'!$D:$D,"PO",'caseload data'!$B:$B,"custody")/SUMIFS('caseload data'!F:F,'caseload data'!$B:$B,"custody",'caseload data'!$C:$C,'custody %'!$B$99),"")</f>
        <v/>
      </c>
      <c r="E101" s="175" t="str">
        <f>IFERROR(SUMIFS('caseload data'!G:G,'caseload data'!$C:$C,'custody %'!$B$99,'caseload data'!$D:$D,"PO",'caseload data'!$B:$B,"custody")/SUMIFS('caseload data'!G:G,'caseload data'!$B:$B,"custody",'caseload data'!$C:$C,'custody %'!$B$99),"")</f>
        <v/>
      </c>
      <c r="F101" s="175" t="str">
        <f>IFERROR(SUMIFS('caseload data'!H:H,'caseload data'!$C:$C,'custody %'!$B$99,'caseload data'!$D:$D,"PO",'caseload data'!$B:$B,"custody")/SUMIFS('caseload data'!H:H,'caseload data'!$B:$B,"custody",'caseload data'!$C:$C,'custody %'!$B$99),"")</f>
        <v/>
      </c>
      <c r="G101" s="175" t="str">
        <f>IFERROR(SUMIFS('caseload data'!I:I,'caseload data'!$C:$C,'custody %'!$B$99,'caseload data'!$D:$D,"PO",'caseload data'!$B:$B,"custody")/SUMIFS('caseload data'!I:I,'caseload data'!$B:$B,"custody",'caseload data'!$C:$C,'custody %'!$B$99),"")</f>
        <v/>
      </c>
      <c r="H101" s="175" t="str">
        <f>IFERROR(SUMIFS('caseload data'!J:J,'caseload data'!$C:$C,'custody %'!$B$99,'caseload data'!$D:$D,"PO",'caseload data'!$B:$B,"custody")/SUMIFS('caseload data'!J:J,'caseload data'!$B:$B,"custody",'caseload data'!$C:$C,'custody %'!$B$99),"")</f>
        <v/>
      </c>
      <c r="I101" s="175" t="str">
        <f>IFERROR(SUMIFS('caseload data'!K:K,'caseload data'!$C:$C,'custody %'!$B$99,'caseload data'!$D:$D,"PO",'caseload data'!$B:$B,"custody")/SUMIFS('caseload data'!K:K,'caseload data'!$B:$B,"custody",'caseload data'!$C:$C,'custody %'!$B$99),"")</f>
        <v/>
      </c>
      <c r="J101" s="175" t="str">
        <f>IFERROR(SUMIFS('caseload data'!L:L,'caseload data'!$C:$C,'custody %'!$B$99,'caseload data'!$D:$D,"PO",'caseload data'!$B:$B,"custody")/SUMIFS('caseload data'!L:L,'caseload data'!$B:$B,"custody",'caseload data'!$C:$C,'custody %'!$B$99),"")</f>
        <v/>
      </c>
      <c r="K101" s="175" t="str">
        <f>IFERROR(SUMIFS('caseload data'!M:M,'caseload data'!$C:$C,'custody %'!$B$99,'caseload data'!$D:$D,"PO",'caseload data'!$B:$B,"custody")/SUMIFS('caseload data'!M:M,'caseload data'!$B:$B,"custody",'caseload data'!$C:$C,'custody %'!$B$99),"")</f>
        <v/>
      </c>
      <c r="L101" s="175" t="str">
        <f>IFERROR(SUMIFS('caseload data'!N:N,'caseload data'!$C:$C,'custody %'!$B$99,'caseload data'!$D:$D,"PO",'caseload data'!$B:$B,"custody")/SUMIFS('caseload data'!N:N,'caseload data'!$B:$B,"custody",'caseload data'!$C:$C,'custody %'!$B$99),"")</f>
        <v/>
      </c>
      <c r="M101" s="175" t="str">
        <f>IFERROR(SUMIFS('caseload data'!O:O,'caseload data'!$C:$C,'custody %'!$B$99,'caseload data'!$D:$D,"PO",'caseload data'!$B:$B,"custody")/SUMIFS('caseload data'!O:O,'caseload data'!$B:$B,"custody",'caseload data'!$C:$C,'custody %'!$B$99),"")</f>
        <v/>
      </c>
      <c r="N101" s="175" t="str">
        <f>IFERROR(SUMIFS('caseload data'!P:P,'caseload data'!$C:$C,'custody %'!$B$99,'caseload data'!$D:$D,"PO",'caseload data'!$B:$B,"custody")/SUMIFS('caseload data'!P:P,'caseload data'!$B:$B,"custody",'caseload data'!$C:$C,'custody %'!$B$99),"")</f>
        <v/>
      </c>
      <c r="O101" s="175" t="str">
        <f>IFERROR(SUMIFS('caseload data'!Q:Q,'caseload data'!$C:$C,'custody %'!$B$99,'caseload data'!$D:$D,"PO",'caseload data'!$B:$B,"custody")/SUMIFS('caseload data'!Q:Q,'caseload data'!$B:$B,"custody",'caseload data'!$C:$C,'custody %'!$B$99),"")</f>
        <v/>
      </c>
      <c r="P101" s="175" t="str">
        <f>IFERROR(SUMIFS('caseload data'!R:R,'caseload data'!$C:$C,'custody %'!$B$99,'caseload data'!$D:$D,"PO",'caseload data'!$B:$B,"custody")/SUMIFS('caseload data'!R:R,'caseload data'!$B:$B,"custody",'caseload data'!$C:$C,'custody %'!$B$99),"")</f>
        <v/>
      </c>
      <c r="Q101" s="175" t="str">
        <f>IFERROR(SUMIFS('caseload data'!S:S,'caseload data'!$C:$C,'custody %'!$B$99,'caseload data'!$D:$D,"PO",'caseload data'!$B:$B,"custody")/SUMIFS('caseload data'!S:S,'caseload data'!$B:$B,"custody",'caseload data'!$C:$C,'custody %'!$B$99),"")</f>
        <v/>
      </c>
      <c r="R101" s="175" t="str">
        <f>IFERROR(SUMIFS('caseload data'!T:T,'caseload data'!$C:$C,'custody %'!$B$99,'caseload data'!$D:$D,"PO",'caseload data'!$B:$B,"custody")/SUMIFS('caseload data'!T:T,'caseload data'!$B:$B,"custody",'caseload data'!$C:$C,'custody %'!$B$99),"")</f>
        <v/>
      </c>
    </row>
    <row r="102" spans="2:36" x14ac:dyDescent="0.15">
      <c r="B102" s="101" t="s">
        <v>1172</v>
      </c>
      <c r="C102" s="175" t="str">
        <f>IFERROR(SUMIFS('caseload data'!E:E,'caseload data'!$C:$C,'custody %'!$B$99,'caseload data'!$D:$D,"PSO",'caseload data'!$B:$B,"custody")/SUMIFS('caseload data'!E:E,'caseload data'!$B:$B,"custody",'caseload data'!$C:$C,'custody %'!$B$99),"")</f>
        <v/>
      </c>
      <c r="D102" s="175" t="str">
        <f>IFERROR(SUMIFS('caseload data'!F:F,'caseload data'!$C:$C,'custody %'!$B$99,'caseload data'!$D:$D,"PSO",'caseload data'!$B:$B,"custody")/SUMIFS('caseload data'!F:F,'caseload data'!$B:$B,"custody",'caseload data'!$C:$C,'custody %'!$B$99),"")</f>
        <v/>
      </c>
      <c r="E102" s="175" t="str">
        <f>IFERROR(SUMIFS('caseload data'!G:G,'caseload data'!$C:$C,'custody %'!$B$99,'caseload data'!$D:$D,"PSO",'caseload data'!$B:$B,"custody")/SUMIFS('caseload data'!G:G,'caseload data'!$B:$B,"custody",'caseload data'!$C:$C,'custody %'!$B$99),"")</f>
        <v/>
      </c>
      <c r="F102" s="175" t="str">
        <f>IFERROR(SUMIFS('caseload data'!H:H,'caseload data'!$C:$C,'custody %'!$B$99,'caseload data'!$D:$D,"PSO",'caseload data'!$B:$B,"custody")/SUMIFS('caseload data'!H:H,'caseload data'!$B:$B,"custody",'caseload data'!$C:$C,'custody %'!$B$99),"")</f>
        <v/>
      </c>
      <c r="G102" s="175" t="str">
        <f>IFERROR(SUMIFS('caseload data'!I:I,'caseload data'!$C:$C,'custody %'!$B$99,'caseload data'!$D:$D,"PSO",'caseload data'!$B:$B,"custody")/SUMIFS('caseload data'!I:I,'caseload data'!$B:$B,"custody",'caseload data'!$C:$C,'custody %'!$B$99),"")</f>
        <v/>
      </c>
      <c r="H102" s="175" t="str">
        <f>IFERROR(SUMIFS('caseload data'!J:J,'caseload data'!$C:$C,'custody %'!$B$99,'caseload data'!$D:$D,"PSO",'caseload data'!$B:$B,"custody")/SUMIFS('caseload data'!J:J,'caseload data'!$B:$B,"custody",'caseload data'!$C:$C,'custody %'!$B$99),"")</f>
        <v/>
      </c>
      <c r="I102" s="175" t="str">
        <f>IFERROR(SUMIFS('caseload data'!K:K,'caseload data'!$C:$C,'custody %'!$B$99,'caseload data'!$D:$D,"PSO",'caseload data'!$B:$B,"custody")/SUMIFS('caseload data'!K:K,'caseload data'!$B:$B,"custody",'caseload data'!$C:$C,'custody %'!$B$99),"")</f>
        <v/>
      </c>
      <c r="J102" s="175" t="str">
        <f>IFERROR(SUMIFS('caseload data'!L:L,'caseload data'!$C:$C,'custody %'!$B$99,'caseload data'!$D:$D,"PSO",'caseload data'!$B:$B,"custody")/SUMIFS('caseload data'!L:L,'caseload data'!$B:$B,"custody",'caseload data'!$C:$C,'custody %'!$B$99),"")</f>
        <v/>
      </c>
      <c r="K102" s="175" t="str">
        <f>IFERROR(SUMIFS('caseload data'!M:M,'caseload data'!$C:$C,'custody %'!$B$99,'caseload data'!$D:$D,"PSO",'caseload data'!$B:$B,"custody")/SUMIFS('caseload data'!M:M,'caseload data'!$B:$B,"custody",'caseload data'!$C:$C,'custody %'!$B$99),"")</f>
        <v/>
      </c>
      <c r="L102" s="175" t="str">
        <f>IFERROR(SUMIFS('caseload data'!N:N,'caseload data'!$C:$C,'custody %'!$B$99,'caseload data'!$D:$D,"PSO",'caseload data'!$B:$B,"custody")/SUMIFS('caseload data'!N:N,'caseload data'!$B:$B,"custody",'caseload data'!$C:$C,'custody %'!$B$99),"")</f>
        <v/>
      </c>
      <c r="M102" s="175" t="str">
        <f>IFERROR(SUMIFS('caseload data'!O:O,'caseload data'!$C:$C,'custody %'!$B$99,'caseload data'!$D:$D,"PSO",'caseload data'!$B:$B,"custody")/SUMIFS('caseload data'!O:O,'caseload data'!$B:$B,"custody",'caseload data'!$C:$C,'custody %'!$B$99),"")</f>
        <v/>
      </c>
      <c r="N102" s="175" t="str">
        <f>IFERROR(SUMIFS('caseload data'!P:P,'caseload data'!$C:$C,'custody %'!$B$99,'caseload data'!$D:$D,"PSO",'caseload data'!$B:$B,"custody")/SUMIFS('caseload data'!P:P,'caseload data'!$B:$B,"custody",'caseload data'!$C:$C,'custody %'!$B$99),"")</f>
        <v/>
      </c>
      <c r="O102" s="175" t="str">
        <f>IFERROR(SUMIFS('caseload data'!Q:Q,'caseload data'!$C:$C,'custody %'!$B$99,'caseload data'!$D:$D,"PSO",'caseload data'!$B:$B,"custody")/SUMIFS('caseload data'!Q:Q,'caseload data'!$B:$B,"custody",'caseload data'!$C:$C,'custody %'!$B$99),"")</f>
        <v/>
      </c>
      <c r="P102" s="175" t="str">
        <f>IFERROR(SUMIFS('caseload data'!R:R,'caseload data'!$C:$C,'custody %'!$B$99,'caseload data'!$D:$D,"PSO",'caseload data'!$B:$B,"custody")/SUMIFS('caseload data'!R:R,'caseload data'!$B:$B,"custody",'caseload data'!$C:$C,'custody %'!$B$99),"")</f>
        <v/>
      </c>
      <c r="Q102" s="175" t="str">
        <f>IFERROR(SUMIFS('caseload data'!S:S,'caseload data'!$C:$C,'custody %'!$B$99,'caseload data'!$D:$D,"PSO",'caseload data'!$B:$B,"custody")/SUMIFS('caseload data'!S:S,'caseload data'!$B:$B,"custody",'caseload data'!$C:$C,'custody %'!$B$99),"")</f>
        <v/>
      </c>
      <c r="R102" s="175" t="str">
        <f>IFERROR(SUMIFS('caseload data'!T:T,'caseload data'!$C:$C,'custody %'!$B$99,'caseload data'!$D:$D,"PSO",'caseload data'!$B:$B,"custody")/SUMIFS('caseload data'!T:T,'caseload data'!$B:$B,"custody",'caseload data'!$C:$C,'custody %'!$B$99),"")</f>
        <v/>
      </c>
    </row>
    <row r="103" spans="2:36" x14ac:dyDescent="0.15">
      <c r="B103" s="101" t="s">
        <v>1173</v>
      </c>
      <c r="C103" s="175" t="str">
        <f>IFERROR(SUMIFS('caseload data'!E:E,'caseload data'!$C:$C,'custody %'!$B$99,'caseload data'!$D:$D,"TPO",'caseload data'!$B:$B,"custody")/SUMIFS('caseload data'!E:E,'caseload data'!$B:$B,"custody",'caseload data'!$C:$C,'custody %'!$B$99),"")</f>
        <v/>
      </c>
      <c r="D103" s="175" t="str">
        <f>IFERROR(SUMIFS('caseload data'!F:F,'caseload data'!$C:$C,'custody %'!$B$99,'caseload data'!$D:$D,"TPO",'caseload data'!$B:$B,"custody")/SUMIFS('caseload data'!F:F,'caseload data'!$B:$B,"custody",'caseload data'!$C:$C,'custody %'!$B$99),"")</f>
        <v/>
      </c>
      <c r="E103" s="175" t="str">
        <f>IFERROR(SUMIFS('caseload data'!G:G,'caseload data'!$C:$C,'custody %'!$B$99,'caseload data'!$D:$D,"TPO",'caseload data'!$B:$B,"custody")/SUMIFS('caseload data'!G:G,'caseload data'!$B:$B,"custody",'caseload data'!$C:$C,'custody %'!$B$99),"")</f>
        <v/>
      </c>
      <c r="F103" s="175" t="str">
        <f>IFERROR(SUMIFS('caseload data'!H:H,'caseload data'!$C:$C,'custody %'!$B$99,'caseload data'!$D:$D,"TPO",'caseload data'!$B:$B,"custody")/SUMIFS('caseload data'!H:H,'caseload data'!$B:$B,"custody",'caseload data'!$C:$C,'custody %'!$B$99),"")</f>
        <v/>
      </c>
      <c r="G103" s="175" t="str">
        <f>IFERROR(SUMIFS('caseload data'!I:I,'caseload data'!$C:$C,'custody %'!$B$99,'caseload data'!$D:$D,"TPO",'caseload data'!$B:$B,"custody")/SUMIFS('caseload data'!I:I,'caseload data'!$B:$B,"custody",'caseload data'!$C:$C,'custody %'!$B$99),"")</f>
        <v/>
      </c>
      <c r="H103" s="175" t="str">
        <f>IFERROR(SUMIFS('caseload data'!J:J,'caseload data'!$C:$C,'custody %'!$B$99,'caseload data'!$D:$D,"TPO",'caseload data'!$B:$B,"custody")/SUMIFS('caseload data'!J:J,'caseload data'!$B:$B,"custody",'caseload data'!$C:$C,'custody %'!$B$99),"")</f>
        <v/>
      </c>
      <c r="I103" s="175" t="str">
        <f>IFERROR(SUMIFS('caseload data'!K:K,'caseload data'!$C:$C,'custody %'!$B$99,'caseload data'!$D:$D,"TPO",'caseload data'!$B:$B,"custody")/SUMIFS('caseload data'!K:K,'caseload data'!$B:$B,"custody",'caseload data'!$C:$C,'custody %'!$B$99),"")</f>
        <v/>
      </c>
      <c r="J103" s="175" t="str">
        <f>IFERROR(SUMIFS('caseload data'!L:L,'caseload data'!$C:$C,'custody %'!$B$99,'caseload data'!$D:$D,"TPO",'caseload data'!$B:$B,"custody")/SUMIFS('caseload data'!L:L,'caseload data'!$B:$B,"custody",'caseload data'!$C:$C,'custody %'!$B$99),"")</f>
        <v/>
      </c>
      <c r="K103" s="175" t="str">
        <f>IFERROR(SUMIFS('caseload data'!M:M,'caseload data'!$C:$C,'custody %'!$B$99,'caseload data'!$D:$D,"TPO",'caseload data'!$B:$B,"custody")/SUMIFS('caseload data'!M:M,'caseload data'!$B:$B,"custody",'caseload data'!$C:$C,'custody %'!$B$99),"")</f>
        <v/>
      </c>
      <c r="L103" s="175" t="str">
        <f>IFERROR(SUMIFS('caseload data'!N:N,'caseload data'!$C:$C,'custody %'!$B$99,'caseload data'!$D:$D,"TPO",'caseload data'!$B:$B,"custody")/SUMIFS('caseload data'!N:N,'caseload data'!$B:$B,"custody",'caseload data'!$C:$C,'custody %'!$B$99),"")</f>
        <v/>
      </c>
      <c r="M103" s="175" t="str">
        <f>IFERROR(SUMIFS('caseload data'!O:O,'caseload data'!$C:$C,'custody %'!$B$99,'caseload data'!$D:$D,"TPO",'caseload data'!$B:$B,"custody")/SUMIFS('caseload data'!O:O,'caseload data'!$B:$B,"custody",'caseload data'!$C:$C,'custody %'!$B$99),"")</f>
        <v/>
      </c>
      <c r="N103" s="175" t="str">
        <f>IFERROR(SUMIFS('caseload data'!P:P,'caseload data'!$C:$C,'custody %'!$B$99,'caseload data'!$D:$D,"TPO",'caseload data'!$B:$B,"custody")/SUMIFS('caseload data'!P:P,'caseload data'!$B:$B,"custody",'caseload data'!$C:$C,'custody %'!$B$99),"")</f>
        <v/>
      </c>
      <c r="O103" s="175" t="str">
        <f>IFERROR(SUMIFS('caseload data'!Q:Q,'caseload data'!$C:$C,'custody %'!$B$99,'caseload data'!$D:$D,"TPO",'caseload data'!$B:$B,"custody")/SUMIFS('caseload data'!Q:Q,'caseload data'!$B:$B,"custody",'caseload data'!$C:$C,'custody %'!$B$99),"")</f>
        <v/>
      </c>
      <c r="P103" s="175" t="str">
        <f>IFERROR(SUMIFS('caseload data'!R:R,'caseload data'!$C:$C,'custody %'!$B$99,'caseload data'!$D:$D,"TPO",'caseload data'!$B:$B,"custody")/SUMIFS('caseload data'!R:R,'caseload data'!$B:$B,"custody",'caseload data'!$C:$C,'custody %'!$B$99),"")</f>
        <v/>
      </c>
      <c r="Q103" s="175" t="str">
        <f>IFERROR(SUMIFS('caseload data'!S:S,'caseload data'!$C:$C,'custody %'!$B$99,'caseload data'!$D:$D,"TPO",'caseload data'!$B:$B,"custody")/SUMIFS('caseload data'!S:S,'caseload data'!$B:$B,"custody",'caseload data'!$C:$C,'custody %'!$B$99),"")</f>
        <v/>
      </c>
      <c r="R103" s="175" t="str">
        <f>IFERROR(SUMIFS('caseload data'!T:T,'caseload data'!$C:$C,'custody %'!$B$99,'caseload data'!$D:$D,"TPO",'caseload data'!$B:$B,"custody")/SUMIFS('caseload data'!T:T,'caseload data'!$B:$B,"custody",'caseload data'!$C:$C,'custody %'!$B$99),"")</f>
        <v/>
      </c>
    </row>
    <row r="104" spans="2:36" x14ac:dyDescent="0.15">
      <c r="B104" s="102" t="s">
        <v>1174</v>
      </c>
      <c r="C104" s="175" t="str">
        <f>IFERROR(SUMIFS('caseload data'!E:E,'caseload data'!$C:$C,'custody %'!$B$99,'caseload data'!$D:$D,"SPO",'caseload data'!$B:$B,"custody")/SUMIFS('caseload data'!E:E,'caseload data'!$B:$B,"custody",'caseload data'!$C:$C,'custody %'!$B$99),"")</f>
        <v/>
      </c>
      <c r="D104" s="175" t="str">
        <f>IFERROR(SUMIFS('caseload data'!F:F,'caseload data'!$C:$C,'custody %'!$B$99,'caseload data'!$D:$D,"SPO",'caseload data'!$B:$B,"custody")/SUMIFS('caseload data'!F:F,'caseload data'!$B:$B,"custody",'caseload data'!$C:$C,'custody %'!$B$99),"")</f>
        <v/>
      </c>
      <c r="E104" s="175" t="str">
        <f>IFERROR(SUMIFS('caseload data'!G:G,'caseload data'!$C:$C,'custody %'!$B$99,'caseload data'!$D:$D,"SPO",'caseload data'!$B:$B,"custody")/SUMIFS('caseload data'!G:G,'caseload data'!$B:$B,"custody",'caseload data'!$C:$C,'custody %'!$B$99),"")</f>
        <v/>
      </c>
      <c r="F104" s="175" t="str">
        <f>IFERROR(SUMIFS('caseload data'!H:H,'caseload data'!$C:$C,'custody %'!$B$99,'caseload data'!$D:$D,"SPO",'caseload data'!$B:$B,"custody")/SUMIFS('caseload data'!H:H,'caseload data'!$B:$B,"custody",'caseload data'!$C:$C,'custody %'!$B$99),"")</f>
        <v/>
      </c>
      <c r="G104" s="175" t="str">
        <f>IFERROR(SUMIFS('caseload data'!I:I,'caseload data'!$C:$C,'custody %'!$B$99,'caseload data'!$D:$D,"SPO",'caseload data'!$B:$B,"custody")/SUMIFS('caseload data'!I:I,'caseload data'!$B:$B,"custody",'caseload data'!$C:$C,'custody %'!$B$99),"")</f>
        <v/>
      </c>
      <c r="H104" s="175" t="str">
        <f>IFERROR(SUMIFS('caseload data'!J:J,'caseload data'!$C:$C,'custody %'!$B$99,'caseload data'!$D:$D,"SPO",'caseload data'!$B:$B,"custody")/SUMIFS('caseload data'!J:J,'caseload data'!$B:$B,"custody",'caseload data'!$C:$C,'custody %'!$B$99),"")</f>
        <v/>
      </c>
      <c r="I104" s="175" t="str">
        <f>IFERROR(SUMIFS('caseload data'!K:K,'caseload data'!$C:$C,'custody %'!$B$99,'caseload data'!$D:$D,"SPO",'caseload data'!$B:$B,"custody")/SUMIFS('caseload data'!K:K,'caseload data'!$B:$B,"custody",'caseload data'!$C:$C,'custody %'!$B$99),"")</f>
        <v/>
      </c>
      <c r="J104" s="175" t="str">
        <f>IFERROR(SUMIFS('caseload data'!L:L,'caseload data'!$C:$C,'custody %'!$B$99,'caseload data'!$D:$D,"SPO",'caseload data'!$B:$B,"custody")/SUMIFS('caseload data'!L:L,'caseload data'!$B:$B,"custody",'caseload data'!$C:$C,'custody %'!$B$99),"")</f>
        <v/>
      </c>
      <c r="K104" s="175" t="str">
        <f>IFERROR(SUMIFS('caseload data'!M:M,'caseload data'!$C:$C,'custody %'!$B$99,'caseload data'!$D:$D,"SPO",'caseload data'!$B:$B,"custody")/SUMIFS('caseload data'!M:M,'caseload data'!$B:$B,"custody",'caseload data'!$C:$C,'custody %'!$B$99),"")</f>
        <v/>
      </c>
      <c r="L104" s="175" t="str">
        <f>IFERROR(SUMIFS('caseload data'!N:N,'caseload data'!$C:$C,'custody %'!$B$99,'caseload data'!$D:$D,"SPO",'caseload data'!$B:$B,"custody")/SUMIFS('caseload data'!N:N,'caseload data'!$B:$B,"custody",'caseload data'!$C:$C,'custody %'!$B$99),"")</f>
        <v/>
      </c>
      <c r="M104" s="175" t="str">
        <f>IFERROR(SUMIFS('caseload data'!O:O,'caseload data'!$C:$C,'custody %'!$B$99,'caseload data'!$D:$D,"SPO",'caseload data'!$B:$B,"custody")/SUMIFS('caseload data'!O:O,'caseload data'!$B:$B,"custody",'caseload data'!$C:$C,'custody %'!$B$99),"")</f>
        <v/>
      </c>
      <c r="N104" s="175" t="str">
        <f>IFERROR(SUMIFS('caseload data'!P:P,'caseload data'!$C:$C,'custody %'!$B$99,'caseload data'!$D:$D,"SPO",'caseload data'!$B:$B,"custody")/SUMIFS('caseload data'!P:P,'caseload data'!$B:$B,"custody",'caseload data'!$C:$C,'custody %'!$B$99),"")</f>
        <v/>
      </c>
      <c r="O104" s="175" t="str">
        <f>IFERROR(SUMIFS('caseload data'!Q:Q,'caseload data'!$C:$C,'custody %'!$B$99,'caseload data'!$D:$D,"SPO",'caseload data'!$B:$B,"custody")/SUMIFS('caseload data'!Q:Q,'caseload data'!$B:$B,"custody",'caseload data'!$C:$C,'custody %'!$B$99),"")</f>
        <v/>
      </c>
      <c r="P104" s="175" t="str">
        <f>IFERROR(SUMIFS('caseload data'!R:R,'caseload data'!$C:$C,'custody %'!$B$99,'caseload data'!$D:$D,"SPO",'caseload data'!$B:$B,"custody")/SUMIFS('caseload data'!R:R,'caseload data'!$B:$B,"custody",'caseload data'!$C:$C,'custody %'!$B$99),"")</f>
        <v/>
      </c>
      <c r="Q104" s="175" t="str">
        <f>IFERROR(SUMIFS('caseload data'!S:S,'caseload data'!$C:$C,'custody %'!$B$99,'caseload data'!$D:$D,"SPO",'caseload data'!$B:$B,"custody")/SUMIFS('caseload data'!S:S,'caseload data'!$B:$B,"custody",'caseload data'!$C:$C,'custody %'!$B$99),"")</f>
        <v/>
      </c>
      <c r="R104" s="175" t="str">
        <f>IFERROR(SUMIFS('caseload data'!T:T,'caseload data'!$C:$C,'custody %'!$B$99,'caseload data'!$D:$D,"SPO",'caseload data'!$B:$B,"custody")/SUMIFS('caseload data'!T:T,'caseload data'!$B:$B,"custody",'caseload data'!$C:$C,'custody %'!$B$99),"")</f>
        <v/>
      </c>
    </row>
  </sheetData>
  <mergeCells count="56">
    <mergeCell ref="AF78:AH78"/>
    <mergeCell ref="U85:AE85"/>
    <mergeCell ref="AF85:AH85"/>
    <mergeCell ref="U92:AE92"/>
    <mergeCell ref="AF92:AH92"/>
    <mergeCell ref="C99:O99"/>
    <mergeCell ref="P99:R99"/>
    <mergeCell ref="U71:AE71"/>
    <mergeCell ref="U78:AE78"/>
    <mergeCell ref="C78:O78"/>
    <mergeCell ref="P78:R78"/>
    <mergeCell ref="C85:O85"/>
    <mergeCell ref="P85:R85"/>
    <mergeCell ref="C92:O92"/>
    <mergeCell ref="P92:R92"/>
    <mergeCell ref="C64:O64"/>
    <mergeCell ref="P64:R64"/>
    <mergeCell ref="U64:AE64"/>
    <mergeCell ref="AF64:AH64"/>
    <mergeCell ref="C71:O71"/>
    <mergeCell ref="P71:R71"/>
    <mergeCell ref="AF71:AH71"/>
    <mergeCell ref="C8:O8"/>
    <mergeCell ref="P8:R8"/>
    <mergeCell ref="U8:AE8"/>
    <mergeCell ref="AF8:AH8"/>
    <mergeCell ref="A1:AJ1"/>
    <mergeCell ref="A2:AJ2"/>
    <mergeCell ref="C15:O15"/>
    <mergeCell ref="P15:R15"/>
    <mergeCell ref="U15:AE15"/>
    <mergeCell ref="AF15:AH15"/>
    <mergeCell ref="C22:O22"/>
    <mergeCell ref="P22:R22"/>
    <mergeCell ref="U22:AE22"/>
    <mergeCell ref="AF22:AH22"/>
    <mergeCell ref="C29:O29"/>
    <mergeCell ref="P29:R29"/>
    <mergeCell ref="U29:AE29"/>
    <mergeCell ref="AF29:AH29"/>
    <mergeCell ref="C36:O36"/>
    <mergeCell ref="P36:R36"/>
    <mergeCell ref="U36:AE36"/>
    <mergeCell ref="AF36:AH36"/>
    <mergeCell ref="C57:O57"/>
    <mergeCell ref="P57:R57"/>
    <mergeCell ref="U57:AE57"/>
    <mergeCell ref="AF57:AH57"/>
    <mergeCell ref="C43:O43"/>
    <mergeCell ref="P43:R43"/>
    <mergeCell ref="U43:AE43"/>
    <mergeCell ref="AF43:AH43"/>
    <mergeCell ref="C50:O50"/>
    <mergeCell ref="P50:R50"/>
    <mergeCell ref="U50:AE50"/>
    <mergeCell ref="AF50:AH50"/>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topLeftCell="A4" zoomScale="70" zoomScaleNormal="70" workbookViewId="0">
      <selection activeCell="B6" sqref="B6"/>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483" t="s">
        <v>1308</v>
      </c>
      <c r="B1" s="483"/>
      <c r="C1" s="483"/>
      <c r="D1" s="483"/>
      <c r="E1" s="483"/>
      <c r="F1" s="483"/>
      <c r="G1" s="483"/>
      <c r="H1" s="483"/>
      <c r="I1" s="483"/>
      <c r="J1" s="483"/>
      <c r="K1" s="483"/>
      <c r="L1" s="483"/>
      <c r="M1" s="483"/>
      <c r="N1" s="483"/>
      <c r="O1" s="483"/>
      <c r="P1" s="483"/>
      <c r="Q1" s="483"/>
      <c r="R1" s="483"/>
      <c r="S1" s="483"/>
      <c r="T1" s="483"/>
      <c r="U1" s="483"/>
      <c r="V1" s="483"/>
      <c r="W1" s="483"/>
      <c r="X1" s="483"/>
      <c r="Y1" s="483"/>
      <c r="Z1" s="483"/>
      <c r="AA1" s="483"/>
      <c r="AB1" s="483"/>
      <c r="AC1" s="483"/>
      <c r="AD1" s="483"/>
      <c r="AE1" s="483"/>
      <c r="AF1" s="483"/>
      <c r="AG1" s="483"/>
      <c r="AH1" s="483"/>
      <c r="AI1" s="483"/>
      <c r="AJ1" s="483"/>
      <c r="AK1" s="273"/>
      <c r="AL1" s="273"/>
      <c r="AM1" s="273"/>
      <c r="AN1" s="273"/>
      <c r="AO1" s="273"/>
      <c r="AP1" s="273"/>
      <c r="AQ1" s="273"/>
      <c r="AR1" s="273"/>
      <c r="AS1" s="273"/>
      <c r="AT1" s="273"/>
      <c r="AU1" s="273"/>
      <c r="AV1" s="273"/>
      <c r="AW1" s="273"/>
      <c r="AX1" s="273"/>
    </row>
    <row r="2" spans="1:50" ht="49.5" customHeight="1" x14ac:dyDescent="0.15">
      <c r="A2" s="491"/>
      <c r="B2" s="491"/>
      <c r="C2" s="491"/>
      <c r="D2" s="491"/>
      <c r="E2" s="491"/>
      <c r="F2" s="491"/>
      <c r="G2" s="491"/>
      <c r="H2" s="491"/>
      <c r="I2" s="491"/>
      <c r="J2" s="491"/>
      <c r="K2" s="491"/>
      <c r="L2" s="491"/>
      <c r="M2" s="491"/>
      <c r="N2" s="491"/>
      <c r="O2" s="491"/>
      <c r="P2" s="491"/>
      <c r="Q2" s="491"/>
      <c r="R2" s="491"/>
      <c r="S2" s="491"/>
      <c r="T2" s="491"/>
      <c r="U2" s="491"/>
      <c r="V2" s="491"/>
      <c r="W2" s="491"/>
      <c r="X2" s="491"/>
      <c r="Y2" s="491"/>
      <c r="Z2" s="491"/>
      <c r="AA2" s="491"/>
      <c r="AB2" s="491"/>
      <c r="AC2" s="491"/>
      <c r="AD2" s="491"/>
      <c r="AE2" s="491"/>
      <c r="AF2" s="491"/>
      <c r="AG2" s="491"/>
      <c r="AH2" s="491"/>
      <c r="AI2" s="491"/>
      <c r="AJ2" s="491"/>
      <c r="AK2" s="276"/>
      <c r="AL2" s="276"/>
      <c r="AM2" s="276"/>
      <c r="AN2" s="276"/>
      <c r="AO2" s="276"/>
      <c r="AP2" s="276"/>
      <c r="AQ2" s="276"/>
      <c r="AR2" s="276"/>
      <c r="AS2" s="276"/>
      <c r="AT2" s="276"/>
      <c r="AU2" s="276"/>
      <c r="AV2" s="276"/>
      <c r="AW2" s="276"/>
      <c r="AX2" s="276"/>
    </row>
    <row r="3" spans="1:50" s="51" customFormat="1" ht="16" x14ac:dyDescent="0.15">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row>
    <row r="4" spans="1:50" ht="30" x14ac:dyDescent="0.15">
      <c r="B4" s="38" t="s">
        <v>1103</v>
      </c>
    </row>
    <row r="5" spans="1:50" ht="29.25" customHeight="1" x14ac:dyDescent="0.15">
      <c r="B5" s="251" t="s">
        <v>27</v>
      </c>
      <c r="K5" s="247"/>
      <c r="P5" s="42"/>
      <c r="Q5" s="42"/>
    </row>
    <row r="6" spans="1:50" x14ac:dyDescent="0.15">
      <c r="B6" s="49"/>
    </row>
    <row r="8" spans="1:50" ht="36.75" customHeight="1" x14ac:dyDescent="0.15">
      <c r="B8" s="302" t="str">
        <f>HLOOKUP($B$5,Region_Table,2,0)</f>
        <v>Barking and Dagenham and Havering</v>
      </c>
      <c r="C8" s="459" t="s">
        <v>1309</v>
      </c>
      <c r="D8" s="460"/>
      <c r="E8" s="460"/>
      <c r="F8" s="460"/>
      <c r="G8" s="460"/>
      <c r="H8" s="460"/>
      <c r="I8" s="460"/>
      <c r="J8" s="460"/>
      <c r="K8" s="460"/>
      <c r="L8" s="460"/>
      <c r="M8" s="489"/>
      <c r="N8" s="489"/>
      <c r="O8" s="490"/>
      <c r="P8" s="462">
        <f>SUM(SUMIFS('caseload data'!V:V,'caseload data'!B:B,{"licence","community"},'caseload data'!C:C,'community caseload'!B8))</f>
        <v>0</v>
      </c>
      <c r="Q8" s="479"/>
      <c r="R8" s="480"/>
      <c r="S8" s="305"/>
      <c r="T8" s="302" t="str">
        <f>HLOOKUP($B$5,Region_Table,3,0)</f>
        <v>Brent - N07</v>
      </c>
      <c r="U8" s="459" t="s">
        <v>1309</v>
      </c>
      <c r="V8" s="460"/>
      <c r="W8" s="460"/>
      <c r="X8" s="460"/>
      <c r="Y8" s="460"/>
      <c r="Z8" s="460"/>
      <c r="AA8" s="460"/>
      <c r="AB8" s="460"/>
      <c r="AC8" s="460"/>
      <c r="AD8" s="460"/>
      <c r="AE8" s="489"/>
      <c r="AF8" s="489"/>
      <c r="AG8" s="490"/>
      <c r="AH8" s="462">
        <f>SUM(SUMIFS('caseload data'!V:V,'caseload data'!B:B,{"licence","community"},'caseload data'!C:C,'community caseload'!T8))</f>
        <v>0</v>
      </c>
      <c r="AI8" s="479"/>
      <c r="AJ8" s="480"/>
    </row>
    <row r="9" spans="1:50" x14ac:dyDescent="0.15">
      <c r="B9" s="99" t="s">
        <v>1170</v>
      </c>
      <c r="C9" s="40" t="s">
        <v>1022</v>
      </c>
      <c r="D9" s="40" t="s">
        <v>1023</v>
      </c>
      <c r="E9" s="40" t="s">
        <v>1024</v>
      </c>
      <c r="F9" s="40" t="s">
        <v>1025</v>
      </c>
      <c r="G9" s="40" t="s">
        <v>1026</v>
      </c>
      <c r="H9" s="40" t="s">
        <v>1027</v>
      </c>
      <c r="I9" s="40" t="s">
        <v>1028</v>
      </c>
      <c r="J9" s="40" t="s">
        <v>1029</v>
      </c>
      <c r="K9" s="40" t="s">
        <v>1030</v>
      </c>
      <c r="L9" s="40" t="s">
        <v>1031</v>
      </c>
      <c r="M9" s="40" t="s">
        <v>1032</v>
      </c>
      <c r="N9" s="40" t="s">
        <v>1033</v>
      </c>
      <c r="O9" s="40" t="s">
        <v>1034</v>
      </c>
      <c r="P9" s="40" t="s">
        <v>1035</v>
      </c>
      <c r="Q9" s="40" t="s">
        <v>1036</v>
      </c>
      <c r="R9" s="40" t="s">
        <v>1037</v>
      </c>
      <c r="S9" s="68"/>
      <c r="T9" s="99" t="s">
        <v>1170</v>
      </c>
      <c r="U9" s="40" t="s">
        <v>1022</v>
      </c>
      <c r="V9" s="40" t="s">
        <v>1023</v>
      </c>
      <c r="W9" s="40" t="s">
        <v>1024</v>
      </c>
      <c r="X9" s="40" t="s">
        <v>1025</v>
      </c>
      <c r="Y9" s="40" t="s">
        <v>1026</v>
      </c>
      <c r="Z9" s="40" t="s">
        <v>1027</v>
      </c>
      <c r="AA9" s="40" t="s">
        <v>1028</v>
      </c>
      <c r="AB9" s="40" t="s">
        <v>1029</v>
      </c>
      <c r="AC9" s="40" t="s">
        <v>1030</v>
      </c>
      <c r="AD9" s="40" t="s">
        <v>1031</v>
      </c>
      <c r="AE9" s="40" t="s">
        <v>1032</v>
      </c>
      <c r="AF9" s="40" t="s">
        <v>1033</v>
      </c>
      <c r="AG9" s="40" t="s">
        <v>1034</v>
      </c>
      <c r="AH9" s="40" t="s">
        <v>1035</v>
      </c>
      <c r="AI9" s="40" t="s">
        <v>1036</v>
      </c>
      <c r="AJ9" s="40" t="s">
        <v>1037</v>
      </c>
    </row>
    <row r="10" spans="1:50" x14ac:dyDescent="0.15">
      <c r="B10" s="100" t="s">
        <v>1166</v>
      </c>
      <c r="C10" s="98">
        <f>SUM(SUMIFS('caseload data'!E:E,'caseload data'!$D:$D,"PO",'caseload data'!$C:$C,'community caseload'!$B$8,'caseload data'!$B:$B,{"licence","community"}))</f>
        <v>0</v>
      </c>
      <c r="D10" s="98">
        <f>SUM(SUMIFS('caseload data'!F:F,'caseload data'!$D:$D,"PO",'caseload data'!$C:$C,'community caseload'!$B$8,'caseload data'!$B:$B,{"licence","community"}))</f>
        <v>0</v>
      </c>
      <c r="E10" s="98">
        <f>SUM(SUMIFS('caseload data'!G:G,'caseload data'!$D:$D,"PO",'caseload data'!$C:$C,'community caseload'!$B$8,'caseload data'!$B:$B,{"licence","community"}))</f>
        <v>0</v>
      </c>
      <c r="F10" s="98">
        <f>SUM(SUMIFS('caseload data'!H:H,'caseload data'!$D:$D,"PO",'caseload data'!$C:$C,'community caseload'!$B$8,'caseload data'!$B:$B,{"licence","community"}))</f>
        <v>0</v>
      </c>
      <c r="G10" s="98">
        <f>SUM(SUMIFS('caseload data'!I:I,'caseload data'!$D:$D,"PO",'caseload data'!$C:$C,'community caseload'!$B$8,'caseload data'!$B:$B,{"licence","community"}))</f>
        <v>0</v>
      </c>
      <c r="H10" s="98">
        <f>SUM(SUMIFS('caseload data'!J:J,'caseload data'!$D:$D,"PO",'caseload data'!$C:$C,'community caseload'!$B$8,'caseload data'!$B:$B,{"licence","community"}))</f>
        <v>0</v>
      </c>
      <c r="I10" s="98">
        <f>SUM(SUMIFS('caseload data'!K:K,'caseload data'!$D:$D,"PO",'caseload data'!$C:$C,'community caseload'!$B$8,'caseload data'!$B:$B,{"licence","community"}))</f>
        <v>0</v>
      </c>
      <c r="J10" s="98">
        <f>SUM(SUMIFS('caseload data'!L:L,'caseload data'!$D:$D,"PO",'caseload data'!$C:$C,'community caseload'!$B$8,'caseload data'!$B:$B,{"licence","community"}))</f>
        <v>0</v>
      </c>
      <c r="K10" s="98">
        <f>SUM(SUMIFS('caseload data'!M:M,'caseload data'!$D:$D,"PO",'caseload data'!$C:$C,'community caseload'!$B$8,'caseload data'!$B:$B,{"licence","community"}))</f>
        <v>0</v>
      </c>
      <c r="L10" s="98">
        <f>SUM(SUMIFS('caseload data'!N:N,'caseload data'!$D:$D,"PO",'caseload data'!$C:$C,'community caseload'!$B$8,'caseload data'!$B:$B,{"licence","community"}))</f>
        <v>0</v>
      </c>
      <c r="M10" s="98">
        <f>SUM(SUMIFS('caseload data'!O:O,'caseload data'!$D:$D,"PO",'caseload data'!$C:$C,'community caseload'!$B$8,'caseload data'!$B:$B,{"licence","community"}))</f>
        <v>0</v>
      </c>
      <c r="N10" s="98">
        <f>SUM(SUMIFS('caseload data'!P:P,'caseload data'!$D:$D,"PO",'caseload data'!$C:$C,'community caseload'!$B$8,'caseload data'!$B:$B,{"licence","community"}))</f>
        <v>0</v>
      </c>
      <c r="O10" s="98">
        <f>SUM(SUMIFS('caseload data'!Q:Q,'caseload data'!$D:$D,"PO",'caseload data'!$C:$C,'community caseload'!$B$8,'caseload data'!$B:$B,{"licence","community"}))</f>
        <v>0</v>
      </c>
      <c r="P10" s="98">
        <f>SUM(SUMIFS('caseload data'!R:R,'caseload data'!$D:$D,"PO",'caseload data'!$C:$C,'community caseload'!$B$8,'caseload data'!$B:$B,{"licence","community"}))</f>
        <v>0</v>
      </c>
      <c r="Q10" s="98">
        <f>SUM(SUMIFS('caseload data'!S:S,'caseload data'!$D:$D,"PO",'caseload data'!$C:$C,'community caseload'!$B$8,'caseload data'!$B:$B,{"licence","community"}))</f>
        <v>0</v>
      </c>
      <c r="R10" s="98">
        <f>SUM(SUMIFS('caseload data'!T:T,'caseload data'!$D:$D,"PO",'caseload data'!$C:$C,'community caseload'!$B$8,'caseload data'!$B:$B,{"licence","community"}))</f>
        <v>0</v>
      </c>
      <c r="S10" s="68"/>
      <c r="T10" s="100" t="s">
        <v>1166</v>
      </c>
      <c r="U10" s="98">
        <f>SUM(SUMIFS('caseload data'!E:E,'caseload data'!$D:$D,"PO",'caseload data'!$C:$C,'community caseload'!$T$8,'caseload data'!$B:$B,{"licence","community"}))</f>
        <v>0</v>
      </c>
      <c r="V10" s="98"/>
      <c r="W10" s="98"/>
      <c r="X10" s="98"/>
      <c r="Y10" s="98"/>
      <c r="Z10" s="98"/>
      <c r="AA10" s="98"/>
      <c r="AB10" s="98"/>
      <c r="AC10" s="98"/>
      <c r="AD10" s="98"/>
      <c r="AE10" s="98">
        <f>SUM(SUMIFS('caseload data'!J:J,'caseload data'!$D:$D,"PO",'caseload data'!$C:$C,'community caseload'!$T$8,'caseload data'!$B:$B,{"licence","community"}))</f>
        <v>0</v>
      </c>
      <c r="AF10" s="98">
        <f>SUM(SUMIFS('caseload data'!K:K,'caseload data'!$D:$D,"PO",'caseload data'!$C:$C,'community caseload'!$T$8,'caseload data'!$B:$B,{"licence","community"}))</f>
        <v>0</v>
      </c>
      <c r="AG10" s="98">
        <f>SUM(SUMIFS('caseload data'!N:N,'caseload data'!$D:$D,"PO",'caseload data'!$C:$C,'community caseload'!$T$8,'caseload data'!$B:$B,{"licence","community"}))</f>
        <v>0</v>
      </c>
      <c r="AH10" s="98">
        <f>SUM(SUMIFS('caseload data'!O:O,'caseload data'!$D:$D,"PO",'caseload data'!$C:$C,'community caseload'!$T$8,'caseload data'!$B:$B,{"licence","community"}))</f>
        <v>0</v>
      </c>
      <c r="AI10" s="98">
        <f>SUM(SUMIFS('caseload data'!R:R,'caseload data'!$D:$D,"PO",'caseload data'!$C:$C,'community caseload'!$T$8,'caseload data'!$B:$B,{"licence","community"}))</f>
        <v>0</v>
      </c>
      <c r="AJ10" s="98">
        <f>SUM(SUMIFS('caseload data'!S:S,'caseload data'!$D:$D,"PO",'caseload data'!$C:$C,'community caseload'!$T$8,'caseload data'!$B:$B,{"licence","community"}))</f>
        <v>0</v>
      </c>
    </row>
    <row r="11" spans="1:50" x14ac:dyDescent="0.15">
      <c r="B11" s="101" t="s">
        <v>1172</v>
      </c>
      <c r="C11" s="98">
        <f>SUM(SUMIFS('caseload data'!E:E,'caseload data'!$D:$D,"PSO",'caseload data'!$C:$C,'community caseload'!$B$8,'caseload data'!$B:$B,{"licence","community"}))</f>
        <v>0</v>
      </c>
      <c r="D11" s="98">
        <f>SUM(SUMIFS('caseload data'!F:F,'caseload data'!$D:$D,"PSO",'caseload data'!$C:$C,'community caseload'!$B$8,'caseload data'!$B:$B,{"licence","community"}))</f>
        <v>0</v>
      </c>
      <c r="E11" s="98">
        <f>SUM(SUMIFS('caseload data'!G:G,'caseload data'!$D:$D,"PSO",'caseload data'!$C:$C,'community caseload'!$B$8,'caseload data'!$B:$B,{"licence","community"}))</f>
        <v>0</v>
      </c>
      <c r="F11" s="98">
        <f>SUM(SUMIFS('caseload data'!H:H,'caseload data'!$D:$D,"PSO",'caseload data'!$C:$C,'community caseload'!$B$8,'caseload data'!$B:$B,{"licence","community"}))</f>
        <v>0</v>
      </c>
      <c r="G11" s="98">
        <f>SUM(SUMIFS('caseload data'!I:I,'caseload data'!$D:$D,"PSO",'caseload data'!$C:$C,'community caseload'!$B$8,'caseload data'!$B:$B,{"licence","community"}))</f>
        <v>0</v>
      </c>
      <c r="H11" s="98">
        <f>SUM(SUMIFS('caseload data'!J:J,'caseload data'!$D:$D,"PSO",'caseload data'!$C:$C,'community caseload'!$B$8,'caseload data'!$B:$B,{"licence","community"}))</f>
        <v>0</v>
      </c>
      <c r="I11" s="98">
        <f>SUM(SUMIFS('caseload data'!K:K,'caseload data'!$D:$D,"PSO",'caseload data'!$C:$C,'community caseload'!$B$8,'caseload data'!$B:$B,{"licence","community"}))</f>
        <v>0</v>
      </c>
      <c r="J11" s="98">
        <f>SUM(SUMIFS('caseload data'!L:L,'caseload data'!$D:$D,"PSO",'caseload data'!$C:$C,'community caseload'!$B$8,'caseload data'!$B:$B,{"licence","community"}))</f>
        <v>0</v>
      </c>
      <c r="K11" s="98">
        <f>SUM(SUMIFS('caseload data'!M:M,'caseload data'!$D:$D,"PSO",'caseload data'!$C:$C,'community caseload'!$B$8,'caseload data'!$B:$B,{"licence","community"}))</f>
        <v>0</v>
      </c>
      <c r="L11" s="98">
        <f>SUM(SUMIFS('caseload data'!N:N,'caseload data'!$D:$D,"PSO",'caseload data'!$C:$C,'community caseload'!$B$8,'caseload data'!$B:$B,{"licence","community"}))</f>
        <v>0</v>
      </c>
      <c r="M11" s="98">
        <f>SUM(SUMIFS('caseload data'!O:O,'caseload data'!$D:$D,"PSO",'caseload data'!$C:$C,'community caseload'!$B$8,'caseload data'!$B:$B,{"licence","community"}))</f>
        <v>0</v>
      </c>
      <c r="N11" s="98">
        <f>SUM(SUMIFS('caseload data'!P:P,'caseload data'!$D:$D,"PSO",'caseload data'!$C:$C,'community caseload'!$B$8,'caseload data'!$B:$B,{"licence","community"}))</f>
        <v>0</v>
      </c>
      <c r="O11" s="98">
        <f>SUM(SUMIFS('caseload data'!Q:Q,'caseload data'!$D:$D,"PSO",'caseload data'!$C:$C,'community caseload'!$B$8,'caseload data'!$B:$B,{"licence","community"}))</f>
        <v>0</v>
      </c>
      <c r="P11" s="98">
        <f>SUM(SUMIFS('caseload data'!R:R,'caseload data'!$D:$D,"PSO",'caseload data'!$C:$C,'community caseload'!$B$8,'caseload data'!$B:$B,{"licence","community"}))</f>
        <v>0</v>
      </c>
      <c r="Q11" s="98">
        <f>SUM(SUMIFS('caseload data'!S:S,'caseload data'!$D:$D,"PSO",'caseload data'!$C:$C,'community caseload'!$B$8,'caseload data'!$B:$B,{"licence","community"}))</f>
        <v>0</v>
      </c>
      <c r="R11" s="98">
        <f>SUM(SUMIFS('caseload data'!T:T,'caseload data'!$D:$D,"PSO",'caseload data'!$C:$C,'community caseload'!$B$8,'caseload data'!$B:$B,{"licence","community"}))</f>
        <v>0</v>
      </c>
      <c r="S11" s="68"/>
      <c r="T11" s="101" t="s">
        <v>1172</v>
      </c>
      <c r="U11" s="98">
        <f>SUM(SUMIFS('caseload data'!E:E,'caseload data'!$D:$D,"PSO",'caseload data'!$C:$C,'community caseload'!$T$8,'caseload data'!$B:$B,{"licence","community"}))</f>
        <v>0</v>
      </c>
      <c r="V11" s="98"/>
      <c r="W11" s="98"/>
      <c r="X11" s="98"/>
      <c r="Y11" s="98"/>
      <c r="Z11" s="98"/>
      <c r="AA11" s="98"/>
      <c r="AB11" s="98"/>
      <c r="AC11" s="98"/>
      <c r="AD11" s="98"/>
      <c r="AE11" s="98">
        <f>SUM(SUMIFS('caseload data'!J:J,'caseload data'!$D:$D,"PSO",'caseload data'!$C:$C,'community caseload'!$T$8,'caseload data'!$B:$B,{"licence","community"}))</f>
        <v>0</v>
      </c>
      <c r="AF11" s="98">
        <f>SUM(SUMIFS('caseload data'!K:K,'caseload data'!$D:$D,"PSO",'caseload data'!$C:$C,'community caseload'!$T$8,'caseload data'!$B:$B,{"licence","community"}))</f>
        <v>0</v>
      </c>
      <c r="AG11" s="98">
        <f>SUM(SUMIFS('caseload data'!N:N,'caseload data'!$D:$D,"PSO",'caseload data'!$C:$C,'community caseload'!$T$8,'caseload data'!$B:$B,{"licence","community"}))</f>
        <v>0</v>
      </c>
      <c r="AH11" s="98">
        <f>SUM(SUMIFS('caseload data'!O:O,'caseload data'!$D:$D,"PSO",'caseload data'!$C:$C,'community caseload'!$T$8,'caseload data'!$B:$B,{"licence","community"}))</f>
        <v>0</v>
      </c>
      <c r="AI11" s="98">
        <f>SUM(SUMIFS('caseload data'!R:R,'caseload data'!$D:$D,"PSO",'caseload data'!$C:$C,'community caseload'!$T$8,'caseload data'!$B:$B,{"licence","community"}))</f>
        <v>0</v>
      </c>
      <c r="AJ11" s="98">
        <f>SUM(SUMIFS('caseload data'!S:S,'caseload data'!$D:$D,"PSO",'caseload data'!$C:$C,'community caseload'!$T$8,'caseload data'!$B:$B,{"licence","community"}))</f>
        <v>0</v>
      </c>
    </row>
    <row r="12" spans="1:50" x14ac:dyDescent="0.15">
      <c r="B12" s="101" t="s">
        <v>1173</v>
      </c>
      <c r="C12" s="98">
        <f>SUM(SUMIFS('caseload data'!E:E,'caseload data'!$D:$D,"TPO",'caseload data'!$C:$C,'community caseload'!$B$8,'caseload data'!$B:$B,{"licence","community"}))</f>
        <v>0</v>
      </c>
      <c r="D12" s="98">
        <f>SUM(SUMIFS('caseload data'!F:F,'caseload data'!$D:$D,"TPO",'caseload data'!$C:$C,'community caseload'!$B$8,'caseload data'!$B:$B,{"licence","community"}))</f>
        <v>0</v>
      </c>
      <c r="E12" s="98">
        <f>SUM(SUMIFS('caseload data'!G:G,'caseload data'!$D:$D,"TPO",'caseload data'!$C:$C,'community caseload'!$B$8,'caseload data'!$B:$B,{"licence","community"}))</f>
        <v>0</v>
      </c>
      <c r="F12" s="98">
        <f>SUM(SUMIFS('caseload data'!H:H,'caseload data'!$D:$D,"TPO",'caseload data'!$C:$C,'community caseload'!$B$8,'caseload data'!$B:$B,{"licence","community"}))</f>
        <v>0</v>
      </c>
      <c r="G12" s="98">
        <f>SUM(SUMIFS('caseload data'!I:I,'caseload data'!$D:$D,"TPO",'caseload data'!$C:$C,'community caseload'!$B$8,'caseload data'!$B:$B,{"licence","community"}))</f>
        <v>0</v>
      </c>
      <c r="H12" s="98">
        <f>SUM(SUMIFS('caseload data'!J:J,'caseload data'!$D:$D,"TPO",'caseload data'!$C:$C,'community caseload'!$B$8,'caseload data'!$B:$B,{"licence","community"}))</f>
        <v>0</v>
      </c>
      <c r="I12" s="98">
        <f>SUM(SUMIFS('caseload data'!K:K,'caseload data'!$D:$D,"TPO",'caseload data'!$C:$C,'community caseload'!$B$8,'caseload data'!$B:$B,{"licence","community"}))</f>
        <v>0</v>
      </c>
      <c r="J12" s="98">
        <f>SUM(SUMIFS('caseload data'!L:L,'caseload data'!$D:$D,"TPO",'caseload data'!$C:$C,'community caseload'!$B$8,'caseload data'!$B:$B,{"licence","community"}))</f>
        <v>0</v>
      </c>
      <c r="K12" s="98">
        <f>SUM(SUMIFS('caseload data'!M:M,'caseload data'!$D:$D,"TPO",'caseload data'!$C:$C,'community caseload'!$B$8,'caseload data'!$B:$B,{"licence","community"}))</f>
        <v>0</v>
      </c>
      <c r="L12" s="98">
        <f>SUM(SUMIFS('caseload data'!N:N,'caseload data'!$D:$D,"TPO",'caseload data'!$C:$C,'community caseload'!$B$8,'caseload data'!$B:$B,{"licence","community"}))</f>
        <v>0</v>
      </c>
      <c r="M12" s="98">
        <f>SUM(SUMIFS('caseload data'!O:O,'caseload data'!$D:$D,"TPO",'caseload data'!$C:$C,'community caseload'!$B$8,'caseload data'!$B:$B,{"licence","community"}))</f>
        <v>0</v>
      </c>
      <c r="N12" s="98">
        <f>SUM(SUMIFS('caseload data'!P:P,'caseload data'!$D:$D,"TPO",'caseload data'!$C:$C,'community caseload'!$B$8,'caseload data'!$B:$B,{"licence","community"}))</f>
        <v>0</v>
      </c>
      <c r="O12" s="98">
        <f>SUM(SUMIFS('caseload data'!Q:Q,'caseload data'!$D:$D,"TPO",'caseload data'!$C:$C,'community caseload'!$B$8,'caseload data'!$B:$B,{"licence","community"}))</f>
        <v>0</v>
      </c>
      <c r="P12" s="98">
        <f>SUM(SUMIFS('caseload data'!R:R,'caseload data'!$D:$D,"TPO",'caseload data'!$C:$C,'community caseload'!$B$8,'caseload data'!$B:$B,{"licence","community"}))</f>
        <v>0</v>
      </c>
      <c r="Q12" s="98">
        <f>SUM(SUMIFS('caseload data'!S:S,'caseload data'!$D:$D,"TPO",'caseload data'!$C:$C,'community caseload'!$B$8,'caseload data'!$B:$B,{"licence","community"}))</f>
        <v>0</v>
      </c>
      <c r="R12" s="98">
        <f>SUM(SUMIFS('caseload data'!T:T,'caseload data'!$D:$D,"TPO",'caseload data'!$C:$C,'community caseload'!$B$8,'caseload data'!$B:$B,{"licence","community"}))</f>
        <v>0</v>
      </c>
      <c r="S12" s="68"/>
      <c r="T12" s="101" t="s">
        <v>1173</v>
      </c>
      <c r="U12" s="98">
        <f>SUM(SUMIFS('caseload data'!E:E,'caseload data'!$D:$D,"TPO",'caseload data'!$C:$C,'community caseload'!$T$8,'caseload data'!$B:$B,{"licence","community"}))</f>
        <v>0</v>
      </c>
      <c r="V12" s="98"/>
      <c r="W12" s="98"/>
      <c r="X12" s="98"/>
      <c r="Y12" s="98"/>
      <c r="Z12" s="98"/>
      <c r="AA12" s="98"/>
      <c r="AB12" s="98"/>
      <c r="AC12" s="98"/>
      <c r="AD12" s="98"/>
      <c r="AE12" s="98">
        <f>SUM(SUMIFS('caseload data'!J:J,'caseload data'!$D:$D,"TPO",'caseload data'!$C:$C,'community caseload'!$T$8,'caseload data'!$B:$B,{"licence","community"}))</f>
        <v>0</v>
      </c>
      <c r="AF12" s="98">
        <f>SUM(SUMIFS('caseload data'!K:K,'caseload data'!$D:$D,"TPO",'caseload data'!$C:$C,'community caseload'!$T$8,'caseload data'!$B:$B,{"licence","community"}))</f>
        <v>0</v>
      </c>
      <c r="AG12" s="98">
        <f>SUM(SUMIFS('caseload data'!N:N,'caseload data'!$D:$D,"TPO",'caseload data'!$C:$C,'community caseload'!$T$8,'caseload data'!$B:$B,{"licence","community"}))</f>
        <v>0</v>
      </c>
      <c r="AH12" s="98">
        <f>SUM(SUMIFS('caseload data'!O:O,'caseload data'!$D:$D,"TPO",'caseload data'!$C:$C,'community caseload'!$T$8,'caseload data'!$B:$B,{"licence","community"}))</f>
        <v>0</v>
      </c>
      <c r="AI12" s="98">
        <f>SUM(SUMIFS('caseload data'!R:R,'caseload data'!$D:$D,"TPO",'caseload data'!$C:$C,'community caseload'!$T$8,'caseload data'!$B:$B,{"licence","community"}))</f>
        <v>0</v>
      </c>
      <c r="AJ12" s="98">
        <f>SUM(SUMIFS('caseload data'!S:S,'caseload data'!$D:$D,"TPO",'caseload data'!$C:$C,'community caseload'!$T$8,'caseload data'!$B:$B,{"licence","community"}))</f>
        <v>0</v>
      </c>
    </row>
    <row r="13" spans="1:50" x14ac:dyDescent="0.15">
      <c r="B13" s="102" t="s">
        <v>1174</v>
      </c>
      <c r="C13" s="98">
        <f>SUM(SUMIFS('caseload data'!E:E,'caseload data'!$D:$D,"SPO",'caseload data'!$C:$C,'community caseload'!$B$8,'caseload data'!$B:$B,{"licence","community"}))</f>
        <v>0</v>
      </c>
      <c r="D13" s="98">
        <f>SUM(SUMIFS('caseload data'!F:F,'caseload data'!$D:$D,"SPO",'caseload data'!$C:$C,'community caseload'!$B$8,'caseload data'!$B:$B,{"licence","community"}))</f>
        <v>0</v>
      </c>
      <c r="E13" s="98">
        <f>SUM(SUMIFS('caseload data'!G:G,'caseload data'!$D:$D,"SPO",'caseload data'!$C:$C,'community caseload'!$B$8,'caseload data'!$B:$B,{"licence","community"}))</f>
        <v>0</v>
      </c>
      <c r="F13" s="98">
        <f>SUM(SUMIFS('caseload data'!H:H,'caseload data'!$D:$D,"SPO",'caseload data'!$C:$C,'community caseload'!$B$8,'caseload data'!$B:$B,{"licence","community"}))</f>
        <v>0</v>
      </c>
      <c r="G13" s="98">
        <f>SUM(SUMIFS('caseload data'!I:I,'caseload data'!$D:$D,"SPO",'caseload data'!$C:$C,'community caseload'!$B$8,'caseload data'!$B:$B,{"licence","community"}))</f>
        <v>0</v>
      </c>
      <c r="H13" s="98">
        <f>SUM(SUMIFS('caseload data'!J:J,'caseload data'!$D:$D,"SPO",'caseload data'!$C:$C,'community caseload'!$B$8,'caseload data'!$B:$B,{"licence","community"}))</f>
        <v>0</v>
      </c>
      <c r="I13" s="98">
        <f>SUM(SUMIFS('caseload data'!K:K,'caseload data'!$D:$D,"SPO",'caseload data'!$C:$C,'community caseload'!$B$8,'caseload data'!$B:$B,{"licence","community"}))</f>
        <v>0</v>
      </c>
      <c r="J13" s="98">
        <f>SUM(SUMIFS('caseload data'!L:L,'caseload data'!$D:$D,"SPO",'caseload data'!$C:$C,'community caseload'!$B$8,'caseload data'!$B:$B,{"licence","community"}))</f>
        <v>0</v>
      </c>
      <c r="K13" s="98">
        <f>SUM(SUMIFS('caseload data'!M:M,'caseload data'!$D:$D,"SPO",'caseload data'!$C:$C,'community caseload'!$B$8,'caseload data'!$B:$B,{"licence","community"}))</f>
        <v>0</v>
      </c>
      <c r="L13" s="98">
        <f>SUM(SUMIFS('caseload data'!N:N,'caseload data'!$D:$D,"SPO",'caseload data'!$C:$C,'community caseload'!$B$8,'caseload data'!$B:$B,{"licence","community"}))</f>
        <v>0</v>
      </c>
      <c r="M13" s="98">
        <f>SUM(SUMIFS('caseload data'!O:O,'caseload data'!$D:$D,"SPO",'caseload data'!$C:$C,'community caseload'!$B$8,'caseload data'!$B:$B,{"licence","community"}))</f>
        <v>0</v>
      </c>
      <c r="N13" s="98">
        <f>SUM(SUMIFS('caseload data'!P:P,'caseload data'!$D:$D,"SPO",'caseload data'!$C:$C,'community caseload'!$B$8,'caseload data'!$B:$B,{"licence","community"}))</f>
        <v>0</v>
      </c>
      <c r="O13" s="98">
        <f>SUM(SUMIFS('caseload data'!Q:Q,'caseload data'!$D:$D,"SPO",'caseload data'!$C:$C,'community caseload'!$B$8,'caseload data'!$B:$B,{"licence","community"}))</f>
        <v>0</v>
      </c>
      <c r="P13" s="98">
        <f>SUM(SUMIFS('caseload data'!R:R,'caseload data'!$D:$D,"SPO",'caseload data'!$C:$C,'community caseload'!$B$8,'caseload data'!$B:$B,{"licence","community"}))</f>
        <v>0</v>
      </c>
      <c r="Q13" s="98">
        <f>SUM(SUMIFS('caseload data'!S:S,'caseload data'!$D:$D,"SPO",'caseload data'!$C:$C,'community caseload'!$B$8,'caseload data'!$B:$B,{"licence","community"}))</f>
        <v>0</v>
      </c>
      <c r="R13" s="98">
        <f>SUM(SUMIFS('caseload data'!T:T,'caseload data'!$D:$D,"SPO",'caseload data'!$C:$C,'community caseload'!$B$8,'caseload data'!$B:$B,{"licence","community"}))</f>
        <v>0</v>
      </c>
      <c r="S13" s="68"/>
      <c r="T13" s="102" t="s">
        <v>1174</v>
      </c>
      <c r="U13" s="98">
        <f>SUM(SUMIFS('caseload data'!E:E,'caseload data'!$D:$D,"SPO",'caseload data'!$C:$C,'community caseload'!$T$8,'caseload data'!$B:$B,{"licence","community"}))</f>
        <v>0</v>
      </c>
      <c r="V13" s="98"/>
      <c r="W13" s="98"/>
      <c r="X13" s="98"/>
      <c r="Y13" s="98"/>
      <c r="Z13" s="98"/>
      <c r="AA13" s="98"/>
      <c r="AB13" s="98"/>
      <c r="AC13" s="98"/>
      <c r="AD13" s="98"/>
      <c r="AE13" s="98">
        <f>SUM(SUMIFS('caseload data'!J:J,'caseload data'!$D:$D,"SPO",'caseload data'!$C:$C,'community caseload'!$T$8,'caseload data'!$B:$B,{"licence","community"}))</f>
        <v>0</v>
      </c>
      <c r="AF13" s="98">
        <f>SUM(SUMIFS('caseload data'!K:K,'caseload data'!$D:$D,"SPO",'caseload data'!$C:$C,'community caseload'!$T$8,'caseload data'!$B:$B,{"licence","community"}))</f>
        <v>0</v>
      </c>
      <c r="AG13" s="98">
        <f>SUM(SUMIFS('caseload data'!N:N,'caseload data'!$D:$D,"SPO",'caseload data'!$C:$C,'community caseload'!$T$8,'caseload data'!$B:$B,{"licence","community"}))</f>
        <v>0</v>
      </c>
      <c r="AH13" s="98">
        <f>SUM(SUMIFS('caseload data'!O:O,'caseload data'!$D:$D,"SPO",'caseload data'!$C:$C,'community caseload'!$T$8,'caseload data'!$B:$B,{"licence","community"}))</f>
        <v>0</v>
      </c>
      <c r="AI13" s="98">
        <f>SUM(SUMIFS('caseload data'!R:R,'caseload data'!$D:$D,"SPO",'caseload data'!$C:$C,'community caseload'!$T$8,'caseload data'!$B:$B,{"licence","community"}))</f>
        <v>0</v>
      </c>
      <c r="AJ13" s="98">
        <f>SUM(SUMIFS('caseload data'!S:S,'caseload data'!$D:$D,"SPO",'caseload data'!$C:$C,'community caseload'!$T$8,'caseload data'!$B:$B,{"licence","community"}))</f>
        <v>0</v>
      </c>
    </row>
    <row r="14" spans="1:50" x14ac:dyDescent="0.15">
      <c r="B14" s="95"/>
      <c r="C14" s="68"/>
      <c r="D14" s="68"/>
      <c r="E14" s="68"/>
      <c r="F14" s="68"/>
      <c r="G14" s="68"/>
      <c r="H14" s="68"/>
      <c r="I14" s="68"/>
      <c r="J14" s="68"/>
      <c r="K14" s="68"/>
      <c r="L14" s="68"/>
      <c r="M14" s="68"/>
      <c r="N14" s="68"/>
      <c r="O14" s="68"/>
      <c r="P14" s="68"/>
      <c r="Q14" s="68"/>
      <c r="R14" s="68"/>
      <c r="S14" s="68"/>
      <c r="T14" s="95"/>
      <c r="U14" s="68"/>
      <c r="V14" s="68"/>
      <c r="W14" s="68"/>
      <c r="X14" s="68"/>
      <c r="Y14" s="68"/>
      <c r="Z14" s="68"/>
      <c r="AA14" s="68"/>
      <c r="AB14" s="68"/>
      <c r="AC14" s="68"/>
      <c r="AD14" s="68"/>
      <c r="AE14" s="68"/>
      <c r="AF14" s="68"/>
      <c r="AG14" s="68"/>
      <c r="AH14" s="68"/>
      <c r="AI14" s="68"/>
      <c r="AJ14" s="68"/>
    </row>
    <row r="15" spans="1:50" ht="34.5" customHeight="1" x14ac:dyDescent="0.15">
      <c r="B15" s="302" t="str">
        <f>HLOOKUP($B$5,Region_Table,4,0)</f>
        <v>Camden, Islington</v>
      </c>
      <c r="C15" s="459" t="s">
        <v>1309</v>
      </c>
      <c r="D15" s="460"/>
      <c r="E15" s="460"/>
      <c r="F15" s="460"/>
      <c r="G15" s="460"/>
      <c r="H15" s="460"/>
      <c r="I15" s="460"/>
      <c r="J15" s="460"/>
      <c r="K15" s="460"/>
      <c r="L15" s="460"/>
      <c r="M15" s="489"/>
      <c r="N15" s="489"/>
      <c r="O15" s="490"/>
      <c r="P15" s="462" cm="1">
        <f t="array" ref="P15">SUM(SUMIFS('caseload data'!V:V,'caseload data'!B:B,{"licence","community"},'caseload data'!$C:$C,'community caseload'!B15))</f>
        <v>0</v>
      </c>
      <c r="Q15" s="479"/>
      <c r="R15" s="480"/>
      <c r="S15" s="305"/>
      <c r="T15" s="302" t="str">
        <f>HLOOKUP($B$5,Region_Table,5,0)</f>
        <v>Community Integration</v>
      </c>
      <c r="U15" s="459" t="s">
        <v>1309</v>
      </c>
      <c r="V15" s="460"/>
      <c r="W15" s="460"/>
      <c r="X15" s="460"/>
      <c r="Y15" s="460"/>
      <c r="Z15" s="460"/>
      <c r="AA15" s="460"/>
      <c r="AB15" s="460"/>
      <c r="AC15" s="460"/>
      <c r="AD15" s="460"/>
      <c r="AE15" s="489"/>
      <c r="AF15" s="489"/>
      <c r="AG15" s="490"/>
      <c r="AH15" s="462" cm="1">
        <f t="array" ref="AH15">SUM(SUMIFS('caseload data'!V:V,'caseload data'!B:B,{"licence","community"},'caseload data'!$C:$C,'community caseload'!T15))</f>
        <v>0</v>
      </c>
      <c r="AI15" s="479"/>
      <c r="AJ15" s="480"/>
    </row>
    <row r="16" spans="1:50" x14ac:dyDescent="0.15">
      <c r="B16" s="99" t="s">
        <v>1170</v>
      </c>
      <c r="C16" s="40" t="s">
        <v>1022</v>
      </c>
      <c r="D16" s="40" t="s">
        <v>1023</v>
      </c>
      <c r="E16" s="40" t="s">
        <v>1024</v>
      </c>
      <c r="F16" s="40" t="s">
        <v>1025</v>
      </c>
      <c r="G16" s="40" t="s">
        <v>1026</v>
      </c>
      <c r="H16" s="40" t="s">
        <v>1027</v>
      </c>
      <c r="I16" s="40" t="s">
        <v>1028</v>
      </c>
      <c r="J16" s="40" t="s">
        <v>1029</v>
      </c>
      <c r="K16" s="40" t="s">
        <v>1030</v>
      </c>
      <c r="L16" s="40" t="s">
        <v>1031</v>
      </c>
      <c r="M16" s="40" t="s">
        <v>1032</v>
      </c>
      <c r="N16" s="40" t="s">
        <v>1033</v>
      </c>
      <c r="O16" s="40" t="s">
        <v>1034</v>
      </c>
      <c r="P16" s="40" t="s">
        <v>1035</v>
      </c>
      <c r="Q16" s="40" t="s">
        <v>1036</v>
      </c>
      <c r="R16" s="40" t="s">
        <v>1037</v>
      </c>
      <c r="S16" s="68"/>
      <c r="T16" s="99" t="s">
        <v>1170</v>
      </c>
      <c r="U16" s="40" t="s">
        <v>1022</v>
      </c>
      <c r="V16" s="40" t="s">
        <v>1023</v>
      </c>
      <c r="W16" s="40" t="s">
        <v>1024</v>
      </c>
      <c r="X16" s="40" t="s">
        <v>1025</v>
      </c>
      <c r="Y16" s="40" t="s">
        <v>1026</v>
      </c>
      <c r="Z16" s="40" t="s">
        <v>1027</v>
      </c>
      <c r="AA16" s="40" t="s">
        <v>1028</v>
      </c>
      <c r="AB16" s="40" t="s">
        <v>1029</v>
      </c>
      <c r="AC16" s="40" t="s">
        <v>1030</v>
      </c>
      <c r="AD16" s="40" t="s">
        <v>1031</v>
      </c>
      <c r="AE16" s="40" t="s">
        <v>1032</v>
      </c>
      <c r="AF16" s="40" t="s">
        <v>1033</v>
      </c>
      <c r="AG16" s="40" t="s">
        <v>1034</v>
      </c>
      <c r="AH16" s="40" t="s">
        <v>1035</v>
      </c>
      <c r="AI16" s="40" t="s">
        <v>1036</v>
      </c>
      <c r="AJ16" s="40" t="s">
        <v>1037</v>
      </c>
    </row>
    <row r="17" spans="2:36" x14ac:dyDescent="0.15">
      <c r="B17" s="100" t="s">
        <v>1166</v>
      </c>
      <c r="C17" s="98">
        <f>SUM(SUMIFS('caseload data'!E:E,'caseload data'!$D:$D,"PO",'caseload data'!$C:$C,'community caseload'!$B$15,'caseload data'!$B:$B,{"licence","community"}))</f>
        <v>0</v>
      </c>
      <c r="D17" s="98">
        <f>SUM(SUMIFS('caseload data'!F:F,'caseload data'!$D:$D,"PO",'caseload data'!$C:$C,'community caseload'!$B$15,'caseload data'!$B:$B,{"licence","community"}))</f>
        <v>0</v>
      </c>
      <c r="E17" s="98">
        <f>SUM(SUMIFS('caseload data'!G:G,'caseload data'!$D:$D,"PO",'caseload data'!$C:$C,'community caseload'!$B$15,'caseload data'!$B:$B,{"licence","community"}))</f>
        <v>0</v>
      </c>
      <c r="F17" s="98">
        <f>SUM(SUMIFS('caseload data'!H:H,'caseload data'!$D:$D,"PO",'caseload data'!$C:$C,'community caseload'!$B$15,'caseload data'!$B:$B,{"licence","community"}))</f>
        <v>0</v>
      </c>
      <c r="G17" s="98">
        <f>SUM(SUMIFS('caseload data'!I:I,'caseload data'!$D:$D,"PO",'caseload data'!$C:$C,'community caseload'!$B$15,'caseload data'!$B:$B,{"licence","community"}))</f>
        <v>0</v>
      </c>
      <c r="H17" s="98">
        <f>SUM(SUMIFS('caseload data'!J:J,'caseload data'!$D:$D,"PO",'caseload data'!$C:$C,'community caseload'!$B$15,'caseload data'!$B:$B,{"licence","community"}))</f>
        <v>0</v>
      </c>
      <c r="I17" s="98">
        <f>SUM(SUMIFS('caseload data'!K:K,'caseload data'!$D:$D,"PO",'caseload data'!$C:$C,'community caseload'!$B$15,'caseload data'!$B:$B,{"licence","community"}))</f>
        <v>0</v>
      </c>
      <c r="J17" s="98">
        <f>SUM(SUMIFS('caseload data'!L:L,'caseload data'!$D:$D,"PO",'caseload data'!$C:$C,'community caseload'!$B$15,'caseload data'!$B:$B,{"licence","community"}))</f>
        <v>0</v>
      </c>
      <c r="K17" s="98">
        <f>SUM(SUMIFS('caseload data'!M:M,'caseload data'!$D:$D,"PO",'caseload data'!$C:$C,'community caseload'!$B$15,'caseload data'!$B:$B,{"licence","community"}))</f>
        <v>0</v>
      </c>
      <c r="L17" s="98">
        <f>SUM(SUMIFS('caseload data'!N:N,'caseload data'!$D:$D,"PO",'caseload data'!$C:$C,'community caseload'!$B$15,'caseload data'!$B:$B,{"licence","community"}))</f>
        <v>0</v>
      </c>
      <c r="M17" s="98">
        <f>SUM(SUMIFS('caseload data'!O:O,'caseload data'!$D:$D,"PO",'caseload data'!$C:$C,'community caseload'!$B$15,'caseload data'!$B:$B,{"licence","community"}))</f>
        <v>0</v>
      </c>
      <c r="N17" s="98">
        <f>SUM(SUMIFS('caseload data'!P:P,'caseload data'!$D:$D,"PO",'caseload data'!$C:$C,'community caseload'!$B$15,'caseload data'!$B:$B,{"licence","community"}))</f>
        <v>0</v>
      </c>
      <c r="O17" s="98">
        <f>SUM(SUMIFS('caseload data'!Q:Q,'caseload data'!$D:$D,"PO",'caseload data'!$C:$C,'community caseload'!$B$15,'caseload data'!$B:$B,{"licence","community"}))</f>
        <v>0</v>
      </c>
      <c r="P17" s="98">
        <f>SUM(SUMIFS('caseload data'!R:R,'caseload data'!$D:$D,"PO",'caseload data'!$C:$C,'community caseload'!$B$15,'caseload data'!$B:$B,{"licence","community"}))</f>
        <v>0</v>
      </c>
      <c r="Q17" s="98">
        <f>SUM(SUMIFS('caseload data'!S:S,'caseload data'!$D:$D,"PO",'caseload data'!$C:$C,'community caseload'!$B$15,'caseload data'!$B:$B,{"licence","community"}))</f>
        <v>0</v>
      </c>
      <c r="R17" s="98">
        <f>SUM(SUMIFS('caseload data'!T:T,'caseload data'!$D:$D,"PO",'caseload data'!$C:$C,'community caseload'!$B$15,'caseload data'!$B:$B,{"licence","community"}))</f>
        <v>0</v>
      </c>
      <c r="S17" s="68"/>
      <c r="T17" s="100" t="s">
        <v>1166</v>
      </c>
      <c r="U17" s="98">
        <f>SUM(SUMIFS('caseload data'!E:E,'caseload data'!$D:$D,"PO",'caseload data'!$C:$C,'community caseload'!$T$15,'caseload data'!$B:$B,{"licence","community"}))</f>
        <v>0</v>
      </c>
      <c r="V17" s="98"/>
      <c r="W17" s="98"/>
      <c r="X17" s="98"/>
      <c r="Y17" s="98"/>
      <c r="Z17" s="98"/>
      <c r="AA17" s="98"/>
      <c r="AB17" s="98"/>
      <c r="AC17" s="98"/>
      <c r="AD17" s="98"/>
      <c r="AE17" s="98">
        <f>SUM(SUMIFS('caseload data'!J:J,'caseload data'!$D:$D,"PO",'caseload data'!$C:$C,'community caseload'!$T$15,'caseload data'!$B:$B,{"licence","community"}))</f>
        <v>0</v>
      </c>
      <c r="AF17" s="98">
        <f>SUM(SUMIFS('caseload data'!K:K,'caseload data'!$D:$D,"PO",'caseload data'!$C:$C,'community caseload'!$T$15,'caseload data'!$B:$B,{"licence","community"}))</f>
        <v>0</v>
      </c>
      <c r="AG17" s="98">
        <f>SUM(SUMIFS('caseload data'!N:N,'caseload data'!$D:$D,"PO",'caseload data'!$C:$C,'community caseload'!$T$15,'caseload data'!$B:$B,{"licence","community"}))</f>
        <v>0</v>
      </c>
      <c r="AH17" s="98">
        <f>SUM(SUMIFS('caseload data'!O:O,'caseload data'!$D:$D,"PO",'caseload data'!$C:$C,'community caseload'!$T$15,'caseload data'!$B:$B,{"licence","community"}))</f>
        <v>0</v>
      </c>
      <c r="AI17" s="98">
        <f>SUM(SUMIFS('caseload data'!R:R,'caseload data'!$D:$D,"PO",'caseload data'!$C:$C,'community caseload'!$T$15,'caseload data'!$B:$B,{"licence","community"}))</f>
        <v>0</v>
      </c>
      <c r="AJ17" s="98">
        <f>SUM(SUMIFS('caseload data'!S:S,'caseload data'!$D:$D,"PO",'caseload data'!$C:$C,'community caseload'!$T$15,'caseload data'!$B:$B,{"licence","community"}))</f>
        <v>0</v>
      </c>
    </row>
    <row r="18" spans="2:36" x14ac:dyDescent="0.15">
      <c r="B18" s="101" t="s">
        <v>1172</v>
      </c>
      <c r="C18" s="98">
        <f>SUM(SUMIFS('caseload data'!E:E,'caseload data'!$D:$D,"PSO",'caseload data'!$C:$C,'community caseload'!$B$15,'caseload data'!$B:$B,{"licence","community"}))</f>
        <v>0</v>
      </c>
      <c r="D18" s="98">
        <f>SUM(SUMIFS('caseload data'!F:F,'caseload data'!$D:$D,"PSO",'caseload data'!$C:$C,'community caseload'!$B$15,'caseload data'!$B:$B,{"licence","community"}))</f>
        <v>0</v>
      </c>
      <c r="E18" s="98">
        <f>SUM(SUMIFS('caseload data'!G:G,'caseload data'!$D:$D,"PSO",'caseload data'!$C:$C,'community caseload'!$B$15,'caseload data'!$B:$B,{"licence","community"}))</f>
        <v>0</v>
      </c>
      <c r="F18" s="98">
        <f>SUM(SUMIFS('caseload data'!H:H,'caseload data'!$D:$D,"PSO",'caseload data'!$C:$C,'community caseload'!$B$15,'caseload data'!$B:$B,{"licence","community"}))</f>
        <v>0</v>
      </c>
      <c r="G18" s="98">
        <f>SUM(SUMIFS('caseload data'!I:I,'caseload data'!$D:$D,"PSO",'caseload data'!$C:$C,'community caseload'!$B$15,'caseload data'!$B:$B,{"licence","community"}))</f>
        <v>0</v>
      </c>
      <c r="H18" s="98">
        <f>SUM(SUMIFS('caseload data'!J:J,'caseload data'!$D:$D,"PSO",'caseload data'!$C:$C,'community caseload'!$B$15,'caseload data'!$B:$B,{"licence","community"}))</f>
        <v>0</v>
      </c>
      <c r="I18" s="98">
        <f>SUM(SUMIFS('caseload data'!K:K,'caseload data'!$D:$D,"PSO",'caseload data'!$C:$C,'community caseload'!$B$15,'caseload data'!$B:$B,{"licence","community"}))</f>
        <v>0</v>
      </c>
      <c r="J18" s="98">
        <f>SUM(SUMIFS('caseload data'!L:L,'caseload data'!$D:$D,"PSO",'caseload data'!$C:$C,'community caseload'!$B$15,'caseload data'!$B:$B,{"licence","community"}))</f>
        <v>0</v>
      </c>
      <c r="K18" s="98">
        <f>SUM(SUMIFS('caseload data'!M:M,'caseload data'!$D:$D,"PSO",'caseload data'!$C:$C,'community caseload'!$B$15,'caseload data'!$B:$B,{"licence","community"}))</f>
        <v>0</v>
      </c>
      <c r="L18" s="98">
        <f>SUM(SUMIFS('caseload data'!N:N,'caseload data'!$D:$D,"PSO",'caseload data'!$C:$C,'community caseload'!$B$15,'caseload data'!$B:$B,{"licence","community"}))</f>
        <v>0</v>
      </c>
      <c r="M18" s="98">
        <f>SUM(SUMIFS('caseload data'!O:O,'caseload data'!$D:$D,"PSO",'caseload data'!$C:$C,'community caseload'!$B$15,'caseload data'!$B:$B,{"licence","community"}))</f>
        <v>0</v>
      </c>
      <c r="N18" s="98">
        <f>SUM(SUMIFS('caseload data'!P:P,'caseload data'!$D:$D,"PSO",'caseload data'!$C:$C,'community caseload'!$B$15,'caseload data'!$B:$B,{"licence","community"}))</f>
        <v>0</v>
      </c>
      <c r="O18" s="98">
        <f>SUM(SUMIFS('caseload data'!Q:Q,'caseload data'!$D:$D,"PSO",'caseload data'!$C:$C,'community caseload'!$B$15,'caseload data'!$B:$B,{"licence","community"}))</f>
        <v>0</v>
      </c>
      <c r="P18" s="98">
        <f>SUM(SUMIFS('caseload data'!R:R,'caseload data'!$D:$D,"PSO",'caseload data'!$C:$C,'community caseload'!$B$15,'caseload data'!$B:$B,{"licence","community"}))</f>
        <v>0</v>
      </c>
      <c r="Q18" s="98">
        <f>SUM(SUMIFS('caseload data'!S:S,'caseload data'!$D:$D,"PSO",'caseload data'!$C:$C,'community caseload'!$B$15,'caseload data'!$B:$B,{"licence","community"}))</f>
        <v>0</v>
      </c>
      <c r="R18" s="98">
        <f>SUM(SUMIFS('caseload data'!T:T,'caseload data'!$D:$D,"PSO",'caseload data'!$C:$C,'community caseload'!$B$15,'caseload data'!$B:$B,{"licence","community"}))</f>
        <v>0</v>
      </c>
      <c r="S18" s="68"/>
      <c r="T18" s="101" t="s">
        <v>1172</v>
      </c>
      <c r="U18" s="98">
        <f>SUM(SUMIFS('caseload data'!E:E,'caseload data'!$D:$D,"PSO",'caseload data'!$C:$C,'community caseload'!$T$15,'caseload data'!$B:$B,{"licence","community"}))</f>
        <v>0</v>
      </c>
      <c r="V18" s="98"/>
      <c r="W18" s="98"/>
      <c r="X18" s="98"/>
      <c r="Y18" s="98"/>
      <c r="Z18" s="98"/>
      <c r="AA18" s="98"/>
      <c r="AB18" s="98"/>
      <c r="AC18" s="98"/>
      <c r="AD18" s="98"/>
      <c r="AE18" s="98">
        <f>SUM(SUMIFS('caseload data'!J:J,'caseload data'!$D:$D,"PSO",'caseload data'!$C:$C,'community caseload'!$T$15,'caseload data'!$B:$B,{"licence","community"}))</f>
        <v>0</v>
      </c>
      <c r="AF18" s="98">
        <f>SUM(SUMIFS('caseload data'!K:K,'caseload data'!$D:$D,"PSO",'caseload data'!$C:$C,'community caseload'!$T$15,'caseload data'!$B:$B,{"licence","community"}))</f>
        <v>0</v>
      </c>
      <c r="AG18" s="98">
        <f>SUM(SUMIFS('caseload data'!N:N,'caseload data'!$D:$D,"PSO",'caseload data'!$C:$C,'community caseload'!$T$15,'caseload data'!$B:$B,{"licence","community"}))</f>
        <v>0</v>
      </c>
      <c r="AH18" s="98">
        <f>SUM(SUMIFS('caseload data'!O:O,'caseload data'!$D:$D,"PSO",'caseload data'!$C:$C,'community caseload'!$T$15,'caseload data'!$B:$B,{"licence","community"}))</f>
        <v>0</v>
      </c>
      <c r="AI18" s="98">
        <f>SUM(SUMIFS('caseload data'!R:R,'caseload data'!$D:$D,"PSO",'caseload data'!$C:$C,'community caseload'!$T$15,'caseload data'!$B:$B,{"licence","community"}))</f>
        <v>0</v>
      </c>
      <c r="AJ18" s="98">
        <f>SUM(SUMIFS('caseload data'!S:S,'caseload data'!$D:$D,"PSO",'caseload data'!$C:$C,'community caseload'!$T$15,'caseload data'!$B:$B,{"licence","community"}))</f>
        <v>0</v>
      </c>
    </row>
    <row r="19" spans="2:36" x14ac:dyDescent="0.15">
      <c r="B19" s="101" t="s">
        <v>1173</v>
      </c>
      <c r="C19" s="98">
        <f>SUM(SUMIFS('caseload data'!E:E,'caseload data'!$D:$D,"TPO",'caseload data'!$C:$C,'community caseload'!$B$15,'caseload data'!$B:$B,{"licence","community"}))</f>
        <v>0</v>
      </c>
      <c r="D19" s="98">
        <f>SUM(SUMIFS('caseload data'!F:F,'caseload data'!$D:$D,"TPO",'caseload data'!$C:$C,'community caseload'!$B$15,'caseload data'!$B:$B,{"licence","community"}))</f>
        <v>0</v>
      </c>
      <c r="E19" s="98">
        <f>SUM(SUMIFS('caseload data'!G:G,'caseload data'!$D:$D,"TPO",'caseload data'!$C:$C,'community caseload'!$B$15,'caseload data'!$B:$B,{"licence","community"}))</f>
        <v>0</v>
      </c>
      <c r="F19" s="98">
        <f>SUM(SUMIFS('caseload data'!H:H,'caseload data'!$D:$D,"TPO",'caseload data'!$C:$C,'community caseload'!$B$15,'caseload data'!$B:$B,{"licence","community"}))</f>
        <v>0</v>
      </c>
      <c r="G19" s="98">
        <f>SUM(SUMIFS('caseload data'!I:I,'caseload data'!$D:$D,"TPO",'caseload data'!$C:$C,'community caseload'!$B$15,'caseload data'!$B:$B,{"licence","community"}))</f>
        <v>0</v>
      </c>
      <c r="H19" s="98">
        <f>SUM(SUMIFS('caseload data'!J:J,'caseload data'!$D:$D,"TPO",'caseload data'!$C:$C,'community caseload'!$B$15,'caseload data'!$B:$B,{"licence","community"}))</f>
        <v>0</v>
      </c>
      <c r="I19" s="98">
        <f>SUM(SUMIFS('caseload data'!K:K,'caseload data'!$D:$D,"TPO",'caseload data'!$C:$C,'community caseload'!$B$15,'caseload data'!$B:$B,{"licence","community"}))</f>
        <v>0</v>
      </c>
      <c r="J19" s="98">
        <f>SUM(SUMIFS('caseload data'!L:L,'caseload data'!$D:$D,"TPO",'caseload data'!$C:$C,'community caseload'!$B$15,'caseload data'!$B:$B,{"licence","community"}))</f>
        <v>0</v>
      </c>
      <c r="K19" s="98">
        <f>SUM(SUMIFS('caseload data'!M:M,'caseload data'!$D:$D,"TPO",'caseload data'!$C:$C,'community caseload'!$B$15,'caseload data'!$B:$B,{"licence","community"}))</f>
        <v>0</v>
      </c>
      <c r="L19" s="98">
        <f>SUM(SUMIFS('caseload data'!N:N,'caseload data'!$D:$D,"TPO",'caseload data'!$C:$C,'community caseload'!$B$15,'caseload data'!$B:$B,{"licence","community"}))</f>
        <v>0</v>
      </c>
      <c r="M19" s="98">
        <f>SUM(SUMIFS('caseload data'!O:O,'caseload data'!$D:$D,"TPO",'caseload data'!$C:$C,'community caseload'!$B$15,'caseload data'!$B:$B,{"licence","community"}))</f>
        <v>0</v>
      </c>
      <c r="N19" s="98">
        <f>SUM(SUMIFS('caseload data'!P:P,'caseload data'!$D:$D,"TPO",'caseload data'!$C:$C,'community caseload'!$B$15,'caseload data'!$B:$B,{"licence","community"}))</f>
        <v>0</v>
      </c>
      <c r="O19" s="98">
        <f>SUM(SUMIFS('caseload data'!Q:Q,'caseload data'!$D:$D,"TPO",'caseload data'!$C:$C,'community caseload'!$B$15,'caseload data'!$B:$B,{"licence","community"}))</f>
        <v>0</v>
      </c>
      <c r="P19" s="98">
        <f>SUM(SUMIFS('caseload data'!R:R,'caseload data'!$D:$D,"TPO",'caseload data'!$C:$C,'community caseload'!$B$15,'caseload data'!$B:$B,{"licence","community"}))</f>
        <v>0</v>
      </c>
      <c r="Q19" s="98">
        <f>SUM(SUMIFS('caseload data'!S:S,'caseload data'!$D:$D,"TPO",'caseload data'!$C:$C,'community caseload'!$B$15,'caseload data'!$B:$B,{"licence","community"}))</f>
        <v>0</v>
      </c>
      <c r="R19" s="98">
        <f>SUM(SUMIFS('caseload data'!T:T,'caseload data'!$D:$D,"TPO",'caseload data'!$C:$C,'community caseload'!$B$15,'caseload data'!$B:$B,{"licence","community"}))</f>
        <v>0</v>
      </c>
      <c r="S19" s="68"/>
      <c r="T19" s="101" t="s">
        <v>1173</v>
      </c>
      <c r="U19" s="98">
        <f>SUM(SUMIFS('caseload data'!E:E,'caseload data'!$D:$D,"TPO",'caseload data'!$C:$C,'community caseload'!$T$15,'caseload data'!$B:$B,{"licence","community"}))</f>
        <v>0</v>
      </c>
      <c r="V19" s="98"/>
      <c r="W19" s="98"/>
      <c r="X19" s="98"/>
      <c r="Y19" s="98"/>
      <c r="Z19" s="98"/>
      <c r="AA19" s="98"/>
      <c r="AB19" s="98"/>
      <c r="AC19" s="98"/>
      <c r="AD19" s="98"/>
      <c r="AE19" s="98">
        <f>SUM(SUMIFS('caseload data'!J:J,'caseload data'!$D:$D,"TPO",'caseload data'!$C:$C,'community caseload'!$T$15,'caseload data'!$B:$B,{"licence","community"}))</f>
        <v>0</v>
      </c>
      <c r="AF19" s="98">
        <f>SUM(SUMIFS('caseload data'!K:K,'caseload data'!$D:$D,"TPO",'caseload data'!$C:$C,'community caseload'!$T$15,'caseload data'!$B:$B,{"licence","community"}))</f>
        <v>0</v>
      </c>
      <c r="AG19" s="98">
        <f>SUM(SUMIFS('caseload data'!N:N,'caseload data'!$D:$D,"TPO",'caseload data'!$C:$C,'community caseload'!$T$15,'caseload data'!$B:$B,{"licence","community"}))</f>
        <v>0</v>
      </c>
      <c r="AH19" s="98">
        <f>SUM(SUMIFS('caseload data'!O:O,'caseload data'!$D:$D,"TPO",'caseload data'!$C:$C,'community caseload'!$T$15,'caseload data'!$B:$B,{"licence","community"}))</f>
        <v>0</v>
      </c>
      <c r="AI19" s="98">
        <f>SUM(SUMIFS('caseload data'!R:R,'caseload data'!$D:$D,"TPO",'caseload data'!$C:$C,'community caseload'!$T$15,'caseload data'!$B:$B,{"licence","community"}))</f>
        <v>0</v>
      </c>
      <c r="AJ19" s="98">
        <f>SUM(SUMIFS('caseload data'!S:S,'caseload data'!$D:$D,"TPO",'caseload data'!$C:$C,'community caseload'!$T$15,'caseload data'!$B:$B,{"licence","community"}))</f>
        <v>0</v>
      </c>
    </row>
    <row r="20" spans="2:36" x14ac:dyDescent="0.15">
      <c r="B20" s="102" t="s">
        <v>1174</v>
      </c>
      <c r="C20" s="98">
        <f>SUM(SUMIFS('caseload data'!E:E,'caseload data'!$D:$D,"SPO",'caseload data'!$C:$C,'community caseload'!$B$15,'caseload data'!$B:$B,{"licence","community"}))</f>
        <v>0</v>
      </c>
      <c r="D20" s="98">
        <f>SUM(SUMIFS('caseload data'!F:F,'caseload data'!$D:$D,"SPO",'caseload data'!$C:$C,'community caseload'!$B$15,'caseload data'!$B:$B,{"licence","community"}))</f>
        <v>0</v>
      </c>
      <c r="E20" s="98">
        <f>SUM(SUMIFS('caseload data'!G:G,'caseload data'!$D:$D,"SPO",'caseload data'!$C:$C,'community caseload'!$B$15,'caseload data'!$B:$B,{"licence","community"}))</f>
        <v>0</v>
      </c>
      <c r="F20" s="98">
        <f>SUM(SUMIFS('caseload data'!H:H,'caseload data'!$D:$D,"SPO",'caseload data'!$C:$C,'community caseload'!$B$15,'caseload data'!$B:$B,{"licence","community"}))</f>
        <v>0</v>
      </c>
      <c r="G20" s="98">
        <f>SUM(SUMIFS('caseload data'!I:I,'caseload data'!$D:$D,"SPO",'caseload data'!$C:$C,'community caseload'!$B$15,'caseload data'!$B:$B,{"licence","community"}))</f>
        <v>0</v>
      </c>
      <c r="H20" s="98">
        <f>SUM(SUMIFS('caseload data'!J:J,'caseload data'!$D:$D,"SPO",'caseload data'!$C:$C,'community caseload'!$B$15,'caseload data'!$B:$B,{"licence","community"}))</f>
        <v>0</v>
      </c>
      <c r="I20" s="98">
        <f>SUM(SUMIFS('caseload data'!K:K,'caseload data'!$D:$D,"SPO",'caseload data'!$C:$C,'community caseload'!$B$15,'caseload data'!$B:$B,{"licence","community"}))</f>
        <v>0</v>
      </c>
      <c r="J20" s="98">
        <f>SUM(SUMIFS('caseload data'!L:L,'caseload data'!$D:$D,"SPO",'caseload data'!$C:$C,'community caseload'!$B$15,'caseload data'!$B:$B,{"licence","community"}))</f>
        <v>0</v>
      </c>
      <c r="K20" s="98">
        <f>SUM(SUMIFS('caseload data'!M:M,'caseload data'!$D:$D,"SPO",'caseload data'!$C:$C,'community caseload'!$B$15,'caseload data'!$B:$B,{"licence","community"}))</f>
        <v>0</v>
      </c>
      <c r="L20" s="98">
        <f>SUM(SUMIFS('caseload data'!N:N,'caseload data'!$D:$D,"SPO",'caseload data'!$C:$C,'community caseload'!$B$15,'caseload data'!$B:$B,{"licence","community"}))</f>
        <v>0</v>
      </c>
      <c r="M20" s="98">
        <f>SUM(SUMIFS('caseload data'!O:O,'caseload data'!$D:$D,"SPO",'caseload data'!$C:$C,'community caseload'!$B$15,'caseload data'!$B:$B,{"licence","community"}))</f>
        <v>0</v>
      </c>
      <c r="N20" s="98">
        <f>SUM(SUMIFS('caseload data'!P:P,'caseload data'!$D:$D,"SPO",'caseload data'!$C:$C,'community caseload'!$B$15,'caseload data'!$B:$B,{"licence","community"}))</f>
        <v>0</v>
      </c>
      <c r="O20" s="98">
        <f>SUM(SUMIFS('caseload data'!Q:Q,'caseload data'!$D:$D,"SPO",'caseload data'!$C:$C,'community caseload'!$B$15,'caseload data'!$B:$B,{"licence","community"}))</f>
        <v>0</v>
      </c>
      <c r="P20" s="98">
        <f>SUM(SUMIFS('caseload data'!R:R,'caseload data'!$D:$D,"SPO",'caseload data'!$C:$C,'community caseload'!$B$15,'caseload data'!$B:$B,{"licence","community"}))</f>
        <v>0</v>
      </c>
      <c r="Q20" s="98">
        <f>SUM(SUMIFS('caseload data'!S:S,'caseload data'!$D:$D,"SPO",'caseload data'!$C:$C,'community caseload'!$B$15,'caseload data'!$B:$B,{"licence","community"}))</f>
        <v>0</v>
      </c>
      <c r="R20" s="98">
        <f>SUM(SUMIFS('caseload data'!T:T,'caseload data'!$D:$D,"SPO",'caseload data'!$C:$C,'community caseload'!$B$15,'caseload data'!$B:$B,{"licence","community"}))</f>
        <v>0</v>
      </c>
      <c r="S20" s="68"/>
      <c r="T20" s="102" t="s">
        <v>1174</v>
      </c>
      <c r="U20" s="98">
        <f>SUM(SUMIFS('caseload data'!E:E,'caseload data'!$D:$D,"SPO",'caseload data'!$C:$C,'community caseload'!$T$15,'caseload data'!$B:$B,{"licence","community"}))</f>
        <v>0</v>
      </c>
      <c r="V20" s="98"/>
      <c r="W20" s="98"/>
      <c r="X20" s="98"/>
      <c r="Y20" s="98"/>
      <c r="Z20" s="98"/>
      <c r="AA20" s="98"/>
      <c r="AB20" s="98"/>
      <c r="AC20" s="98"/>
      <c r="AD20" s="98"/>
      <c r="AE20" s="98">
        <f>SUM(SUMIFS('caseload data'!J:J,'caseload data'!$D:$D,"SPO",'caseload data'!$C:$C,'community caseload'!$T$15,'caseload data'!$B:$B,{"licence","community"}))</f>
        <v>0</v>
      </c>
      <c r="AF20" s="98">
        <f>SUM(SUMIFS('caseload data'!K:K,'caseload data'!$D:$D,"SPO",'caseload data'!$C:$C,'community caseload'!$T$15,'caseload data'!$B:$B,{"licence","community"}))</f>
        <v>0</v>
      </c>
      <c r="AG20" s="98">
        <f>SUM(SUMIFS('caseload data'!N:N,'caseload data'!$D:$D,"SPO",'caseload data'!$C:$C,'community caseload'!$T$15,'caseload data'!$B:$B,{"licence","community"}))</f>
        <v>0</v>
      </c>
      <c r="AH20" s="98">
        <f>SUM(SUMIFS('caseload data'!O:O,'caseload data'!$D:$D,"SPO",'caseload data'!$C:$C,'community caseload'!$T$15,'caseload data'!$B:$B,{"licence","community"}))</f>
        <v>0</v>
      </c>
      <c r="AI20" s="98">
        <f>SUM(SUMIFS('caseload data'!R:R,'caseload data'!$D:$D,"SPO",'caseload data'!$C:$C,'community caseload'!$T$15,'caseload data'!$B:$B,{"licence","community"}))</f>
        <v>0</v>
      </c>
      <c r="AJ20" s="98">
        <f>SUM(SUMIFS('caseload data'!S:S,'caseload data'!$D:$D,"SPO",'caseload data'!$C:$C,'community caseload'!$T$15,'caseload data'!$B:$B,{"licence","community"}))</f>
        <v>0</v>
      </c>
    </row>
    <row r="21" spans="2:36" x14ac:dyDescent="0.15">
      <c r="B21" s="95"/>
      <c r="C21" s="68"/>
      <c r="D21" s="68"/>
      <c r="E21" s="68"/>
      <c r="F21" s="68"/>
      <c r="G21" s="68"/>
      <c r="H21" s="68"/>
      <c r="I21" s="68"/>
      <c r="J21" s="68"/>
      <c r="K21" s="68"/>
      <c r="L21" s="68"/>
      <c r="M21" s="68"/>
      <c r="N21" s="68"/>
      <c r="O21" s="68"/>
      <c r="P21" s="68"/>
      <c r="Q21" s="68"/>
      <c r="R21" s="68"/>
      <c r="S21" s="68"/>
      <c r="T21" s="95"/>
      <c r="U21" s="68"/>
      <c r="V21" s="68"/>
      <c r="W21" s="68"/>
      <c r="X21" s="68"/>
      <c r="Y21" s="68"/>
      <c r="Z21" s="68"/>
      <c r="AA21" s="68"/>
      <c r="AB21" s="68"/>
      <c r="AC21" s="68"/>
      <c r="AD21" s="68"/>
      <c r="AE21" s="68"/>
      <c r="AF21" s="68"/>
      <c r="AG21" s="68"/>
      <c r="AH21" s="68"/>
      <c r="AI21" s="68"/>
      <c r="AJ21" s="68"/>
    </row>
    <row r="22" spans="2:36" ht="42" customHeight="1" x14ac:dyDescent="0.15">
      <c r="B22" s="302" t="str">
        <f>HLOOKUP($B$5,Region_Table,6,0)</f>
        <v>Corporate Services - N07</v>
      </c>
      <c r="C22" s="459" t="s">
        <v>1309</v>
      </c>
      <c r="D22" s="460"/>
      <c r="E22" s="460"/>
      <c r="F22" s="460"/>
      <c r="G22" s="460"/>
      <c r="H22" s="460"/>
      <c r="I22" s="460"/>
      <c r="J22" s="460"/>
      <c r="K22" s="460"/>
      <c r="L22" s="460"/>
      <c r="M22" s="489"/>
      <c r="N22" s="489"/>
      <c r="O22" s="490"/>
      <c r="P22" s="462" cm="1">
        <f t="array" ref="P22">SUM(SUMIFS('caseload data'!V:V,'caseload data'!B:B,{"licence","community"},'caseload data'!$C:$C,'community caseload'!B22))</f>
        <v>0</v>
      </c>
      <c r="Q22" s="479"/>
      <c r="R22" s="480"/>
      <c r="S22" s="305"/>
      <c r="T22" s="302" t="str">
        <f>HLOOKUP($B$5,Region_Table,7,0)</f>
        <v>Croydon - N07</v>
      </c>
      <c r="U22" s="459" t="s">
        <v>1309</v>
      </c>
      <c r="V22" s="460"/>
      <c r="W22" s="460"/>
      <c r="X22" s="460"/>
      <c r="Y22" s="460"/>
      <c r="Z22" s="460"/>
      <c r="AA22" s="460"/>
      <c r="AB22" s="460"/>
      <c r="AC22" s="460"/>
      <c r="AD22" s="460"/>
      <c r="AE22" s="489"/>
      <c r="AF22" s="489"/>
      <c r="AG22" s="490"/>
      <c r="AH22" s="462" cm="1">
        <f t="array" ref="AH22">SUM(SUMIFS('caseload data'!V:V,'caseload data'!B:B,{"licence","community"},'caseload data'!$C:$C,'community caseload'!T22))</f>
        <v>0</v>
      </c>
      <c r="AI22" s="479"/>
      <c r="AJ22" s="480"/>
    </row>
    <row r="23" spans="2:36" x14ac:dyDescent="0.15">
      <c r="B23" s="99" t="s">
        <v>1170</v>
      </c>
      <c r="C23" s="40" t="s">
        <v>1022</v>
      </c>
      <c r="D23" s="40" t="s">
        <v>1023</v>
      </c>
      <c r="E23" s="40" t="s">
        <v>1024</v>
      </c>
      <c r="F23" s="40" t="s">
        <v>1025</v>
      </c>
      <c r="G23" s="40" t="s">
        <v>1026</v>
      </c>
      <c r="H23" s="40" t="s">
        <v>1027</v>
      </c>
      <c r="I23" s="40" t="s">
        <v>1028</v>
      </c>
      <c r="J23" s="40" t="s">
        <v>1029</v>
      </c>
      <c r="K23" s="40" t="s">
        <v>1030</v>
      </c>
      <c r="L23" s="40" t="s">
        <v>1031</v>
      </c>
      <c r="M23" s="40" t="s">
        <v>1032</v>
      </c>
      <c r="N23" s="40" t="s">
        <v>1033</v>
      </c>
      <c r="O23" s="40" t="s">
        <v>1034</v>
      </c>
      <c r="P23" s="40" t="s">
        <v>1035</v>
      </c>
      <c r="Q23" s="40" t="s">
        <v>1036</v>
      </c>
      <c r="R23" s="40" t="s">
        <v>1037</v>
      </c>
      <c r="S23" s="68"/>
      <c r="T23" s="99" t="s">
        <v>1170</v>
      </c>
      <c r="U23" s="40" t="s">
        <v>1022</v>
      </c>
      <c r="V23" s="40" t="s">
        <v>1023</v>
      </c>
      <c r="W23" s="40" t="s">
        <v>1024</v>
      </c>
      <c r="X23" s="40" t="s">
        <v>1025</v>
      </c>
      <c r="Y23" s="40" t="s">
        <v>1026</v>
      </c>
      <c r="Z23" s="40" t="s">
        <v>1027</v>
      </c>
      <c r="AA23" s="40" t="s">
        <v>1028</v>
      </c>
      <c r="AB23" s="40" t="s">
        <v>1029</v>
      </c>
      <c r="AC23" s="40" t="s">
        <v>1030</v>
      </c>
      <c r="AD23" s="40" t="s">
        <v>1031</v>
      </c>
      <c r="AE23" s="40" t="s">
        <v>1032</v>
      </c>
      <c r="AF23" s="40" t="s">
        <v>1033</v>
      </c>
      <c r="AG23" s="40" t="s">
        <v>1034</v>
      </c>
      <c r="AH23" s="40" t="s">
        <v>1035</v>
      </c>
      <c r="AI23" s="40" t="s">
        <v>1036</v>
      </c>
      <c r="AJ23" s="40" t="s">
        <v>1037</v>
      </c>
    </row>
    <row r="24" spans="2:36" x14ac:dyDescent="0.15">
      <c r="B24" s="100" t="s">
        <v>1166</v>
      </c>
      <c r="C24" s="98">
        <f>SUM(SUMIFS('caseload data'!E:E,'caseload data'!$D:$D,"PO",'caseload data'!$C:$C,'community caseload'!$B$22,'caseload data'!$B:$B,{"licence","community"}))</f>
        <v>0</v>
      </c>
      <c r="D24" s="98">
        <f>SUM(SUMIFS('caseload data'!F:F,'caseload data'!$D:$D,"PO",'caseload data'!$C:$C,'community caseload'!$B$22,'caseload data'!$B:$B,{"licence","community"}))</f>
        <v>0</v>
      </c>
      <c r="E24" s="98">
        <f>SUM(SUMIFS('caseload data'!G:G,'caseload data'!$D:$D,"PO",'caseload data'!$C:$C,'community caseload'!$B$22,'caseload data'!$B:$B,{"licence","community"}))</f>
        <v>0</v>
      </c>
      <c r="F24" s="98">
        <f>SUM(SUMIFS('caseload data'!H:H,'caseload data'!$D:$D,"PO",'caseload data'!$C:$C,'community caseload'!$B$22,'caseload data'!$B:$B,{"licence","community"}))</f>
        <v>0</v>
      </c>
      <c r="G24" s="98">
        <f>SUM(SUMIFS('caseload data'!I:I,'caseload data'!$D:$D,"PO",'caseload data'!$C:$C,'community caseload'!$B$22,'caseload data'!$B:$B,{"licence","community"}))</f>
        <v>0</v>
      </c>
      <c r="H24" s="98">
        <f>SUM(SUMIFS('caseload data'!J:J,'caseload data'!$D:$D,"PO",'caseload data'!$C:$C,'community caseload'!$B$22,'caseload data'!$B:$B,{"licence","community"}))</f>
        <v>0</v>
      </c>
      <c r="I24" s="98">
        <f>SUM(SUMIFS('caseload data'!K:K,'caseload data'!$D:$D,"PO",'caseload data'!$C:$C,'community caseload'!$B$22,'caseload data'!$B:$B,{"licence","community"}))</f>
        <v>0</v>
      </c>
      <c r="J24" s="98">
        <f>SUM(SUMIFS('caseload data'!L:L,'caseload data'!$D:$D,"PO",'caseload data'!$C:$C,'community caseload'!$B$22,'caseload data'!$B:$B,{"licence","community"}))</f>
        <v>0</v>
      </c>
      <c r="K24" s="98">
        <f>SUM(SUMIFS('caseload data'!M:M,'caseload data'!$D:$D,"PO",'caseload data'!$C:$C,'community caseload'!$B$22,'caseload data'!$B:$B,{"licence","community"}))</f>
        <v>0</v>
      </c>
      <c r="L24" s="98">
        <f>SUM(SUMIFS('caseload data'!N:N,'caseload data'!$D:$D,"PO",'caseload data'!$C:$C,'community caseload'!$B$22,'caseload data'!$B:$B,{"licence","community"}))</f>
        <v>0</v>
      </c>
      <c r="M24" s="98">
        <f>SUM(SUMIFS('caseload data'!O:O,'caseload data'!$D:$D,"PO",'caseload data'!$C:$C,'community caseload'!$B$22,'caseload data'!$B:$B,{"licence","community"}))</f>
        <v>0</v>
      </c>
      <c r="N24" s="98">
        <f>SUM(SUMIFS('caseload data'!P:P,'caseload data'!$D:$D,"PO",'caseload data'!$C:$C,'community caseload'!$B$22,'caseload data'!$B:$B,{"licence","community"}))</f>
        <v>0</v>
      </c>
      <c r="O24" s="98">
        <f>SUM(SUMIFS('caseload data'!Q:Q,'caseload data'!$D:$D,"PO",'caseload data'!$C:$C,'community caseload'!$B$22,'caseload data'!$B:$B,{"licence","community"}))</f>
        <v>0</v>
      </c>
      <c r="P24" s="98">
        <f>SUM(SUMIFS('caseload data'!R:R,'caseload data'!$D:$D,"PO",'caseload data'!$C:$C,'community caseload'!$B$22,'caseload data'!$B:$B,{"licence","community"}))</f>
        <v>0</v>
      </c>
      <c r="Q24" s="98">
        <f>SUM(SUMIFS('caseload data'!S:S,'caseload data'!$D:$D,"PO",'caseload data'!$C:$C,'community caseload'!$B$22,'caseload data'!$B:$B,{"licence","community"}))</f>
        <v>0</v>
      </c>
      <c r="R24" s="98">
        <f>SUM(SUMIFS('caseload data'!T:T,'caseload data'!$D:$D,"PO",'caseload data'!$C:$C,'community caseload'!$B$22,'caseload data'!$B:$B,{"licence","community"}))</f>
        <v>0</v>
      </c>
      <c r="S24" s="68"/>
      <c r="T24" s="100" t="s">
        <v>1166</v>
      </c>
      <c r="U24" s="98">
        <f>SUM(SUMIFS('caseload data'!E:E,'caseload data'!$D:$D,"PO",'caseload data'!$C:$C,'community caseload'!$T$22,'caseload data'!$B:$B,{"licence","community"}))</f>
        <v>0</v>
      </c>
      <c r="V24" s="98">
        <f>SUM(SUMIFS('caseload data'!F:F,'caseload data'!$D:$D,"PO",'caseload data'!$C:$C,'community caseload'!$T$22,'caseload data'!$B:$B,{"licence","community"}))</f>
        <v>0</v>
      </c>
      <c r="W24" s="98">
        <f>SUM(SUMIFS('caseload data'!G:G,'caseload data'!$D:$D,"PO",'caseload data'!$C:$C,'community caseload'!$T$22,'caseload data'!$B:$B,{"licence","community"}))</f>
        <v>0</v>
      </c>
      <c r="X24" s="98">
        <f>SUM(SUMIFS('caseload data'!H:H,'caseload data'!$D:$D,"PO",'caseload data'!$C:$C,'community caseload'!$T$22,'caseload data'!$B:$B,{"licence","community"}))</f>
        <v>0</v>
      </c>
      <c r="Y24" s="98">
        <f>SUM(SUMIFS('caseload data'!I:I,'caseload data'!$D:$D,"PO",'caseload data'!$C:$C,'community caseload'!$T$22,'caseload data'!$B:$B,{"licence","community"}))</f>
        <v>0</v>
      </c>
      <c r="Z24" s="98">
        <f>SUM(SUMIFS('caseload data'!J:J,'caseload data'!$D:$D,"PO",'caseload data'!$C:$C,'community caseload'!$T$22,'caseload data'!$B:$B,{"licence","community"}))</f>
        <v>0</v>
      </c>
      <c r="AA24" s="98">
        <f>SUM(SUMIFS('caseload data'!K:K,'caseload data'!$D:$D,"PO",'caseload data'!$C:$C,'community caseload'!$T$22,'caseload data'!$B:$B,{"licence","community"}))</f>
        <v>0</v>
      </c>
      <c r="AB24" s="98">
        <f>SUM(SUMIFS('caseload data'!L:L,'caseload data'!$D:$D,"PO",'caseload data'!$C:$C,'community caseload'!$T$22,'caseload data'!$B:$B,{"licence","community"}))</f>
        <v>0</v>
      </c>
      <c r="AC24" s="98">
        <f>SUM(SUMIFS('caseload data'!M:M,'caseload data'!$D:$D,"PO",'caseload data'!$C:$C,'community caseload'!$T$22,'caseload data'!$B:$B,{"licence","community"}))</f>
        <v>0</v>
      </c>
      <c r="AD24" s="98">
        <f>SUM(SUMIFS('caseload data'!N:N,'caseload data'!$D:$D,"PO",'caseload data'!$C:$C,'community caseload'!$T$22,'caseload data'!$B:$B,{"licence","community"}))</f>
        <v>0</v>
      </c>
      <c r="AE24" s="98">
        <f>SUM(SUMIFS('caseload data'!O:O,'caseload data'!$D:$D,"PO",'caseload data'!$C:$C,'community caseload'!$T$22,'caseload data'!$B:$B,{"licence","community"}))</f>
        <v>0</v>
      </c>
      <c r="AF24" s="98">
        <f>SUM(SUMIFS('caseload data'!P:P,'caseload data'!$D:$D,"PO",'caseload data'!$C:$C,'community caseload'!$T$22,'caseload data'!$B:$B,{"licence","community"}))</f>
        <v>0</v>
      </c>
      <c r="AG24" s="98">
        <f>SUM(SUMIFS('caseload data'!Q:Q,'caseload data'!$D:$D,"PO",'caseload data'!$C:$C,'community caseload'!$T$22,'caseload data'!$B:$B,{"licence","community"}))</f>
        <v>0</v>
      </c>
      <c r="AH24" s="98">
        <f>SUM(SUMIFS('caseload data'!R:R,'caseload data'!$D:$D,"PO",'caseload data'!$C:$C,'community caseload'!$T$22,'caseload data'!$B:$B,{"licence","community"}))</f>
        <v>0</v>
      </c>
      <c r="AI24" s="98">
        <f>SUM(SUMIFS('caseload data'!S:S,'caseload data'!$D:$D,"PO",'caseload data'!$C:$C,'community caseload'!$T$22,'caseload data'!$B:$B,{"licence","community"}))</f>
        <v>0</v>
      </c>
      <c r="AJ24" s="98">
        <f>SUM(SUMIFS('caseload data'!T:T,'caseload data'!$D:$D,"PO",'caseload data'!$C:$C,'community caseload'!$T$22,'caseload data'!$B:$B,{"licence","community"}))</f>
        <v>0</v>
      </c>
    </row>
    <row r="25" spans="2:36" x14ac:dyDescent="0.15">
      <c r="B25" s="101" t="s">
        <v>1172</v>
      </c>
      <c r="C25" s="98">
        <f>SUM(SUMIFS('caseload data'!E:E,'caseload data'!$D:$D,"PSO",'caseload data'!$C:$C,'community caseload'!$B$22,'caseload data'!$B:$B,{"licence","community"}))</f>
        <v>0</v>
      </c>
      <c r="D25" s="98">
        <f>SUM(SUMIFS('caseload data'!F:F,'caseload data'!$D:$D,"PSO",'caseload data'!$C:$C,'community caseload'!$B$22,'caseload data'!$B:$B,{"licence","community"}))</f>
        <v>0</v>
      </c>
      <c r="E25" s="98">
        <f>SUM(SUMIFS('caseload data'!G:G,'caseload data'!$D:$D,"PSO",'caseload data'!$C:$C,'community caseload'!$B$22,'caseload data'!$B:$B,{"licence","community"}))</f>
        <v>0</v>
      </c>
      <c r="F25" s="98">
        <f>SUM(SUMIFS('caseload data'!H:H,'caseload data'!$D:$D,"PSO",'caseload data'!$C:$C,'community caseload'!$B$22,'caseload data'!$B:$B,{"licence","community"}))</f>
        <v>0</v>
      </c>
      <c r="G25" s="98">
        <f>SUM(SUMIFS('caseload data'!I:I,'caseload data'!$D:$D,"PSO",'caseload data'!$C:$C,'community caseload'!$B$22,'caseload data'!$B:$B,{"licence","community"}))</f>
        <v>0</v>
      </c>
      <c r="H25" s="98">
        <f>SUM(SUMIFS('caseload data'!J:J,'caseload data'!$D:$D,"PSO",'caseload data'!$C:$C,'community caseload'!$B$22,'caseload data'!$B:$B,{"licence","community"}))</f>
        <v>0</v>
      </c>
      <c r="I25" s="98">
        <f>SUM(SUMIFS('caseload data'!K:K,'caseload data'!$D:$D,"PSO",'caseload data'!$C:$C,'community caseload'!$B$22,'caseload data'!$B:$B,{"licence","community"}))</f>
        <v>0</v>
      </c>
      <c r="J25" s="98">
        <f>SUM(SUMIFS('caseload data'!L:L,'caseload data'!$D:$D,"PSO",'caseload data'!$C:$C,'community caseload'!$B$22,'caseload data'!$B:$B,{"licence","community"}))</f>
        <v>0</v>
      </c>
      <c r="K25" s="98">
        <f>SUM(SUMIFS('caseload data'!M:M,'caseload data'!$D:$D,"PSO",'caseload data'!$C:$C,'community caseload'!$B$22,'caseload data'!$B:$B,{"licence","community"}))</f>
        <v>0</v>
      </c>
      <c r="L25" s="98">
        <f>SUM(SUMIFS('caseload data'!N:N,'caseload data'!$D:$D,"PSO",'caseload data'!$C:$C,'community caseload'!$B$22,'caseload data'!$B:$B,{"licence","community"}))</f>
        <v>0</v>
      </c>
      <c r="M25" s="98">
        <f>SUM(SUMIFS('caseload data'!O:O,'caseload data'!$D:$D,"PSO",'caseload data'!$C:$C,'community caseload'!$B$22,'caseload data'!$B:$B,{"licence","community"}))</f>
        <v>0</v>
      </c>
      <c r="N25" s="98">
        <f>SUM(SUMIFS('caseload data'!P:P,'caseload data'!$D:$D,"PSO",'caseload data'!$C:$C,'community caseload'!$B$22,'caseload data'!$B:$B,{"licence","community"}))</f>
        <v>0</v>
      </c>
      <c r="O25" s="98">
        <f>SUM(SUMIFS('caseload data'!Q:Q,'caseload data'!$D:$D,"PSO",'caseload data'!$C:$C,'community caseload'!$B$22,'caseload data'!$B:$B,{"licence","community"}))</f>
        <v>0</v>
      </c>
      <c r="P25" s="98">
        <f>SUM(SUMIFS('caseload data'!R:R,'caseload data'!$D:$D,"PSO",'caseload data'!$C:$C,'community caseload'!$B$22,'caseload data'!$B:$B,{"licence","community"}))</f>
        <v>0</v>
      </c>
      <c r="Q25" s="98">
        <f>SUM(SUMIFS('caseload data'!S:S,'caseload data'!$D:$D,"PSO",'caseload data'!$C:$C,'community caseload'!$B$22,'caseload data'!$B:$B,{"licence","community"}))</f>
        <v>0</v>
      </c>
      <c r="R25" s="98">
        <f>SUM(SUMIFS('caseload data'!T:T,'caseload data'!$D:$D,"PSO",'caseload data'!$C:$C,'community caseload'!$B$22,'caseload data'!$B:$B,{"licence","community"}))</f>
        <v>0</v>
      </c>
      <c r="S25" s="68"/>
      <c r="T25" s="101" t="s">
        <v>1172</v>
      </c>
      <c r="U25" s="98">
        <f>SUM(SUMIFS('caseload data'!E:E,'caseload data'!$D:$D,"PSO",'caseload data'!$C:$C,'community caseload'!$T$22,'caseload data'!$B:$B,{"licence","community"}))</f>
        <v>0</v>
      </c>
      <c r="V25" s="98">
        <f>SUM(SUMIFS('caseload data'!F:F,'caseload data'!$D:$D,"PSO",'caseload data'!$C:$C,'community caseload'!$T$22,'caseload data'!$B:$B,{"licence","community"}))</f>
        <v>0</v>
      </c>
      <c r="W25" s="98">
        <f>SUM(SUMIFS('caseload data'!G:G,'caseload data'!$D:$D,"PSO",'caseload data'!$C:$C,'community caseload'!$T$22,'caseload data'!$B:$B,{"licence","community"}))</f>
        <v>0</v>
      </c>
      <c r="X25" s="98">
        <f>SUM(SUMIFS('caseload data'!H:H,'caseload data'!$D:$D,"PSO",'caseload data'!$C:$C,'community caseload'!$T$22,'caseload data'!$B:$B,{"licence","community"}))</f>
        <v>0</v>
      </c>
      <c r="Y25" s="98">
        <f>SUM(SUMIFS('caseload data'!I:I,'caseload data'!$D:$D,"PSO",'caseload data'!$C:$C,'community caseload'!$T$22,'caseload data'!$B:$B,{"licence","community"}))</f>
        <v>0</v>
      </c>
      <c r="Z25" s="98">
        <f>SUM(SUMIFS('caseload data'!J:J,'caseload data'!$D:$D,"PSO",'caseload data'!$C:$C,'community caseload'!$T$22,'caseload data'!$B:$B,{"licence","community"}))</f>
        <v>0</v>
      </c>
      <c r="AA25" s="98">
        <f>SUM(SUMIFS('caseload data'!K:K,'caseload data'!$D:$D,"PSO",'caseload data'!$C:$C,'community caseload'!$T$22,'caseload data'!$B:$B,{"licence","community"}))</f>
        <v>0</v>
      </c>
      <c r="AB25" s="98">
        <f>SUM(SUMIFS('caseload data'!L:L,'caseload data'!$D:$D,"PSO",'caseload data'!$C:$C,'community caseload'!$T$22,'caseload data'!$B:$B,{"licence","community"}))</f>
        <v>0</v>
      </c>
      <c r="AC25" s="98">
        <f>SUM(SUMIFS('caseload data'!M:M,'caseload data'!$D:$D,"PSO",'caseload data'!$C:$C,'community caseload'!$T$22,'caseload data'!$B:$B,{"licence","community"}))</f>
        <v>0</v>
      </c>
      <c r="AD25" s="98">
        <f>SUM(SUMIFS('caseload data'!N:N,'caseload data'!$D:$D,"PSO",'caseload data'!$C:$C,'community caseload'!$T$22,'caseload data'!$B:$B,{"licence","community"}))</f>
        <v>0</v>
      </c>
      <c r="AE25" s="98">
        <f>SUM(SUMIFS('caseload data'!O:O,'caseload data'!$D:$D,"PSO",'caseload data'!$C:$C,'community caseload'!$T$22,'caseload data'!$B:$B,{"licence","community"}))</f>
        <v>0</v>
      </c>
      <c r="AF25" s="98">
        <f>SUM(SUMIFS('caseload data'!P:P,'caseload data'!$D:$D,"PSO",'caseload data'!$C:$C,'community caseload'!$T$22,'caseload data'!$B:$B,{"licence","community"}))</f>
        <v>0</v>
      </c>
      <c r="AG25" s="98">
        <f>SUM(SUMIFS('caseload data'!Q:Q,'caseload data'!$D:$D,"PSO",'caseload data'!$C:$C,'community caseload'!$T$22,'caseload data'!$B:$B,{"licence","community"}))</f>
        <v>0</v>
      </c>
      <c r="AH25" s="98">
        <f>SUM(SUMIFS('caseload data'!R:R,'caseload data'!$D:$D,"PSO",'caseload data'!$C:$C,'community caseload'!$T$22,'caseload data'!$B:$B,{"licence","community"}))</f>
        <v>0</v>
      </c>
      <c r="AI25" s="98">
        <f>SUM(SUMIFS('caseload data'!S:S,'caseload data'!$D:$D,"PSO",'caseload data'!$C:$C,'community caseload'!$T$22,'caseload data'!$B:$B,{"licence","community"}))</f>
        <v>0</v>
      </c>
      <c r="AJ25" s="98">
        <f>SUM(SUMIFS('caseload data'!T:T,'caseload data'!$D:$D,"PSO",'caseload data'!$C:$C,'community caseload'!$T$22,'caseload data'!$B:$B,{"licence","community"}))</f>
        <v>0</v>
      </c>
    </row>
    <row r="26" spans="2:36" x14ac:dyDescent="0.15">
      <c r="B26" s="101" t="s">
        <v>1173</v>
      </c>
      <c r="C26" s="98">
        <f>SUM(SUMIFS('caseload data'!E:E,'caseload data'!$D:$D,"TPO",'caseload data'!$C:$C,'community caseload'!$B$22,'caseload data'!$B:$B,{"licence","community"}))</f>
        <v>0</v>
      </c>
      <c r="D26" s="98">
        <f>SUM(SUMIFS('caseload data'!F:F,'caseload data'!$D:$D,"TPO",'caseload data'!$C:$C,'community caseload'!$B$22,'caseload data'!$B:$B,{"licence","community"}))</f>
        <v>0</v>
      </c>
      <c r="E26" s="98">
        <f>SUM(SUMIFS('caseload data'!G:G,'caseload data'!$D:$D,"TPO",'caseload data'!$C:$C,'community caseload'!$B$22,'caseload data'!$B:$B,{"licence","community"}))</f>
        <v>0</v>
      </c>
      <c r="F26" s="98">
        <f>SUM(SUMIFS('caseload data'!H:H,'caseload data'!$D:$D,"TPO",'caseload data'!$C:$C,'community caseload'!$B$22,'caseload data'!$B:$B,{"licence","community"}))</f>
        <v>0</v>
      </c>
      <c r="G26" s="98">
        <f>SUM(SUMIFS('caseload data'!I:I,'caseload data'!$D:$D,"TPO",'caseload data'!$C:$C,'community caseload'!$B$22,'caseload data'!$B:$B,{"licence","community"}))</f>
        <v>0</v>
      </c>
      <c r="H26" s="98">
        <f>SUM(SUMIFS('caseload data'!J:J,'caseload data'!$D:$D,"TPO",'caseload data'!$C:$C,'community caseload'!$B$22,'caseload data'!$B:$B,{"licence","community"}))</f>
        <v>0</v>
      </c>
      <c r="I26" s="98">
        <f>SUM(SUMIFS('caseload data'!K:K,'caseload data'!$D:$D,"TPO",'caseload data'!$C:$C,'community caseload'!$B$22,'caseload data'!$B:$B,{"licence","community"}))</f>
        <v>0</v>
      </c>
      <c r="J26" s="98">
        <f>SUM(SUMIFS('caseload data'!L:L,'caseload data'!$D:$D,"TPO",'caseload data'!$C:$C,'community caseload'!$B$22,'caseload data'!$B:$B,{"licence","community"}))</f>
        <v>0</v>
      </c>
      <c r="K26" s="98">
        <f>SUM(SUMIFS('caseload data'!M:M,'caseload data'!$D:$D,"TPO",'caseload data'!$C:$C,'community caseload'!$B$22,'caseload data'!$B:$B,{"licence","community"}))</f>
        <v>0</v>
      </c>
      <c r="L26" s="98">
        <f>SUM(SUMIFS('caseload data'!N:N,'caseload data'!$D:$D,"TPO",'caseload data'!$C:$C,'community caseload'!$B$22,'caseload data'!$B:$B,{"licence","community"}))</f>
        <v>0</v>
      </c>
      <c r="M26" s="98">
        <f>SUM(SUMIFS('caseload data'!O:O,'caseload data'!$D:$D,"TPO",'caseload data'!$C:$C,'community caseload'!$B$22,'caseload data'!$B:$B,{"licence","community"}))</f>
        <v>0</v>
      </c>
      <c r="N26" s="98">
        <f>SUM(SUMIFS('caseload data'!P:P,'caseload data'!$D:$D,"TPO",'caseload data'!$C:$C,'community caseload'!$B$22,'caseload data'!$B:$B,{"licence","community"}))</f>
        <v>0</v>
      </c>
      <c r="O26" s="98">
        <f>SUM(SUMIFS('caseload data'!Q:Q,'caseload data'!$D:$D,"TPO",'caseload data'!$C:$C,'community caseload'!$B$22,'caseload data'!$B:$B,{"licence","community"}))</f>
        <v>0</v>
      </c>
      <c r="P26" s="98">
        <f>SUM(SUMIFS('caseload data'!R:R,'caseload data'!$D:$D,"TPO",'caseload data'!$C:$C,'community caseload'!$B$22,'caseload data'!$B:$B,{"licence","community"}))</f>
        <v>0</v>
      </c>
      <c r="Q26" s="98">
        <f>SUM(SUMIFS('caseload data'!S:S,'caseload data'!$D:$D,"TPO",'caseload data'!$C:$C,'community caseload'!$B$22,'caseload data'!$B:$B,{"licence","community"}))</f>
        <v>0</v>
      </c>
      <c r="R26" s="98">
        <f>SUM(SUMIFS('caseload data'!T:T,'caseload data'!$D:$D,"TPO",'caseload data'!$C:$C,'community caseload'!$B$22,'caseload data'!$B:$B,{"licence","community"}))</f>
        <v>0</v>
      </c>
      <c r="S26" s="68"/>
      <c r="T26" s="101" t="s">
        <v>1173</v>
      </c>
      <c r="U26" s="98">
        <f>SUM(SUMIFS('caseload data'!E:E,'caseload data'!$D:$D,"TPO",'caseload data'!$C:$C,'community caseload'!$T$22,'caseload data'!$B:$B,{"licence","community"}))</f>
        <v>0</v>
      </c>
      <c r="V26" s="98">
        <f>SUM(SUMIFS('caseload data'!F:F,'caseload data'!$D:$D,"TPO",'caseload data'!$C:$C,'community caseload'!$T$22,'caseload data'!$B:$B,{"licence","community"}))</f>
        <v>0</v>
      </c>
      <c r="W26" s="98">
        <f>SUM(SUMIFS('caseload data'!G:G,'caseload data'!$D:$D,"TPO",'caseload data'!$C:$C,'community caseload'!$T$22,'caseload data'!$B:$B,{"licence","community"}))</f>
        <v>0</v>
      </c>
      <c r="X26" s="98">
        <f>SUM(SUMIFS('caseload data'!H:H,'caseload data'!$D:$D,"TPO",'caseload data'!$C:$C,'community caseload'!$T$22,'caseload data'!$B:$B,{"licence","community"}))</f>
        <v>0</v>
      </c>
      <c r="Y26" s="98">
        <f>SUM(SUMIFS('caseload data'!I:I,'caseload data'!$D:$D,"TPO",'caseload data'!$C:$C,'community caseload'!$T$22,'caseload data'!$B:$B,{"licence","community"}))</f>
        <v>0</v>
      </c>
      <c r="Z26" s="98">
        <f>SUM(SUMIFS('caseload data'!J:J,'caseload data'!$D:$D,"TPO",'caseload data'!$C:$C,'community caseload'!$T$22,'caseload data'!$B:$B,{"licence","community"}))</f>
        <v>0</v>
      </c>
      <c r="AA26" s="98">
        <f>SUM(SUMIFS('caseload data'!K:K,'caseload data'!$D:$D,"TPO",'caseload data'!$C:$C,'community caseload'!$T$22,'caseload data'!$B:$B,{"licence","community"}))</f>
        <v>0</v>
      </c>
      <c r="AB26" s="98">
        <f>SUM(SUMIFS('caseload data'!L:L,'caseload data'!$D:$D,"TPO",'caseload data'!$C:$C,'community caseload'!$T$22,'caseload data'!$B:$B,{"licence","community"}))</f>
        <v>0</v>
      </c>
      <c r="AC26" s="98">
        <f>SUM(SUMIFS('caseload data'!M:M,'caseload data'!$D:$D,"TPO",'caseload data'!$C:$C,'community caseload'!$T$22,'caseload data'!$B:$B,{"licence","community"}))</f>
        <v>0</v>
      </c>
      <c r="AD26" s="98">
        <f>SUM(SUMIFS('caseload data'!N:N,'caseload data'!$D:$D,"TPO",'caseload data'!$C:$C,'community caseload'!$T$22,'caseload data'!$B:$B,{"licence","community"}))</f>
        <v>0</v>
      </c>
      <c r="AE26" s="98">
        <f>SUM(SUMIFS('caseload data'!O:O,'caseload data'!$D:$D,"TPO",'caseload data'!$C:$C,'community caseload'!$T$22,'caseload data'!$B:$B,{"licence","community"}))</f>
        <v>0</v>
      </c>
      <c r="AF26" s="98">
        <f>SUM(SUMIFS('caseload data'!P:P,'caseload data'!$D:$D,"TPO",'caseload data'!$C:$C,'community caseload'!$T$22,'caseload data'!$B:$B,{"licence","community"}))</f>
        <v>0</v>
      </c>
      <c r="AG26" s="98">
        <f>SUM(SUMIFS('caseload data'!Q:Q,'caseload data'!$D:$D,"TPO",'caseload data'!$C:$C,'community caseload'!$T$22,'caseload data'!$B:$B,{"licence","community"}))</f>
        <v>0</v>
      </c>
      <c r="AH26" s="98">
        <f>SUM(SUMIFS('caseload data'!R:R,'caseload data'!$D:$D,"TPO",'caseload data'!$C:$C,'community caseload'!$T$22,'caseload data'!$B:$B,{"licence","community"}))</f>
        <v>0</v>
      </c>
      <c r="AI26" s="98">
        <f>SUM(SUMIFS('caseload data'!S:S,'caseload data'!$D:$D,"TPO",'caseload data'!$C:$C,'community caseload'!$T$22,'caseload data'!$B:$B,{"licence","community"}))</f>
        <v>0</v>
      </c>
      <c r="AJ26" s="98">
        <f>SUM(SUMIFS('caseload data'!T:T,'caseload data'!$D:$D,"TPO",'caseload data'!$C:$C,'community caseload'!$T$22,'caseload data'!$B:$B,{"licence","community"}))</f>
        <v>0</v>
      </c>
    </row>
    <row r="27" spans="2:36" x14ac:dyDescent="0.15">
      <c r="B27" s="102" t="s">
        <v>1174</v>
      </c>
      <c r="C27" s="98">
        <f>SUM(SUMIFS('caseload data'!E:E,'caseload data'!$D:$D,"SPO",'caseload data'!$C:$C,'community caseload'!$B$22,'caseload data'!$B:$B,{"licence","community"}))</f>
        <v>0</v>
      </c>
      <c r="D27" s="98">
        <f>SUM(SUMIFS('caseload data'!F:F,'caseload data'!$D:$D,"SPO",'caseload data'!$C:$C,'community caseload'!$B$22,'caseload data'!$B:$B,{"licence","community"}))</f>
        <v>0</v>
      </c>
      <c r="E27" s="98">
        <f>SUM(SUMIFS('caseload data'!G:G,'caseload data'!$D:$D,"SPO",'caseload data'!$C:$C,'community caseload'!$B$22,'caseload data'!$B:$B,{"licence","community"}))</f>
        <v>0</v>
      </c>
      <c r="F27" s="98">
        <f>SUM(SUMIFS('caseload data'!H:H,'caseload data'!$D:$D,"SPO",'caseload data'!$C:$C,'community caseload'!$B$22,'caseload data'!$B:$B,{"licence","community"}))</f>
        <v>0</v>
      </c>
      <c r="G27" s="98">
        <f>SUM(SUMIFS('caseload data'!I:I,'caseload data'!$D:$D,"SPO",'caseload data'!$C:$C,'community caseload'!$B$22,'caseload data'!$B:$B,{"licence","community"}))</f>
        <v>0</v>
      </c>
      <c r="H27" s="98">
        <f>SUM(SUMIFS('caseload data'!J:J,'caseload data'!$D:$D,"SPO",'caseload data'!$C:$C,'community caseload'!$B$22,'caseload data'!$B:$B,{"licence","community"}))</f>
        <v>0</v>
      </c>
      <c r="I27" s="98">
        <f>SUM(SUMIFS('caseload data'!K:K,'caseload data'!$D:$D,"SPO",'caseload data'!$C:$C,'community caseload'!$B$22,'caseload data'!$B:$B,{"licence","community"}))</f>
        <v>0</v>
      </c>
      <c r="J27" s="98">
        <f>SUM(SUMIFS('caseload data'!L:L,'caseload data'!$D:$D,"SPO",'caseload data'!$C:$C,'community caseload'!$B$22,'caseload data'!$B:$B,{"licence","community"}))</f>
        <v>0</v>
      </c>
      <c r="K27" s="98">
        <f>SUM(SUMIFS('caseload data'!M:M,'caseload data'!$D:$D,"SPO",'caseload data'!$C:$C,'community caseload'!$B$22,'caseload data'!$B:$B,{"licence","community"}))</f>
        <v>0</v>
      </c>
      <c r="L27" s="98">
        <f>SUM(SUMIFS('caseload data'!N:N,'caseload data'!$D:$D,"SPO",'caseload data'!$C:$C,'community caseload'!$B$22,'caseload data'!$B:$B,{"licence","community"}))</f>
        <v>0</v>
      </c>
      <c r="M27" s="98">
        <f>SUM(SUMIFS('caseload data'!O:O,'caseload data'!$D:$D,"SPO",'caseload data'!$C:$C,'community caseload'!$B$22,'caseload data'!$B:$B,{"licence","community"}))</f>
        <v>0</v>
      </c>
      <c r="N27" s="98">
        <f>SUM(SUMIFS('caseload data'!P:P,'caseload data'!$D:$D,"SPO",'caseload data'!$C:$C,'community caseload'!$B$22,'caseload data'!$B:$B,{"licence","community"}))</f>
        <v>0</v>
      </c>
      <c r="O27" s="98">
        <f>SUM(SUMIFS('caseload data'!Q:Q,'caseload data'!$D:$D,"SPO",'caseload data'!$C:$C,'community caseload'!$B$22,'caseload data'!$B:$B,{"licence","community"}))</f>
        <v>0</v>
      </c>
      <c r="P27" s="98">
        <f>SUM(SUMIFS('caseload data'!R:R,'caseload data'!$D:$D,"SPO",'caseload data'!$C:$C,'community caseload'!$B$22,'caseload data'!$B:$B,{"licence","community"}))</f>
        <v>0</v>
      </c>
      <c r="Q27" s="98">
        <f>SUM(SUMIFS('caseload data'!S:S,'caseload data'!$D:$D,"SPO",'caseload data'!$C:$C,'community caseload'!$B$22,'caseload data'!$B:$B,{"licence","community"}))</f>
        <v>0</v>
      </c>
      <c r="R27" s="98">
        <f>SUM(SUMIFS('caseload data'!T:T,'caseload data'!$D:$D,"SPO",'caseload data'!$C:$C,'community caseload'!$B$22,'caseload data'!$B:$B,{"licence","community"}))</f>
        <v>0</v>
      </c>
      <c r="S27" s="68"/>
      <c r="T27" s="102" t="s">
        <v>1174</v>
      </c>
      <c r="U27" s="98">
        <f>SUM(SUMIFS('caseload data'!E:E,'caseload data'!$D:$D,"SPO",'caseload data'!$C:$C,'community caseload'!$T$22,'caseload data'!$B:$B,{"licence","community"}))</f>
        <v>0</v>
      </c>
      <c r="V27" s="98">
        <f>SUM(SUMIFS('caseload data'!F:F,'caseload data'!$D:$D,"SPO",'caseload data'!$C:$C,'community caseload'!$T$22,'caseload data'!$B:$B,{"licence","community"}))</f>
        <v>0</v>
      </c>
      <c r="W27" s="98">
        <f>SUM(SUMIFS('caseload data'!G:G,'caseload data'!$D:$D,"SPO",'caseload data'!$C:$C,'community caseload'!$T$22,'caseload data'!$B:$B,{"licence","community"}))</f>
        <v>0</v>
      </c>
      <c r="X27" s="98">
        <f>SUM(SUMIFS('caseload data'!H:H,'caseload data'!$D:$D,"SPO",'caseload data'!$C:$C,'community caseload'!$T$22,'caseload data'!$B:$B,{"licence","community"}))</f>
        <v>0</v>
      </c>
      <c r="Y27" s="98">
        <f>SUM(SUMIFS('caseload data'!I:I,'caseload data'!$D:$D,"SPO",'caseload data'!$C:$C,'community caseload'!$T$22,'caseload data'!$B:$B,{"licence","community"}))</f>
        <v>0</v>
      </c>
      <c r="Z27" s="98">
        <f>SUM(SUMIFS('caseload data'!J:J,'caseload data'!$D:$D,"SPO",'caseload data'!$C:$C,'community caseload'!$T$22,'caseload data'!$B:$B,{"licence","community"}))</f>
        <v>0</v>
      </c>
      <c r="AA27" s="98">
        <f>SUM(SUMIFS('caseload data'!K:K,'caseload data'!$D:$D,"SPO",'caseload data'!$C:$C,'community caseload'!$T$22,'caseload data'!$B:$B,{"licence","community"}))</f>
        <v>0</v>
      </c>
      <c r="AB27" s="98">
        <f>SUM(SUMIFS('caseload data'!L:L,'caseload data'!$D:$D,"SPO",'caseload data'!$C:$C,'community caseload'!$T$22,'caseload data'!$B:$B,{"licence","community"}))</f>
        <v>0</v>
      </c>
      <c r="AC27" s="98">
        <f>SUM(SUMIFS('caseload data'!M:M,'caseload data'!$D:$D,"SPO",'caseload data'!$C:$C,'community caseload'!$T$22,'caseload data'!$B:$B,{"licence","community"}))</f>
        <v>0</v>
      </c>
      <c r="AD27" s="98">
        <f>SUM(SUMIFS('caseload data'!N:N,'caseload data'!$D:$D,"SPO",'caseload data'!$C:$C,'community caseload'!$T$22,'caseload data'!$B:$B,{"licence","community"}))</f>
        <v>0</v>
      </c>
      <c r="AE27" s="98">
        <f>SUM(SUMIFS('caseload data'!O:O,'caseload data'!$D:$D,"SPO",'caseload data'!$C:$C,'community caseload'!$T$22,'caseload data'!$B:$B,{"licence","community"}))</f>
        <v>0</v>
      </c>
      <c r="AF27" s="98">
        <f>SUM(SUMIFS('caseload data'!P:P,'caseload data'!$D:$D,"SPO",'caseload data'!$C:$C,'community caseload'!$T$22,'caseload data'!$B:$B,{"licence","community"}))</f>
        <v>0</v>
      </c>
      <c r="AG27" s="98">
        <f>SUM(SUMIFS('caseload data'!Q:Q,'caseload data'!$D:$D,"SPO",'caseload data'!$C:$C,'community caseload'!$T$22,'caseload data'!$B:$B,{"licence","community"}))</f>
        <v>0</v>
      </c>
      <c r="AH27" s="98">
        <f>SUM(SUMIFS('caseload data'!R:R,'caseload data'!$D:$D,"SPO",'caseload data'!$C:$C,'community caseload'!$T$22,'caseload data'!$B:$B,{"licence","community"}))</f>
        <v>0</v>
      </c>
      <c r="AI27" s="98">
        <f>SUM(SUMIFS('caseload data'!S:S,'caseload data'!$D:$D,"SPO",'caseload data'!$C:$C,'community caseload'!$T$22,'caseload data'!$B:$B,{"licence","community"}))</f>
        <v>0</v>
      </c>
      <c r="AJ27" s="98">
        <f>SUM(SUMIFS('caseload data'!T:T,'caseload data'!$D:$D,"SPO",'caseload data'!$C:$C,'community caseload'!$T$22,'caseload data'!$B:$B,{"licence","community"}))</f>
        <v>0</v>
      </c>
    </row>
    <row r="28" spans="2:36" x14ac:dyDescent="0.15">
      <c r="B28" s="95"/>
      <c r="C28" s="68"/>
      <c r="D28" s="68"/>
      <c r="E28" s="68"/>
      <c r="F28" s="68"/>
      <c r="G28" s="68"/>
      <c r="H28" s="68"/>
      <c r="I28" s="68"/>
      <c r="J28" s="68"/>
      <c r="K28" s="68"/>
      <c r="L28" s="68"/>
      <c r="M28" s="68"/>
      <c r="N28" s="68"/>
      <c r="O28" s="68"/>
      <c r="P28" s="68"/>
      <c r="Q28" s="68"/>
      <c r="R28" s="68"/>
      <c r="S28" s="68"/>
      <c r="T28" s="95"/>
      <c r="U28" s="68"/>
      <c r="V28" s="68"/>
      <c r="W28" s="68"/>
      <c r="X28" s="68"/>
      <c r="Y28" s="68"/>
      <c r="Z28" s="68"/>
      <c r="AA28" s="68"/>
      <c r="AB28" s="68"/>
      <c r="AC28" s="68"/>
      <c r="AD28" s="68"/>
      <c r="AE28" s="68"/>
      <c r="AF28" s="68"/>
      <c r="AG28" s="68"/>
      <c r="AH28" s="68"/>
      <c r="AI28" s="68"/>
      <c r="AJ28" s="68"/>
    </row>
    <row r="29" spans="2:36" ht="36" customHeight="1" x14ac:dyDescent="0.15">
      <c r="B29" s="302" t="str">
        <f>HLOOKUP($B$5,Region_Table,8,0)</f>
        <v>Ealing and Hillingdon</v>
      </c>
      <c r="C29" s="459" t="s">
        <v>1309</v>
      </c>
      <c r="D29" s="460"/>
      <c r="E29" s="460"/>
      <c r="F29" s="460"/>
      <c r="G29" s="460"/>
      <c r="H29" s="460"/>
      <c r="I29" s="460"/>
      <c r="J29" s="460"/>
      <c r="K29" s="460"/>
      <c r="L29" s="460"/>
      <c r="M29" s="489"/>
      <c r="N29" s="489"/>
      <c r="O29" s="490"/>
      <c r="P29" s="462" cm="1">
        <f t="array" ref="P29">SUM(SUMIFS('caseload data'!V:V,'caseload data'!B:B,{"licence","community"},'caseload data'!$C:$C,'community caseload'!B29))</f>
        <v>0</v>
      </c>
      <c r="Q29" s="479"/>
      <c r="R29" s="480"/>
      <c r="S29" s="305"/>
      <c r="T29" s="302" t="str">
        <f>HLOOKUP($B$5,Region_Table,9,0)</f>
        <v>Enfield and Haringey</v>
      </c>
      <c r="U29" s="459" t="s">
        <v>1309</v>
      </c>
      <c r="V29" s="460"/>
      <c r="W29" s="460"/>
      <c r="X29" s="460"/>
      <c r="Y29" s="460"/>
      <c r="Z29" s="460"/>
      <c r="AA29" s="460"/>
      <c r="AB29" s="460"/>
      <c r="AC29" s="460"/>
      <c r="AD29" s="460"/>
      <c r="AE29" s="489"/>
      <c r="AF29" s="489"/>
      <c r="AG29" s="490"/>
      <c r="AH29" s="462" cm="1">
        <f t="array" ref="AH29">SUM(SUMIFS('caseload data'!V:V,'caseload data'!B:B,{"licence","community"},'caseload data'!$C:$C,'community caseload'!T29))</f>
        <v>0</v>
      </c>
      <c r="AI29" s="479"/>
      <c r="AJ29" s="480"/>
    </row>
    <row r="30" spans="2:36" x14ac:dyDescent="0.15">
      <c r="B30" s="99" t="s">
        <v>1170</v>
      </c>
      <c r="C30" s="40" t="s">
        <v>1022</v>
      </c>
      <c r="D30" s="40" t="s">
        <v>1023</v>
      </c>
      <c r="E30" s="40" t="s">
        <v>1024</v>
      </c>
      <c r="F30" s="40" t="s">
        <v>1025</v>
      </c>
      <c r="G30" s="40" t="s">
        <v>1026</v>
      </c>
      <c r="H30" s="40" t="s">
        <v>1027</v>
      </c>
      <c r="I30" s="40" t="s">
        <v>1028</v>
      </c>
      <c r="J30" s="40" t="s">
        <v>1029</v>
      </c>
      <c r="K30" s="40" t="s">
        <v>1030</v>
      </c>
      <c r="L30" s="40" t="s">
        <v>1031</v>
      </c>
      <c r="M30" s="40" t="s">
        <v>1032</v>
      </c>
      <c r="N30" s="40" t="s">
        <v>1033</v>
      </c>
      <c r="O30" s="40" t="s">
        <v>1034</v>
      </c>
      <c r="P30" s="40" t="s">
        <v>1035</v>
      </c>
      <c r="Q30" s="40" t="s">
        <v>1036</v>
      </c>
      <c r="R30" s="40" t="s">
        <v>1037</v>
      </c>
      <c r="S30" s="68"/>
      <c r="T30" s="99" t="s">
        <v>1170</v>
      </c>
      <c r="U30" s="40" t="s">
        <v>1022</v>
      </c>
      <c r="V30" s="40" t="s">
        <v>1023</v>
      </c>
      <c r="W30" s="40" t="s">
        <v>1024</v>
      </c>
      <c r="X30" s="40" t="s">
        <v>1025</v>
      </c>
      <c r="Y30" s="40" t="s">
        <v>1026</v>
      </c>
      <c r="Z30" s="40" t="s">
        <v>1027</v>
      </c>
      <c r="AA30" s="40" t="s">
        <v>1028</v>
      </c>
      <c r="AB30" s="40" t="s">
        <v>1029</v>
      </c>
      <c r="AC30" s="40" t="s">
        <v>1030</v>
      </c>
      <c r="AD30" s="40" t="s">
        <v>1031</v>
      </c>
      <c r="AE30" s="40" t="s">
        <v>1032</v>
      </c>
      <c r="AF30" s="40" t="s">
        <v>1033</v>
      </c>
      <c r="AG30" s="40" t="s">
        <v>1034</v>
      </c>
      <c r="AH30" s="40" t="s">
        <v>1035</v>
      </c>
      <c r="AI30" s="40" t="s">
        <v>1036</v>
      </c>
      <c r="AJ30" s="40" t="s">
        <v>1037</v>
      </c>
    </row>
    <row r="31" spans="2:36" x14ac:dyDescent="0.15">
      <c r="B31" s="100" t="s">
        <v>1166</v>
      </c>
      <c r="C31" s="98">
        <f>SUM(SUMIFS('caseload data'!E:E,'caseload data'!$D:$D,"PO",'caseload data'!$C:$C,'community caseload'!$B$29,'caseload data'!$B:$B,{"licence","community"}))</f>
        <v>0</v>
      </c>
      <c r="D31" s="98">
        <f>SUM(SUMIFS('caseload data'!F:F,'caseload data'!$D:$D,"PO",'caseload data'!$C:$C,'community caseload'!$B$29,'caseload data'!$B:$B,{"licence","community"}))</f>
        <v>0</v>
      </c>
      <c r="E31" s="98">
        <f>SUM(SUMIFS('caseload data'!G:G,'caseload data'!$D:$D,"PO",'caseload data'!$C:$C,'community caseload'!$B$29,'caseload data'!$B:$B,{"licence","community"}))</f>
        <v>0</v>
      </c>
      <c r="F31" s="98">
        <f>SUM(SUMIFS('caseload data'!H:H,'caseload data'!$D:$D,"PO",'caseload data'!$C:$C,'community caseload'!$B$29,'caseload data'!$B:$B,{"licence","community"}))</f>
        <v>0</v>
      </c>
      <c r="G31" s="98">
        <f>SUM(SUMIFS('caseload data'!I:I,'caseload data'!$D:$D,"PO",'caseload data'!$C:$C,'community caseload'!$B$29,'caseload data'!$B:$B,{"licence","community"}))</f>
        <v>0</v>
      </c>
      <c r="H31" s="98">
        <f>SUM(SUMIFS('caseload data'!J:J,'caseload data'!$D:$D,"PO",'caseload data'!$C:$C,'community caseload'!$B$29,'caseload data'!$B:$B,{"licence","community"}))</f>
        <v>0</v>
      </c>
      <c r="I31" s="98">
        <f>SUM(SUMIFS('caseload data'!K:K,'caseload data'!$D:$D,"PO",'caseload data'!$C:$C,'community caseload'!$B$29,'caseload data'!$B:$B,{"licence","community"}))</f>
        <v>0</v>
      </c>
      <c r="J31" s="98">
        <f>SUM(SUMIFS('caseload data'!L:L,'caseload data'!$D:$D,"PO",'caseload data'!$C:$C,'community caseload'!$B$29,'caseload data'!$B:$B,{"licence","community"}))</f>
        <v>0</v>
      </c>
      <c r="K31" s="98">
        <f>SUM(SUMIFS('caseload data'!M:M,'caseload data'!$D:$D,"PO",'caseload data'!$C:$C,'community caseload'!$B$29,'caseload data'!$B:$B,{"licence","community"}))</f>
        <v>0</v>
      </c>
      <c r="L31" s="98">
        <f>SUM(SUMIFS('caseload data'!N:N,'caseload data'!$D:$D,"PO",'caseload data'!$C:$C,'community caseload'!$B$29,'caseload data'!$B:$B,{"licence","community"}))</f>
        <v>0</v>
      </c>
      <c r="M31" s="98">
        <f>SUM(SUMIFS('caseload data'!O:O,'caseload data'!$D:$D,"PO",'caseload data'!$C:$C,'community caseload'!$B$29,'caseload data'!$B:$B,{"licence","community"}))</f>
        <v>0</v>
      </c>
      <c r="N31" s="98">
        <f>SUM(SUMIFS('caseload data'!P:P,'caseload data'!$D:$D,"PO",'caseload data'!$C:$C,'community caseload'!$B$29,'caseload data'!$B:$B,{"licence","community"}))</f>
        <v>0</v>
      </c>
      <c r="O31" s="98">
        <f>SUM(SUMIFS('caseload data'!Q:Q,'caseload data'!$D:$D,"PO",'caseload data'!$C:$C,'community caseload'!$B$29,'caseload data'!$B:$B,{"licence","community"}))</f>
        <v>0</v>
      </c>
      <c r="P31" s="98">
        <f>SUM(SUMIFS('caseload data'!R:R,'caseload data'!$D:$D,"PO",'caseload data'!$C:$C,'community caseload'!$B$29,'caseload data'!$B:$B,{"licence","community"}))</f>
        <v>0</v>
      </c>
      <c r="Q31" s="98">
        <f>SUM(SUMIFS('caseload data'!S:S,'caseload data'!$D:$D,"PO",'caseload data'!$C:$C,'community caseload'!$B$29,'caseload data'!$B:$B,{"licence","community"}))</f>
        <v>0</v>
      </c>
      <c r="R31" s="98">
        <f>SUM(SUMIFS('caseload data'!T:T,'caseload data'!$D:$D,"PO",'caseload data'!$C:$C,'community caseload'!$B$29,'caseload data'!$B:$B,{"licence","community"}))</f>
        <v>0</v>
      </c>
      <c r="S31" s="68"/>
      <c r="T31" s="100" t="s">
        <v>1166</v>
      </c>
      <c r="U31" s="98">
        <f>SUM(SUMIFS('caseload data'!E:E,'caseload data'!$D:$D,"PO",'caseload data'!$C:$C,'community caseload'!$T$29,'caseload data'!$B:$B,{"licence","community"}))</f>
        <v>0</v>
      </c>
      <c r="V31" s="98">
        <f>SUM(SUMIFS('caseload data'!F:F,'caseload data'!$D:$D,"PO",'caseload data'!$C:$C,'community caseload'!$T$29,'caseload data'!$B:$B,{"licence","community"}))</f>
        <v>0</v>
      </c>
      <c r="W31" s="98">
        <f>SUM(SUMIFS('caseload data'!G:G,'caseload data'!$D:$D,"PO",'caseload data'!$C:$C,'community caseload'!$T$29,'caseload data'!$B:$B,{"licence","community"}))</f>
        <v>0</v>
      </c>
      <c r="X31" s="98">
        <f>SUM(SUMIFS('caseload data'!H:H,'caseload data'!$D:$D,"PO",'caseload data'!$C:$C,'community caseload'!$T$29,'caseload data'!$B:$B,{"licence","community"}))</f>
        <v>0</v>
      </c>
      <c r="Y31" s="98">
        <f>SUM(SUMIFS('caseload data'!I:I,'caseload data'!$D:$D,"PO",'caseload data'!$C:$C,'community caseload'!$T$29,'caseload data'!$B:$B,{"licence","community"}))</f>
        <v>0</v>
      </c>
      <c r="Z31" s="98">
        <f>SUM(SUMIFS('caseload data'!J:J,'caseload data'!$D:$D,"PO",'caseload data'!$C:$C,'community caseload'!$T$29,'caseload data'!$B:$B,{"licence","community"}))</f>
        <v>0</v>
      </c>
      <c r="AA31" s="98">
        <f>SUM(SUMIFS('caseload data'!K:K,'caseload data'!$D:$D,"PO",'caseload data'!$C:$C,'community caseload'!$T$29,'caseload data'!$B:$B,{"licence","community"}))</f>
        <v>0</v>
      </c>
      <c r="AB31" s="98">
        <f>SUM(SUMIFS('caseload data'!L:L,'caseload data'!$D:$D,"PO",'caseload data'!$C:$C,'community caseload'!$T$29,'caseload data'!$B:$B,{"licence","community"}))</f>
        <v>0</v>
      </c>
      <c r="AC31" s="98">
        <f>SUM(SUMIFS('caseload data'!M:M,'caseload data'!$D:$D,"PO",'caseload data'!$C:$C,'community caseload'!$T$29,'caseload data'!$B:$B,{"licence","community"}))</f>
        <v>0</v>
      </c>
      <c r="AD31" s="98">
        <f>SUM(SUMIFS('caseload data'!N:N,'caseload data'!$D:$D,"PO",'caseload data'!$C:$C,'community caseload'!$T$29,'caseload data'!$B:$B,{"licence","community"}))</f>
        <v>0</v>
      </c>
      <c r="AE31" s="98">
        <f>SUM(SUMIFS('caseload data'!O:O,'caseload data'!$D:$D,"PO",'caseload data'!$C:$C,'community caseload'!$T$29,'caseload data'!$B:$B,{"licence","community"}))</f>
        <v>0</v>
      </c>
      <c r="AF31" s="98">
        <f>SUM(SUMIFS('caseload data'!P:P,'caseload data'!$D:$D,"PO",'caseload data'!$C:$C,'community caseload'!$T$29,'caseload data'!$B:$B,{"licence","community"}))</f>
        <v>0</v>
      </c>
      <c r="AG31" s="98">
        <f>SUM(SUMIFS('caseload data'!Q:Q,'caseload data'!$D:$D,"PO",'caseload data'!$C:$C,'community caseload'!$T$29,'caseload data'!$B:$B,{"licence","community"}))</f>
        <v>0</v>
      </c>
      <c r="AH31" s="98">
        <f>SUM(SUMIFS('caseload data'!R:R,'caseload data'!$D:$D,"PO",'caseload data'!$C:$C,'community caseload'!$T$29,'caseload data'!$B:$B,{"licence","community"}))</f>
        <v>0</v>
      </c>
      <c r="AI31" s="98">
        <f>SUM(SUMIFS('caseload data'!S:S,'caseload data'!$D:$D,"PO",'caseload data'!$C:$C,'community caseload'!$T$29,'caseload data'!$B:$B,{"licence","community"}))</f>
        <v>0</v>
      </c>
      <c r="AJ31" s="98">
        <f>SUM(SUMIFS('caseload data'!T:T,'caseload data'!$D:$D,"PO",'caseload data'!$C:$C,'community caseload'!$T$29,'caseload data'!$B:$B,{"licence","community"}))</f>
        <v>0</v>
      </c>
    </row>
    <row r="32" spans="2:36" x14ac:dyDescent="0.15">
      <c r="B32" s="101" t="s">
        <v>1172</v>
      </c>
      <c r="C32" s="98">
        <f>SUM(SUMIFS('caseload data'!E:E,'caseload data'!$D:$D,"PSO",'caseload data'!$C:$C,'community caseload'!$B$29,'caseload data'!$B:$B,{"licence","community"}))</f>
        <v>0</v>
      </c>
      <c r="D32" s="98">
        <f>SUM(SUMIFS('caseload data'!F:F,'caseload data'!$D:$D,"PSO",'caseload data'!$C:$C,'community caseload'!$B$29,'caseload data'!$B:$B,{"licence","community"}))</f>
        <v>0</v>
      </c>
      <c r="E32" s="98">
        <f>SUM(SUMIFS('caseload data'!G:G,'caseload data'!$D:$D,"PSO",'caseload data'!$C:$C,'community caseload'!$B$29,'caseload data'!$B:$B,{"licence","community"}))</f>
        <v>0</v>
      </c>
      <c r="F32" s="98">
        <f>SUM(SUMIFS('caseload data'!H:H,'caseload data'!$D:$D,"PSO",'caseload data'!$C:$C,'community caseload'!$B$29,'caseload data'!$B:$B,{"licence","community"}))</f>
        <v>0</v>
      </c>
      <c r="G32" s="98">
        <f>SUM(SUMIFS('caseload data'!I:I,'caseload data'!$D:$D,"PSO",'caseload data'!$C:$C,'community caseload'!$B$29,'caseload data'!$B:$B,{"licence","community"}))</f>
        <v>0</v>
      </c>
      <c r="H32" s="98">
        <f>SUM(SUMIFS('caseload data'!J:J,'caseload data'!$D:$D,"PSO",'caseload data'!$C:$C,'community caseload'!$B$29,'caseload data'!$B:$B,{"licence","community"}))</f>
        <v>0</v>
      </c>
      <c r="I32" s="98">
        <f>SUM(SUMIFS('caseload data'!K:K,'caseload data'!$D:$D,"PSO",'caseload data'!$C:$C,'community caseload'!$B$29,'caseload data'!$B:$B,{"licence","community"}))</f>
        <v>0</v>
      </c>
      <c r="J32" s="98">
        <f>SUM(SUMIFS('caseload data'!L:L,'caseload data'!$D:$D,"PSO",'caseload data'!$C:$C,'community caseload'!$B$29,'caseload data'!$B:$B,{"licence","community"}))</f>
        <v>0</v>
      </c>
      <c r="K32" s="98">
        <f>SUM(SUMIFS('caseload data'!M:M,'caseload data'!$D:$D,"PSO",'caseload data'!$C:$C,'community caseload'!$B$29,'caseload data'!$B:$B,{"licence","community"}))</f>
        <v>0</v>
      </c>
      <c r="L32" s="98">
        <f>SUM(SUMIFS('caseload data'!N:N,'caseload data'!$D:$D,"PSO",'caseload data'!$C:$C,'community caseload'!$B$29,'caseload data'!$B:$B,{"licence","community"}))</f>
        <v>0</v>
      </c>
      <c r="M32" s="98">
        <f>SUM(SUMIFS('caseload data'!O:O,'caseload data'!$D:$D,"PSO",'caseload data'!$C:$C,'community caseload'!$B$29,'caseload data'!$B:$B,{"licence","community"}))</f>
        <v>0</v>
      </c>
      <c r="N32" s="98">
        <f>SUM(SUMIFS('caseload data'!P:P,'caseload data'!$D:$D,"PSO",'caseload data'!$C:$C,'community caseload'!$B$29,'caseload data'!$B:$B,{"licence","community"}))</f>
        <v>0</v>
      </c>
      <c r="O32" s="98">
        <f>SUM(SUMIFS('caseload data'!Q:Q,'caseload data'!$D:$D,"PSO",'caseload data'!$C:$C,'community caseload'!$B$29,'caseload data'!$B:$B,{"licence","community"}))</f>
        <v>0</v>
      </c>
      <c r="P32" s="98">
        <f>SUM(SUMIFS('caseload data'!R:R,'caseload data'!$D:$D,"PSO",'caseload data'!$C:$C,'community caseload'!$B$29,'caseload data'!$B:$B,{"licence","community"}))</f>
        <v>0</v>
      </c>
      <c r="Q32" s="98">
        <f>SUM(SUMIFS('caseload data'!S:S,'caseload data'!$D:$D,"PSO",'caseload data'!$C:$C,'community caseload'!$B$29,'caseload data'!$B:$B,{"licence","community"}))</f>
        <v>0</v>
      </c>
      <c r="R32" s="98">
        <f>SUM(SUMIFS('caseload data'!T:T,'caseload data'!$D:$D,"PSO",'caseload data'!$C:$C,'community caseload'!$B$29,'caseload data'!$B:$B,{"licence","community"}))</f>
        <v>0</v>
      </c>
      <c r="S32" s="68"/>
      <c r="T32" s="101" t="s">
        <v>1172</v>
      </c>
      <c r="U32" s="98">
        <f>SUM(SUMIFS('caseload data'!E:E,'caseload data'!$D:$D,"PSO",'caseload data'!$C:$C,'community caseload'!$T$29,'caseload data'!$B:$B,{"licence","community"}))</f>
        <v>0</v>
      </c>
      <c r="V32" s="98">
        <f>SUM(SUMIFS('caseload data'!F:F,'caseload data'!$D:$D,"PSO",'caseload data'!$C:$C,'community caseload'!$T$29,'caseload data'!$B:$B,{"licence","community"}))</f>
        <v>0</v>
      </c>
      <c r="W32" s="98">
        <f>SUM(SUMIFS('caseload data'!G:G,'caseload data'!$D:$D,"PSO",'caseload data'!$C:$C,'community caseload'!$T$29,'caseload data'!$B:$B,{"licence","community"}))</f>
        <v>0</v>
      </c>
      <c r="X32" s="98">
        <f>SUM(SUMIFS('caseload data'!H:H,'caseload data'!$D:$D,"PSO",'caseload data'!$C:$C,'community caseload'!$T$29,'caseload data'!$B:$B,{"licence","community"}))</f>
        <v>0</v>
      </c>
      <c r="Y32" s="98">
        <f>SUM(SUMIFS('caseload data'!I:I,'caseload data'!$D:$D,"PSO",'caseload data'!$C:$C,'community caseload'!$T$29,'caseload data'!$B:$B,{"licence","community"}))</f>
        <v>0</v>
      </c>
      <c r="Z32" s="98">
        <f>SUM(SUMIFS('caseload data'!J:J,'caseload data'!$D:$D,"PSO",'caseload data'!$C:$C,'community caseload'!$T$29,'caseload data'!$B:$B,{"licence","community"}))</f>
        <v>0</v>
      </c>
      <c r="AA32" s="98">
        <f>SUM(SUMIFS('caseload data'!K:K,'caseload data'!$D:$D,"PSO",'caseload data'!$C:$C,'community caseload'!$T$29,'caseload data'!$B:$B,{"licence","community"}))</f>
        <v>0</v>
      </c>
      <c r="AB32" s="98">
        <f>SUM(SUMIFS('caseload data'!L:L,'caseload data'!$D:$D,"PSO",'caseload data'!$C:$C,'community caseload'!$T$29,'caseload data'!$B:$B,{"licence","community"}))</f>
        <v>0</v>
      </c>
      <c r="AC32" s="98">
        <f>SUM(SUMIFS('caseload data'!M:M,'caseload data'!$D:$D,"PSO",'caseload data'!$C:$C,'community caseload'!$T$29,'caseload data'!$B:$B,{"licence","community"}))</f>
        <v>0</v>
      </c>
      <c r="AD32" s="98">
        <f>SUM(SUMIFS('caseload data'!N:N,'caseload data'!$D:$D,"PSO",'caseload data'!$C:$C,'community caseload'!$T$29,'caseload data'!$B:$B,{"licence","community"}))</f>
        <v>0</v>
      </c>
      <c r="AE32" s="98">
        <f>SUM(SUMIFS('caseload data'!O:O,'caseload data'!$D:$D,"PSO",'caseload data'!$C:$C,'community caseload'!$T$29,'caseload data'!$B:$B,{"licence","community"}))</f>
        <v>0</v>
      </c>
      <c r="AF32" s="98">
        <f>SUM(SUMIFS('caseload data'!P:P,'caseload data'!$D:$D,"PSO",'caseload data'!$C:$C,'community caseload'!$T$29,'caseload data'!$B:$B,{"licence","community"}))</f>
        <v>0</v>
      </c>
      <c r="AG32" s="98">
        <f>SUM(SUMIFS('caseload data'!Q:Q,'caseload data'!$D:$D,"PSO",'caseload data'!$C:$C,'community caseload'!$T$29,'caseload data'!$B:$B,{"licence","community"}))</f>
        <v>0</v>
      </c>
      <c r="AH32" s="98">
        <f>SUM(SUMIFS('caseload data'!R:R,'caseload data'!$D:$D,"PSO",'caseload data'!$C:$C,'community caseload'!$T$29,'caseload data'!$B:$B,{"licence","community"}))</f>
        <v>0</v>
      </c>
      <c r="AI32" s="98">
        <f>SUM(SUMIFS('caseload data'!S:S,'caseload data'!$D:$D,"PSO",'caseload data'!$C:$C,'community caseload'!$T$29,'caseload data'!$B:$B,{"licence","community"}))</f>
        <v>0</v>
      </c>
      <c r="AJ32" s="98">
        <f>SUM(SUMIFS('caseload data'!T:T,'caseload data'!$D:$D,"PSO",'caseload data'!$C:$C,'community caseload'!$T$29,'caseload data'!$B:$B,{"licence","community"}))</f>
        <v>0</v>
      </c>
    </row>
    <row r="33" spans="2:36" x14ac:dyDescent="0.15">
      <c r="B33" s="101" t="s">
        <v>1173</v>
      </c>
      <c r="C33" s="98">
        <f>SUM(SUMIFS('caseload data'!E:E,'caseload data'!$D:$D,"TPO",'caseload data'!$C:$C,'community caseload'!$B$29,'caseload data'!$B:$B,{"licence","community"}))</f>
        <v>0</v>
      </c>
      <c r="D33" s="98">
        <f>SUM(SUMIFS('caseload data'!F:F,'caseload data'!$D:$D,"TPO",'caseload data'!$C:$C,'community caseload'!$B$29,'caseload data'!$B:$B,{"licence","community"}))</f>
        <v>0</v>
      </c>
      <c r="E33" s="98">
        <f>SUM(SUMIFS('caseload data'!G:G,'caseload data'!$D:$D,"TPO",'caseload data'!$C:$C,'community caseload'!$B$29,'caseload data'!$B:$B,{"licence","community"}))</f>
        <v>0</v>
      </c>
      <c r="F33" s="98">
        <f>SUM(SUMIFS('caseload data'!H:H,'caseload data'!$D:$D,"TPO",'caseload data'!$C:$C,'community caseload'!$B$29,'caseload data'!$B:$B,{"licence","community"}))</f>
        <v>0</v>
      </c>
      <c r="G33" s="98">
        <f>SUM(SUMIFS('caseload data'!I:I,'caseload data'!$D:$D,"TPO",'caseload data'!$C:$C,'community caseload'!$B$29,'caseload data'!$B:$B,{"licence","community"}))</f>
        <v>0</v>
      </c>
      <c r="H33" s="98">
        <f>SUM(SUMIFS('caseload data'!J:J,'caseload data'!$D:$D,"TPO",'caseload data'!$C:$C,'community caseload'!$B$29,'caseload data'!$B:$B,{"licence","community"}))</f>
        <v>0</v>
      </c>
      <c r="I33" s="98">
        <f>SUM(SUMIFS('caseload data'!K:K,'caseload data'!$D:$D,"TPO",'caseload data'!$C:$C,'community caseload'!$B$29,'caseload data'!$B:$B,{"licence","community"}))</f>
        <v>0</v>
      </c>
      <c r="J33" s="98">
        <f>SUM(SUMIFS('caseload data'!L:L,'caseload data'!$D:$D,"TPO",'caseload data'!$C:$C,'community caseload'!$B$29,'caseload data'!$B:$B,{"licence","community"}))</f>
        <v>0</v>
      </c>
      <c r="K33" s="98">
        <f>SUM(SUMIFS('caseload data'!M:M,'caseload data'!$D:$D,"TPO",'caseload data'!$C:$C,'community caseload'!$B$29,'caseload data'!$B:$B,{"licence","community"}))</f>
        <v>0</v>
      </c>
      <c r="L33" s="98">
        <f>SUM(SUMIFS('caseload data'!N:N,'caseload data'!$D:$D,"TPO",'caseload data'!$C:$C,'community caseload'!$B$29,'caseload data'!$B:$B,{"licence","community"}))</f>
        <v>0</v>
      </c>
      <c r="M33" s="98">
        <f>SUM(SUMIFS('caseload data'!O:O,'caseload data'!$D:$D,"TPO",'caseload data'!$C:$C,'community caseload'!$B$29,'caseload data'!$B:$B,{"licence","community"}))</f>
        <v>0</v>
      </c>
      <c r="N33" s="98">
        <f>SUM(SUMIFS('caseload data'!P:P,'caseload data'!$D:$D,"TPO",'caseload data'!$C:$C,'community caseload'!$B$29,'caseload data'!$B:$B,{"licence","community"}))</f>
        <v>0</v>
      </c>
      <c r="O33" s="98">
        <f>SUM(SUMIFS('caseload data'!Q:Q,'caseload data'!$D:$D,"TPO",'caseload data'!$C:$C,'community caseload'!$B$29,'caseload data'!$B:$B,{"licence","community"}))</f>
        <v>0</v>
      </c>
      <c r="P33" s="98">
        <f>SUM(SUMIFS('caseload data'!R:R,'caseload data'!$D:$D,"TPO",'caseload data'!$C:$C,'community caseload'!$B$29,'caseload data'!$B:$B,{"licence","community"}))</f>
        <v>0</v>
      </c>
      <c r="Q33" s="98">
        <f>SUM(SUMIFS('caseload data'!S:S,'caseload data'!$D:$D,"TPO",'caseload data'!$C:$C,'community caseload'!$B$29,'caseload data'!$B:$B,{"licence","community"}))</f>
        <v>0</v>
      </c>
      <c r="R33" s="98">
        <f>SUM(SUMIFS('caseload data'!T:T,'caseload data'!$D:$D,"TPO",'caseload data'!$C:$C,'community caseload'!$B$29,'caseload data'!$B:$B,{"licence","community"}))</f>
        <v>0</v>
      </c>
      <c r="S33" s="68"/>
      <c r="T33" s="101" t="s">
        <v>1173</v>
      </c>
      <c r="U33" s="98">
        <f>SUM(SUMIFS('caseload data'!E:E,'caseload data'!$D:$D,"TPO",'caseload data'!$C:$C,'community caseload'!$T$29,'caseload data'!$B:$B,{"licence","community"}))</f>
        <v>0</v>
      </c>
      <c r="V33" s="98">
        <f>SUM(SUMIFS('caseload data'!F:F,'caseload data'!$D:$D,"TPO",'caseload data'!$C:$C,'community caseload'!$T$29,'caseload data'!$B:$B,{"licence","community"}))</f>
        <v>0</v>
      </c>
      <c r="W33" s="98">
        <f>SUM(SUMIFS('caseload data'!G:G,'caseload data'!$D:$D,"TPO",'caseload data'!$C:$C,'community caseload'!$T$29,'caseload data'!$B:$B,{"licence","community"}))</f>
        <v>0</v>
      </c>
      <c r="X33" s="98">
        <f>SUM(SUMIFS('caseload data'!H:H,'caseload data'!$D:$D,"TPO",'caseload data'!$C:$C,'community caseload'!$T$29,'caseload data'!$B:$B,{"licence","community"}))</f>
        <v>0</v>
      </c>
      <c r="Y33" s="98">
        <f>SUM(SUMIFS('caseload data'!I:I,'caseload data'!$D:$D,"TPO",'caseload data'!$C:$C,'community caseload'!$T$29,'caseload data'!$B:$B,{"licence","community"}))</f>
        <v>0</v>
      </c>
      <c r="Z33" s="98">
        <f>SUM(SUMIFS('caseload data'!J:J,'caseload data'!$D:$D,"TPO",'caseload data'!$C:$C,'community caseload'!$T$29,'caseload data'!$B:$B,{"licence","community"}))</f>
        <v>0</v>
      </c>
      <c r="AA33" s="98">
        <f>SUM(SUMIFS('caseload data'!K:K,'caseload data'!$D:$D,"TPO",'caseload data'!$C:$C,'community caseload'!$T$29,'caseload data'!$B:$B,{"licence","community"}))</f>
        <v>0</v>
      </c>
      <c r="AB33" s="98">
        <f>SUM(SUMIFS('caseload data'!L:L,'caseload data'!$D:$D,"TPO",'caseload data'!$C:$C,'community caseload'!$T$29,'caseload data'!$B:$B,{"licence","community"}))</f>
        <v>0</v>
      </c>
      <c r="AC33" s="98">
        <f>SUM(SUMIFS('caseload data'!M:M,'caseload data'!$D:$D,"TPO",'caseload data'!$C:$C,'community caseload'!$T$29,'caseload data'!$B:$B,{"licence","community"}))</f>
        <v>0</v>
      </c>
      <c r="AD33" s="98">
        <f>SUM(SUMIFS('caseload data'!N:N,'caseload data'!$D:$D,"TPO",'caseload data'!$C:$C,'community caseload'!$T$29,'caseload data'!$B:$B,{"licence","community"}))</f>
        <v>0</v>
      </c>
      <c r="AE33" s="98">
        <f>SUM(SUMIFS('caseload data'!O:O,'caseload data'!$D:$D,"TPO",'caseload data'!$C:$C,'community caseload'!$T$29,'caseload data'!$B:$B,{"licence","community"}))</f>
        <v>0</v>
      </c>
      <c r="AF33" s="98">
        <f>SUM(SUMIFS('caseload data'!P:P,'caseload data'!$D:$D,"TPO",'caseload data'!$C:$C,'community caseload'!$T$29,'caseload data'!$B:$B,{"licence","community"}))</f>
        <v>0</v>
      </c>
      <c r="AG33" s="98">
        <f>SUM(SUMIFS('caseload data'!Q:Q,'caseload data'!$D:$D,"TPO",'caseload data'!$C:$C,'community caseload'!$T$29,'caseload data'!$B:$B,{"licence","community"}))</f>
        <v>0</v>
      </c>
      <c r="AH33" s="98">
        <f>SUM(SUMIFS('caseload data'!R:R,'caseload data'!$D:$D,"TPO",'caseload data'!$C:$C,'community caseload'!$T$29,'caseload data'!$B:$B,{"licence","community"}))</f>
        <v>0</v>
      </c>
      <c r="AI33" s="98">
        <f>SUM(SUMIFS('caseload data'!S:S,'caseload data'!$D:$D,"TPO",'caseload data'!$C:$C,'community caseload'!$T$29,'caseload data'!$B:$B,{"licence","community"}))</f>
        <v>0</v>
      </c>
      <c r="AJ33" s="98">
        <f>SUM(SUMIFS('caseload data'!T:T,'caseload data'!$D:$D,"TPO",'caseload data'!$C:$C,'community caseload'!$T$29,'caseload data'!$B:$B,{"licence","community"}))</f>
        <v>0</v>
      </c>
    </row>
    <row r="34" spans="2:36" x14ac:dyDescent="0.15">
      <c r="B34" s="102" t="s">
        <v>1174</v>
      </c>
      <c r="C34" s="98">
        <f>SUM(SUMIFS('caseload data'!E:E,'caseload data'!$D:$D,"SPO",'caseload data'!$C:$C,'community caseload'!$B$29,'caseload data'!$B:$B,{"licence","community"}))</f>
        <v>0</v>
      </c>
      <c r="D34" s="98">
        <f>SUM(SUMIFS('caseload data'!F:F,'caseload data'!$D:$D,"SPO",'caseload data'!$C:$C,'community caseload'!$B$29,'caseload data'!$B:$B,{"licence","community"}))</f>
        <v>0</v>
      </c>
      <c r="E34" s="98">
        <f>SUM(SUMIFS('caseload data'!G:G,'caseload data'!$D:$D,"SPO",'caseload data'!$C:$C,'community caseload'!$B$29,'caseload data'!$B:$B,{"licence","community"}))</f>
        <v>0</v>
      </c>
      <c r="F34" s="98">
        <f>SUM(SUMIFS('caseload data'!H:H,'caseload data'!$D:$D,"SPO",'caseload data'!$C:$C,'community caseload'!$B$29,'caseload data'!$B:$B,{"licence","community"}))</f>
        <v>0</v>
      </c>
      <c r="G34" s="98">
        <f>SUM(SUMIFS('caseload data'!I:I,'caseload data'!$D:$D,"SPO",'caseload data'!$C:$C,'community caseload'!$B$29,'caseload data'!$B:$B,{"licence","community"}))</f>
        <v>0</v>
      </c>
      <c r="H34" s="98">
        <f>SUM(SUMIFS('caseload data'!J:J,'caseload data'!$D:$D,"SPO",'caseload data'!$C:$C,'community caseload'!$B$29,'caseload data'!$B:$B,{"licence","community"}))</f>
        <v>0</v>
      </c>
      <c r="I34" s="98">
        <f>SUM(SUMIFS('caseload data'!K:K,'caseload data'!$D:$D,"SPO",'caseload data'!$C:$C,'community caseload'!$B$29,'caseload data'!$B:$B,{"licence","community"}))</f>
        <v>0</v>
      </c>
      <c r="J34" s="98">
        <f>SUM(SUMIFS('caseload data'!L:L,'caseload data'!$D:$D,"SPO",'caseload data'!$C:$C,'community caseload'!$B$29,'caseload data'!$B:$B,{"licence","community"}))</f>
        <v>0</v>
      </c>
      <c r="K34" s="98">
        <f>SUM(SUMIFS('caseload data'!M:M,'caseload data'!$D:$D,"SPO",'caseload data'!$C:$C,'community caseload'!$B$29,'caseload data'!$B:$B,{"licence","community"}))</f>
        <v>0</v>
      </c>
      <c r="L34" s="98">
        <f>SUM(SUMIFS('caseload data'!N:N,'caseload data'!$D:$D,"SPO",'caseload data'!$C:$C,'community caseload'!$B$29,'caseload data'!$B:$B,{"licence","community"}))</f>
        <v>0</v>
      </c>
      <c r="M34" s="98">
        <f>SUM(SUMIFS('caseload data'!O:O,'caseload data'!$D:$D,"SPO",'caseload data'!$C:$C,'community caseload'!$B$29,'caseload data'!$B:$B,{"licence","community"}))</f>
        <v>0</v>
      </c>
      <c r="N34" s="98">
        <f>SUM(SUMIFS('caseload data'!P:P,'caseload data'!$D:$D,"SPO",'caseload data'!$C:$C,'community caseload'!$B$29,'caseload data'!$B:$B,{"licence","community"}))</f>
        <v>0</v>
      </c>
      <c r="O34" s="98">
        <f>SUM(SUMIFS('caseload data'!Q:Q,'caseload data'!$D:$D,"SPO",'caseload data'!$C:$C,'community caseload'!$B$29,'caseload data'!$B:$B,{"licence","community"}))</f>
        <v>0</v>
      </c>
      <c r="P34" s="98">
        <f>SUM(SUMIFS('caseload data'!R:R,'caseload data'!$D:$D,"SPO",'caseload data'!$C:$C,'community caseload'!$B$29,'caseload data'!$B:$B,{"licence","community"}))</f>
        <v>0</v>
      </c>
      <c r="Q34" s="98">
        <f>SUM(SUMIFS('caseload data'!S:S,'caseload data'!$D:$D,"SPO",'caseload data'!$C:$C,'community caseload'!$B$29,'caseload data'!$B:$B,{"licence","community"}))</f>
        <v>0</v>
      </c>
      <c r="R34" s="98">
        <f>SUM(SUMIFS('caseload data'!T:T,'caseload data'!$D:$D,"SPO",'caseload data'!$C:$C,'community caseload'!$B$29,'caseload data'!$B:$B,{"licence","community"}))</f>
        <v>0</v>
      </c>
      <c r="S34" s="68"/>
      <c r="T34" s="102" t="s">
        <v>1174</v>
      </c>
      <c r="U34" s="98">
        <f>SUM(SUMIFS('caseload data'!E:E,'caseload data'!$D:$D,"SPO",'caseload data'!$C:$C,'community caseload'!$T$29,'caseload data'!$B:$B,{"licence","community"}))</f>
        <v>0</v>
      </c>
      <c r="V34" s="98">
        <f>SUM(SUMIFS('caseload data'!F:F,'caseload data'!$D:$D,"SPO",'caseload data'!$C:$C,'community caseload'!$T$29,'caseload data'!$B:$B,{"licence","community"}))</f>
        <v>0</v>
      </c>
      <c r="W34" s="98">
        <f>SUM(SUMIFS('caseload data'!G:G,'caseload data'!$D:$D,"SPO",'caseload data'!$C:$C,'community caseload'!$T$29,'caseload data'!$B:$B,{"licence","community"}))</f>
        <v>0</v>
      </c>
      <c r="X34" s="98">
        <f>SUM(SUMIFS('caseload data'!H:H,'caseload data'!$D:$D,"SPO",'caseload data'!$C:$C,'community caseload'!$T$29,'caseload data'!$B:$B,{"licence","community"}))</f>
        <v>0</v>
      </c>
      <c r="Y34" s="98">
        <f>SUM(SUMIFS('caseload data'!I:I,'caseload data'!$D:$D,"SPO",'caseload data'!$C:$C,'community caseload'!$T$29,'caseload data'!$B:$B,{"licence","community"}))</f>
        <v>0</v>
      </c>
      <c r="Z34" s="98">
        <f>SUM(SUMIFS('caseload data'!J:J,'caseload data'!$D:$D,"SPO",'caseload data'!$C:$C,'community caseload'!$T$29,'caseload data'!$B:$B,{"licence","community"}))</f>
        <v>0</v>
      </c>
      <c r="AA34" s="98">
        <f>SUM(SUMIFS('caseload data'!K:K,'caseload data'!$D:$D,"SPO",'caseload data'!$C:$C,'community caseload'!$T$29,'caseload data'!$B:$B,{"licence","community"}))</f>
        <v>0</v>
      </c>
      <c r="AB34" s="98">
        <f>SUM(SUMIFS('caseload data'!L:L,'caseload data'!$D:$D,"SPO",'caseload data'!$C:$C,'community caseload'!$T$29,'caseload data'!$B:$B,{"licence","community"}))</f>
        <v>0</v>
      </c>
      <c r="AC34" s="98">
        <f>SUM(SUMIFS('caseload data'!M:M,'caseload data'!$D:$D,"SPO",'caseload data'!$C:$C,'community caseload'!$T$29,'caseload data'!$B:$B,{"licence","community"}))</f>
        <v>0</v>
      </c>
      <c r="AD34" s="98">
        <f>SUM(SUMIFS('caseload data'!N:N,'caseload data'!$D:$D,"SPO",'caseload data'!$C:$C,'community caseload'!$T$29,'caseload data'!$B:$B,{"licence","community"}))</f>
        <v>0</v>
      </c>
      <c r="AE34" s="98">
        <f>SUM(SUMIFS('caseload data'!O:O,'caseload data'!$D:$D,"SPO",'caseload data'!$C:$C,'community caseload'!$T$29,'caseload data'!$B:$B,{"licence","community"}))</f>
        <v>0</v>
      </c>
      <c r="AF34" s="98">
        <f>SUM(SUMIFS('caseload data'!P:P,'caseload data'!$D:$D,"SPO",'caseload data'!$C:$C,'community caseload'!$T$29,'caseload data'!$B:$B,{"licence","community"}))</f>
        <v>0</v>
      </c>
      <c r="AG34" s="98">
        <f>SUM(SUMIFS('caseload data'!Q:Q,'caseload data'!$D:$D,"SPO",'caseload data'!$C:$C,'community caseload'!$T$29,'caseload data'!$B:$B,{"licence","community"}))</f>
        <v>0</v>
      </c>
      <c r="AH34" s="98">
        <f>SUM(SUMIFS('caseload data'!R:R,'caseload data'!$D:$D,"SPO",'caseload data'!$C:$C,'community caseload'!$T$29,'caseload data'!$B:$B,{"licence","community"}))</f>
        <v>0</v>
      </c>
      <c r="AI34" s="98">
        <f>SUM(SUMIFS('caseload data'!S:S,'caseload data'!$D:$D,"SPO",'caseload data'!$C:$C,'community caseload'!$T$29,'caseload data'!$B:$B,{"licence","community"}))</f>
        <v>0</v>
      </c>
      <c r="AJ34" s="98">
        <f>SUM(SUMIFS('caseload data'!T:T,'caseload data'!$D:$D,"SPO",'caseload data'!$C:$C,'community caseload'!$T$29,'caseload data'!$B:$B,{"licence","community"}))</f>
        <v>0</v>
      </c>
    </row>
    <row r="35" spans="2:36" x14ac:dyDescent="0.15">
      <c r="B35" s="95"/>
      <c r="C35" s="68"/>
      <c r="D35" s="68"/>
      <c r="E35" s="68"/>
      <c r="F35" s="68"/>
      <c r="G35" s="68"/>
      <c r="H35" s="68"/>
      <c r="I35" s="68"/>
      <c r="J35" s="68"/>
      <c r="K35" s="68"/>
      <c r="L35" s="68"/>
      <c r="M35" s="68"/>
      <c r="N35" s="68"/>
      <c r="O35" s="68"/>
      <c r="P35" s="68"/>
      <c r="Q35" s="68"/>
      <c r="R35" s="68"/>
      <c r="S35" s="68"/>
      <c r="T35" s="95"/>
      <c r="U35" s="68"/>
      <c r="V35" s="68"/>
      <c r="W35" s="68"/>
      <c r="X35" s="68"/>
      <c r="Y35" s="68"/>
      <c r="Z35" s="68"/>
      <c r="AA35" s="68"/>
      <c r="AB35" s="68"/>
      <c r="AC35" s="68"/>
      <c r="AD35" s="68"/>
      <c r="AE35" s="68"/>
      <c r="AF35" s="68"/>
      <c r="AG35" s="68"/>
      <c r="AH35" s="68"/>
      <c r="AI35" s="68"/>
      <c r="AJ35" s="68"/>
    </row>
    <row r="36" spans="2:36" ht="32.25" customHeight="1" x14ac:dyDescent="0.15">
      <c r="B36" s="302" t="str">
        <f>HLOOKUP($B$5,Region_Table,10,0)</f>
        <v>Greenwich and Bexley</v>
      </c>
      <c r="C36" s="459" t="s">
        <v>1310</v>
      </c>
      <c r="D36" s="460"/>
      <c r="E36" s="460"/>
      <c r="F36" s="460"/>
      <c r="G36" s="460"/>
      <c r="H36" s="460"/>
      <c r="I36" s="460"/>
      <c r="J36" s="460"/>
      <c r="K36" s="460"/>
      <c r="L36" s="460"/>
      <c r="M36" s="489"/>
      <c r="N36" s="489"/>
      <c r="O36" s="490"/>
      <c r="P36" s="462" cm="1">
        <f t="array" ref="P36">SUM(SUMIFS('caseload data'!V:V,'caseload data'!B:B,{"licence","community"},'caseload data'!$C:$C,'community caseload'!B36))</f>
        <v>0</v>
      </c>
      <c r="Q36" s="479"/>
      <c r="R36" s="480"/>
      <c r="S36" s="305"/>
      <c r="T36" s="302" t="str">
        <f>HLOOKUP($B$5,Region_Table,11,0)</f>
        <v>Hackney and City</v>
      </c>
      <c r="U36" s="459" t="s">
        <v>1309</v>
      </c>
      <c r="V36" s="460"/>
      <c r="W36" s="460"/>
      <c r="X36" s="460"/>
      <c r="Y36" s="460"/>
      <c r="Z36" s="460"/>
      <c r="AA36" s="460"/>
      <c r="AB36" s="460"/>
      <c r="AC36" s="460"/>
      <c r="AD36" s="460"/>
      <c r="AE36" s="489"/>
      <c r="AF36" s="489"/>
      <c r="AG36" s="490"/>
      <c r="AH36" s="462" cm="1">
        <f t="array" ref="AH36">SUM(SUMIFS('caseload data'!V:V,'caseload data'!B:B,{"licence","community"},'caseload data'!$C:$C,'community caseload'!T36))</f>
        <v>0</v>
      </c>
      <c r="AI36" s="479"/>
      <c r="AJ36" s="480"/>
    </row>
    <row r="37" spans="2:36" x14ac:dyDescent="0.15">
      <c r="B37" s="99" t="s">
        <v>1170</v>
      </c>
      <c r="C37" s="40" t="s">
        <v>1022</v>
      </c>
      <c r="D37" s="40" t="s">
        <v>1023</v>
      </c>
      <c r="E37" s="40" t="s">
        <v>1024</v>
      </c>
      <c r="F37" s="40" t="s">
        <v>1025</v>
      </c>
      <c r="G37" s="40" t="s">
        <v>1026</v>
      </c>
      <c r="H37" s="40" t="s">
        <v>1027</v>
      </c>
      <c r="I37" s="40" t="s">
        <v>1028</v>
      </c>
      <c r="J37" s="40" t="s">
        <v>1029</v>
      </c>
      <c r="K37" s="40" t="s">
        <v>1030</v>
      </c>
      <c r="L37" s="40" t="s">
        <v>1031</v>
      </c>
      <c r="M37" s="40" t="s">
        <v>1032</v>
      </c>
      <c r="N37" s="40" t="s">
        <v>1033</v>
      </c>
      <c r="O37" s="40" t="s">
        <v>1034</v>
      </c>
      <c r="P37" s="40" t="s">
        <v>1035</v>
      </c>
      <c r="Q37" s="40" t="s">
        <v>1036</v>
      </c>
      <c r="R37" s="40" t="s">
        <v>1037</v>
      </c>
      <c r="S37" s="68"/>
      <c r="T37" s="99" t="s">
        <v>1170</v>
      </c>
      <c r="U37" s="40" t="s">
        <v>1022</v>
      </c>
      <c r="V37" s="40" t="s">
        <v>1023</v>
      </c>
      <c r="W37" s="40" t="s">
        <v>1024</v>
      </c>
      <c r="X37" s="40" t="s">
        <v>1025</v>
      </c>
      <c r="Y37" s="40" t="s">
        <v>1026</v>
      </c>
      <c r="Z37" s="40" t="s">
        <v>1027</v>
      </c>
      <c r="AA37" s="40" t="s">
        <v>1028</v>
      </c>
      <c r="AB37" s="40" t="s">
        <v>1029</v>
      </c>
      <c r="AC37" s="40" t="s">
        <v>1030</v>
      </c>
      <c r="AD37" s="40" t="s">
        <v>1031</v>
      </c>
      <c r="AE37" s="40" t="s">
        <v>1032</v>
      </c>
      <c r="AF37" s="40" t="s">
        <v>1033</v>
      </c>
      <c r="AG37" s="40" t="s">
        <v>1034</v>
      </c>
      <c r="AH37" s="40" t="s">
        <v>1035</v>
      </c>
      <c r="AI37" s="40" t="s">
        <v>1036</v>
      </c>
      <c r="AJ37" s="40" t="s">
        <v>1037</v>
      </c>
    </row>
    <row r="38" spans="2:36" x14ac:dyDescent="0.15">
      <c r="B38" s="100" t="s">
        <v>1166</v>
      </c>
      <c r="C38" s="98">
        <f>SUM(SUMIFS('caseload data'!E:E,'caseload data'!$D:$D,"PO",'caseload data'!$C:$C,'community caseload'!$B$36,'caseload data'!$B:$B,{"licence","community"}))</f>
        <v>0</v>
      </c>
      <c r="D38" s="98">
        <f>SUM(SUMIFS('caseload data'!F:F,'caseload data'!$D:$D,"PO",'caseload data'!$C:$C,'community caseload'!$B$36,'caseload data'!$B:$B,{"licence","community"}))</f>
        <v>0</v>
      </c>
      <c r="E38" s="98">
        <f>SUM(SUMIFS('caseload data'!G:G,'caseload data'!$D:$D,"PO",'caseload data'!$C:$C,'community caseload'!$B$36,'caseload data'!$B:$B,{"licence","community"}))</f>
        <v>0</v>
      </c>
      <c r="F38" s="98">
        <f>SUM(SUMIFS('caseload data'!H:H,'caseload data'!$D:$D,"PO",'caseload data'!$C:$C,'community caseload'!$B$36,'caseload data'!$B:$B,{"licence","community"}))</f>
        <v>0</v>
      </c>
      <c r="G38" s="98">
        <f>SUM(SUMIFS('caseload data'!I:I,'caseload data'!$D:$D,"PO",'caseload data'!$C:$C,'community caseload'!$B$36,'caseload data'!$B:$B,{"licence","community"}))</f>
        <v>0</v>
      </c>
      <c r="H38" s="98">
        <f>SUM(SUMIFS('caseload data'!J:J,'caseload data'!$D:$D,"PO",'caseload data'!$C:$C,'community caseload'!$B$36,'caseload data'!$B:$B,{"licence","community"}))</f>
        <v>0</v>
      </c>
      <c r="I38" s="98">
        <f>SUM(SUMIFS('caseload data'!K:K,'caseload data'!$D:$D,"PO",'caseload data'!$C:$C,'community caseload'!$B$36,'caseload data'!$B:$B,{"licence","community"}))</f>
        <v>0</v>
      </c>
      <c r="J38" s="98">
        <f>SUM(SUMIFS('caseload data'!L:L,'caseload data'!$D:$D,"PO",'caseload data'!$C:$C,'community caseload'!$B$36,'caseload data'!$B:$B,{"licence","community"}))</f>
        <v>0</v>
      </c>
      <c r="K38" s="98">
        <f>SUM(SUMIFS('caseload data'!M:M,'caseload data'!$D:$D,"PO",'caseload data'!$C:$C,'community caseload'!$B$36,'caseload data'!$B:$B,{"licence","community"}))</f>
        <v>0</v>
      </c>
      <c r="L38" s="98">
        <f>SUM(SUMIFS('caseload data'!N:N,'caseload data'!$D:$D,"PO",'caseload data'!$C:$C,'community caseload'!$B$36,'caseload data'!$B:$B,{"licence","community"}))</f>
        <v>0</v>
      </c>
      <c r="M38" s="98">
        <f>SUM(SUMIFS('caseload data'!O:O,'caseload data'!$D:$D,"PO",'caseload data'!$C:$C,'community caseload'!$B$36,'caseload data'!$B:$B,{"licence","community"}))</f>
        <v>0</v>
      </c>
      <c r="N38" s="98">
        <f>SUM(SUMIFS('caseload data'!P:P,'caseload data'!$D:$D,"PO",'caseload data'!$C:$C,'community caseload'!$B$36,'caseload data'!$B:$B,{"licence","community"}))</f>
        <v>0</v>
      </c>
      <c r="O38" s="98">
        <f>SUM(SUMIFS('caseload data'!Q:Q,'caseload data'!$D:$D,"PO",'caseload data'!$C:$C,'community caseload'!$B$36,'caseload data'!$B:$B,{"licence","community"}))</f>
        <v>0</v>
      </c>
      <c r="P38" s="98">
        <f>SUM(SUMIFS('caseload data'!R:R,'caseload data'!$D:$D,"PO",'caseload data'!$C:$C,'community caseload'!$B$36,'caseload data'!$B:$B,{"licence","community"}))</f>
        <v>0</v>
      </c>
      <c r="Q38" s="98">
        <f>SUM(SUMIFS('caseload data'!S:S,'caseload data'!$D:$D,"PO",'caseload data'!$C:$C,'community caseload'!$B$36,'caseload data'!$B:$B,{"licence","community"}))</f>
        <v>0</v>
      </c>
      <c r="R38" s="98">
        <f>SUM(SUMIFS('caseload data'!T:T,'caseload data'!$D:$D,"PO",'caseload data'!$C:$C,'community caseload'!$B$36,'caseload data'!$B:$B,{"licence","community"}))</f>
        <v>0</v>
      </c>
      <c r="S38" s="68"/>
      <c r="T38" s="100" t="s">
        <v>1166</v>
      </c>
      <c r="U38" s="98">
        <f>SUM(SUMIFS('caseload data'!E:E,'caseload data'!$D:$D,"PO",'caseload data'!$C:$C,'community caseload'!$T$36,'caseload data'!$B:$B,{"licence","community"}))</f>
        <v>0</v>
      </c>
      <c r="V38" s="98">
        <f>SUM(SUMIFS('caseload data'!F:F,'caseload data'!$D:$D,"PO",'caseload data'!$C:$C,'community caseload'!$T$36,'caseload data'!$B:$B,{"licence","community"}))</f>
        <v>0</v>
      </c>
      <c r="W38" s="98">
        <f>SUM(SUMIFS('caseload data'!G:G,'caseload data'!$D:$D,"PO",'caseload data'!$C:$C,'community caseload'!$T$36,'caseload data'!$B:$B,{"licence","community"}))</f>
        <v>0</v>
      </c>
      <c r="X38" s="98">
        <f>SUM(SUMIFS('caseload data'!H:H,'caseload data'!$D:$D,"PO",'caseload data'!$C:$C,'community caseload'!$T$36,'caseload data'!$B:$B,{"licence","community"}))</f>
        <v>0</v>
      </c>
      <c r="Y38" s="98">
        <f>SUM(SUMIFS('caseload data'!I:I,'caseload data'!$D:$D,"PO",'caseload data'!$C:$C,'community caseload'!$T$36,'caseload data'!$B:$B,{"licence","community"}))</f>
        <v>0</v>
      </c>
      <c r="Z38" s="98">
        <f>SUM(SUMIFS('caseload data'!J:J,'caseload data'!$D:$D,"PO",'caseload data'!$C:$C,'community caseload'!$T$36,'caseload data'!$B:$B,{"licence","community"}))</f>
        <v>0</v>
      </c>
      <c r="AA38" s="98">
        <f>SUM(SUMIFS('caseload data'!K:K,'caseload data'!$D:$D,"PO",'caseload data'!$C:$C,'community caseload'!$T$36,'caseload data'!$B:$B,{"licence","community"}))</f>
        <v>0</v>
      </c>
      <c r="AB38" s="98">
        <f>SUM(SUMIFS('caseload data'!L:L,'caseload data'!$D:$D,"PO",'caseload data'!$C:$C,'community caseload'!$T$36,'caseload data'!$B:$B,{"licence","community"}))</f>
        <v>0</v>
      </c>
      <c r="AC38" s="98">
        <f>SUM(SUMIFS('caseload data'!M:M,'caseload data'!$D:$D,"PO",'caseload data'!$C:$C,'community caseload'!$T$36,'caseload data'!$B:$B,{"licence","community"}))</f>
        <v>0</v>
      </c>
      <c r="AD38" s="98">
        <f>SUM(SUMIFS('caseload data'!N:N,'caseload data'!$D:$D,"PO",'caseload data'!$C:$C,'community caseload'!$T$36,'caseload data'!$B:$B,{"licence","community"}))</f>
        <v>0</v>
      </c>
      <c r="AE38" s="98">
        <f>SUM(SUMIFS('caseload data'!O:O,'caseload data'!$D:$D,"PO",'caseload data'!$C:$C,'community caseload'!$T$36,'caseload data'!$B:$B,{"licence","community"}))</f>
        <v>0</v>
      </c>
      <c r="AF38" s="98">
        <f>SUM(SUMIFS('caseload data'!P:P,'caseload data'!$D:$D,"PO",'caseload data'!$C:$C,'community caseload'!$T$36,'caseload data'!$B:$B,{"licence","community"}))</f>
        <v>0</v>
      </c>
      <c r="AG38" s="98">
        <f>SUM(SUMIFS('caseload data'!Q:Q,'caseload data'!$D:$D,"PO",'caseload data'!$C:$C,'community caseload'!$T$36,'caseload data'!$B:$B,{"licence","community"}))</f>
        <v>0</v>
      </c>
      <c r="AH38" s="98">
        <f>SUM(SUMIFS('caseload data'!R:R,'caseload data'!$D:$D,"PO",'caseload data'!$C:$C,'community caseload'!$T$36,'caseload data'!$B:$B,{"licence","community"}))</f>
        <v>0</v>
      </c>
      <c r="AI38" s="98">
        <f>SUM(SUMIFS('caseload data'!S:S,'caseload data'!$D:$D,"PO",'caseload data'!$C:$C,'community caseload'!$T$36,'caseload data'!$B:$B,{"licence","community"}))</f>
        <v>0</v>
      </c>
      <c r="AJ38" s="98">
        <f>SUM(SUMIFS('caseload data'!T:T,'caseload data'!$D:$D,"PO",'caseload data'!$C:$C,'community caseload'!$T$36,'caseload data'!$B:$B,{"licence","community"}))</f>
        <v>0</v>
      </c>
    </row>
    <row r="39" spans="2:36" x14ac:dyDescent="0.15">
      <c r="B39" s="101" t="s">
        <v>1172</v>
      </c>
      <c r="C39" s="98">
        <f>SUM(SUMIFS('caseload data'!E:E,'caseload data'!$D:$D,"PSO",'caseload data'!$C:$C,'community caseload'!$B$36,'caseload data'!$B:$B,{"licence","community"}))</f>
        <v>0</v>
      </c>
      <c r="D39" s="98">
        <f>SUM(SUMIFS('caseload data'!F:F,'caseload data'!$D:$D,"PSO",'caseload data'!$C:$C,'community caseload'!$B$36,'caseload data'!$B:$B,{"licence","community"}))</f>
        <v>0</v>
      </c>
      <c r="E39" s="98">
        <f>SUM(SUMIFS('caseload data'!G:G,'caseload data'!$D:$D,"PSO",'caseload data'!$C:$C,'community caseload'!$B$36,'caseload data'!$B:$B,{"licence","community"}))</f>
        <v>0</v>
      </c>
      <c r="F39" s="98">
        <f>SUM(SUMIFS('caseload data'!H:H,'caseload data'!$D:$D,"PSO",'caseload data'!$C:$C,'community caseload'!$B$36,'caseload data'!$B:$B,{"licence","community"}))</f>
        <v>0</v>
      </c>
      <c r="G39" s="98">
        <f>SUM(SUMIFS('caseload data'!I:I,'caseload data'!$D:$D,"PSO",'caseload data'!$C:$C,'community caseload'!$B$36,'caseload data'!$B:$B,{"licence","community"}))</f>
        <v>0</v>
      </c>
      <c r="H39" s="98">
        <f>SUM(SUMIFS('caseload data'!J:J,'caseload data'!$D:$D,"PSO",'caseload data'!$C:$C,'community caseload'!$B$36,'caseload data'!$B:$B,{"licence","community"}))</f>
        <v>0</v>
      </c>
      <c r="I39" s="98">
        <f>SUM(SUMIFS('caseload data'!K:K,'caseload data'!$D:$D,"PSO",'caseload data'!$C:$C,'community caseload'!$B$36,'caseload data'!$B:$B,{"licence","community"}))</f>
        <v>0</v>
      </c>
      <c r="J39" s="98">
        <f>SUM(SUMIFS('caseload data'!L:L,'caseload data'!$D:$D,"PSO",'caseload data'!$C:$C,'community caseload'!$B$36,'caseload data'!$B:$B,{"licence","community"}))</f>
        <v>0</v>
      </c>
      <c r="K39" s="98">
        <f>SUM(SUMIFS('caseload data'!M:M,'caseload data'!$D:$D,"PSO",'caseload data'!$C:$C,'community caseload'!$B$36,'caseload data'!$B:$B,{"licence","community"}))</f>
        <v>0</v>
      </c>
      <c r="L39" s="98">
        <f>SUM(SUMIFS('caseload data'!N:N,'caseload data'!$D:$D,"PSO",'caseload data'!$C:$C,'community caseload'!$B$36,'caseload data'!$B:$B,{"licence","community"}))</f>
        <v>0</v>
      </c>
      <c r="M39" s="98">
        <f>SUM(SUMIFS('caseload data'!O:O,'caseload data'!$D:$D,"PSO",'caseload data'!$C:$C,'community caseload'!$B$36,'caseload data'!$B:$B,{"licence","community"}))</f>
        <v>0</v>
      </c>
      <c r="N39" s="98">
        <f>SUM(SUMIFS('caseload data'!P:P,'caseload data'!$D:$D,"PSO",'caseload data'!$C:$C,'community caseload'!$B$36,'caseload data'!$B:$B,{"licence","community"}))</f>
        <v>0</v>
      </c>
      <c r="O39" s="98">
        <f>SUM(SUMIFS('caseload data'!Q:Q,'caseload data'!$D:$D,"PSO",'caseload data'!$C:$C,'community caseload'!$B$36,'caseload data'!$B:$B,{"licence","community"}))</f>
        <v>0</v>
      </c>
      <c r="P39" s="98">
        <f>SUM(SUMIFS('caseload data'!R:R,'caseload data'!$D:$D,"PSO",'caseload data'!$C:$C,'community caseload'!$B$36,'caseload data'!$B:$B,{"licence","community"}))</f>
        <v>0</v>
      </c>
      <c r="Q39" s="98">
        <f>SUM(SUMIFS('caseload data'!S:S,'caseload data'!$D:$D,"PSO",'caseload data'!$C:$C,'community caseload'!$B$36,'caseload data'!$B:$B,{"licence","community"}))</f>
        <v>0</v>
      </c>
      <c r="R39" s="98">
        <f>SUM(SUMIFS('caseload data'!T:T,'caseload data'!$D:$D,"PSO",'caseload data'!$C:$C,'community caseload'!$B$36,'caseload data'!$B:$B,{"licence","community"}))</f>
        <v>0</v>
      </c>
      <c r="S39" s="68"/>
      <c r="T39" s="101" t="s">
        <v>1172</v>
      </c>
      <c r="U39" s="98">
        <f>SUM(SUMIFS('caseload data'!E:E,'caseload data'!$D:$D,"PSO",'caseload data'!$C:$C,'community caseload'!$T$36,'caseload data'!$B:$B,{"licence","community"}))</f>
        <v>0</v>
      </c>
      <c r="V39" s="98">
        <f>SUM(SUMIFS('caseload data'!F:F,'caseload data'!$D:$D,"PSO",'caseload data'!$C:$C,'community caseload'!$T$36,'caseload data'!$B:$B,{"licence","community"}))</f>
        <v>0</v>
      </c>
      <c r="W39" s="98">
        <f>SUM(SUMIFS('caseload data'!G:G,'caseload data'!$D:$D,"PSO",'caseload data'!$C:$C,'community caseload'!$T$36,'caseload data'!$B:$B,{"licence","community"}))</f>
        <v>0</v>
      </c>
      <c r="X39" s="98">
        <f>SUM(SUMIFS('caseload data'!H:H,'caseload data'!$D:$D,"PSO",'caseload data'!$C:$C,'community caseload'!$T$36,'caseload data'!$B:$B,{"licence","community"}))</f>
        <v>0</v>
      </c>
      <c r="Y39" s="98">
        <f>SUM(SUMIFS('caseload data'!I:I,'caseload data'!$D:$D,"PSO",'caseload data'!$C:$C,'community caseload'!$T$36,'caseload data'!$B:$B,{"licence","community"}))</f>
        <v>0</v>
      </c>
      <c r="Z39" s="98">
        <f>SUM(SUMIFS('caseload data'!J:J,'caseload data'!$D:$D,"PSO",'caseload data'!$C:$C,'community caseload'!$T$36,'caseload data'!$B:$B,{"licence","community"}))</f>
        <v>0</v>
      </c>
      <c r="AA39" s="98">
        <f>SUM(SUMIFS('caseload data'!K:K,'caseload data'!$D:$D,"PSO",'caseload data'!$C:$C,'community caseload'!$T$36,'caseload data'!$B:$B,{"licence","community"}))</f>
        <v>0</v>
      </c>
      <c r="AB39" s="98">
        <f>SUM(SUMIFS('caseload data'!L:L,'caseload data'!$D:$D,"PSO",'caseload data'!$C:$C,'community caseload'!$T$36,'caseload data'!$B:$B,{"licence","community"}))</f>
        <v>0</v>
      </c>
      <c r="AC39" s="98">
        <f>SUM(SUMIFS('caseload data'!M:M,'caseload data'!$D:$D,"PSO",'caseload data'!$C:$C,'community caseload'!$T$36,'caseload data'!$B:$B,{"licence","community"}))</f>
        <v>0</v>
      </c>
      <c r="AD39" s="98">
        <f>SUM(SUMIFS('caseload data'!N:N,'caseload data'!$D:$D,"PSO",'caseload data'!$C:$C,'community caseload'!$T$36,'caseload data'!$B:$B,{"licence","community"}))</f>
        <v>0</v>
      </c>
      <c r="AE39" s="98">
        <f>SUM(SUMIFS('caseload data'!O:O,'caseload data'!$D:$D,"PSO",'caseload data'!$C:$C,'community caseload'!$T$36,'caseload data'!$B:$B,{"licence","community"}))</f>
        <v>0</v>
      </c>
      <c r="AF39" s="98">
        <f>SUM(SUMIFS('caseload data'!P:P,'caseload data'!$D:$D,"PSO",'caseload data'!$C:$C,'community caseload'!$T$36,'caseload data'!$B:$B,{"licence","community"}))</f>
        <v>0</v>
      </c>
      <c r="AG39" s="98">
        <f>SUM(SUMIFS('caseload data'!Q:Q,'caseload data'!$D:$D,"PSO",'caseload data'!$C:$C,'community caseload'!$T$36,'caseload data'!$B:$B,{"licence","community"}))</f>
        <v>0</v>
      </c>
      <c r="AH39" s="98">
        <f>SUM(SUMIFS('caseload data'!R:R,'caseload data'!$D:$D,"PSO",'caseload data'!$C:$C,'community caseload'!$T$36,'caseload data'!$B:$B,{"licence","community"}))</f>
        <v>0</v>
      </c>
      <c r="AI39" s="98">
        <f>SUM(SUMIFS('caseload data'!S:S,'caseload data'!$D:$D,"PSO",'caseload data'!$C:$C,'community caseload'!$T$36,'caseload data'!$B:$B,{"licence","community"}))</f>
        <v>0</v>
      </c>
      <c r="AJ39" s="98">
        <f>SUM(SUMIFS('caseload data'!T:T,'caseload data'!$D:$D,"PSO",'caseload data'!$C:$C,'community caseload'!$T$36,'caseload data'!$B:$B,{"licence","community"}))</f>
        <v>0</v>
      </c>
    </row>
    <row r="40" spans="2:36" x14ac:dyDescent="0.15">
      <c r="B40" s="101" t="s">
        <v>1173</v>
      </c>
      <c r="C40" s="98">
        <f>SUM(SUMIFS('caseload data'!E:E,'caseload data'!$D:$D,"TPO",'caseload data'!$C:$C,'community caseload'!$B$36,'caseload data'!$B:$B,{"licence","community"}))</f>
        <v>0</v>
      </c>
      <c r="D40" s="98">
        <f>SUM(SUMIFS('caseload data'!F:F,'caseload data'!$D:$D,"TPO",'caseload data'!$C:$C,'community caseload'!$B$36,'caseload data'!$B:$B,{"licence","community"}))</f>
        <v>0</v>
      </c>
      <c r="E40" s="98">
        <f>SUM(SUMIFS('caseload data'!G:G,'caseload data'!$D:$D,"TPO",'caseload data'!$C:$C,'community caseload'!$B$36,'caseload data'!$B:$B,{"licence","community"}))</f>
        <v>0</v>
      </c>
      <c r="F40" s="98">
        <f>SUM(SUMIFS('caseload data'!H:H,'caseload data'!$D:$D,"TPO",'caseload data'!$C:$C,'community caseload'!$B$36,'caseload data'!$B:$B,{"licence","community"}))</f>
        <v>0</v>
      </c>
      <c r="G40" s="98">
        <f>SUM(SUMIFS('caseload data'!I:I,'caseload data'!$D:$D,"TPO",'caseload data'!$C:$C,'community caseload'!$B$36,'caseload data'!$B:$B,{"licence","community"}))</f>
        <v>0</v>
      </c>
      <c r="H40" s="98">
        <f>SUM(SUMIFS('caseload data'!J:J,'caseload data'!$D:$D,"TPO",'caseload data'!$C:$C,'community caseload'!$B$36,'caseload data'!$B:$B,{"licence","community"}))</f>
        <v>0</v>
      </c>
      <c r="I40" s="98">
        <f>SUM(SUMIFS('caseload data'!K:K,'caseload data'!$D:$D,"TPO",'caseload data'!$C:$C,'community caseload'!$B$36,'caseload data'!$B:$B,{"licence","community"}))</f>
        <v>0</v>
      </c>
      <c r="J40" s="98">
        <f>SUM(SUMIFS('caseload data'!L:L,'caseload data'!$D:$D,"TPO",'caseload data'!$C:$C,'community caseload'!$B$36,'caseload data'!$B:$B,{"licence","community"}))</f>
        <v>0</v>
      </c>
      <c r="K40" s="98">
        <f>SUM(SUMIFS('caseload data'!M:M,'caseload data'!$D:$D,"TPO",'caseload data'!$C:$C,'community caseload'!$B$36,'caseload data'!$B:$B,{"licence","community"}))</f>
        <v>0</v>
      </c>
      <c r="L40" s="98">
        <f>SUM(SUMIFS('caseload data'!N:N,'caseload data'!$D:$D,"TPO",'caseload data'!$C:$C,'community caseload'!$B$36,'caseload data'!$B:$B,{"licence","community"}))</f>
        <v>0</v>
      </c>
      <c r="M40" s="98">
        <f>SUM(SUMIFS('caseload data'!O:O,'caseload data'!$D:$D,"TPO",'caseload data'!$C:$C,'community caseload'!$B$36,'caseload data'!$B:$B,{"licence","community"}))</f>
        <v>0</v>
      </c>
      <c r="N40" s="98">
        <f>SUM(SUMIFS('caseload data'!P:P,'caseload data'!$D:$D,"TPO",'caseload data'!$C:$C,'community caseload'!$B$36,'caseload data'!$B:$B,{"licence","community"}))</f>
        <v>0</v>
      </c>
      <c r="O40" s="98">
        <f>SUM(SUMIFS('caseload data'!Q:Q,'caseload data'!$D:$D,"TPO",'caseload data'!$C:$C,'community caseload'!$B$36,'caseload data'!$B:$B,{"licence","community"}))</f>
        <v>0</v>
      </c>
      <c r="P40" s="98">
        <f>SUM(SUMIFS('caseload data'!R:R,'caseload data'!$D:$D,"TPO",'caseload data'!$C:$C,'community caseload'!$B$36,'caseload data'!$B:$B,{"licence","community"}))</f>
        <v>0</v>
      </c>
      <c r="Q40" s="98">
        <f>SUM(SUMIFS('caseload data'!S:S,'caseload data'!$D:$D,"TPO",'caseload data'!$C:$C,'community caseload'!$B$36,'caseload data'!$B:$B,{"licence","community"}))</f>
        <v>0</v>
      </c>
      <c r="R40" s="98">
        <f>SUM(SUMIFS('caseload data'!T:T,'caseload data'!$D:$D,"TPO",'caseload data'!$C:$C,'community caseload'!$B$36,'caseload data'!$B:$B,{"licence","community"}))</f>
        <v>0</v>
      </c>
      <c r="S40" s="68"/>
      <c r="T40" s="101" t="s">
        <v>1173</v>
      </c>
      <c r="U40" s="98">
        <f>SUM(SUMIFS('caseload data'!E:E,'caseload data'!$D:$D,"TPO",'caseload data'!$C:$C,'community caseload'!$T$36,'caseload data'!$B:$B,{"licence","community"}))</f>
        <v>0</v>
      </c>
      <c r="V40" s="98">
        <f>SUM(SUMIFS('caseload data'!F:F,'caseload data'!$D:$D,"TPO",'caseload data'!$C:$C,'community caseload'!$T$36,'caseload data'!$B:$B,{"licence","community"}))</f>
        <v>0</v>
      </c>
      <c r="W40" s="98">
        <f>SUM(SUMIFS('caseload data'!G:G,'caseload data'!$D:$D,"TPO",'caseload data'!$C:$C,'community caseload'!$T$36,'caseload data'!$B:$B,{"licence","community"}))</f>
        <v>0</v>
      </c>
      <c r="X40" s="98">
        <f>SUM(SUMIFS('caseload data'!H:H,'caseload data'!$D:$D,"TPO",'caseload data'!$C:$C,'community caseload'!$T$36,'caseload data'!$B:$B,{"licence","community"}))</f>
        <v>0</v>
      </c>
      <c r="Y40" s="98">
        <f>SUM(SUMIFS('caseload data'!I:I,'caseload data'!$D:$D,"TPO",'caseload data'!$C:$C,'community caseload'!$T$36,'caseload data'!$B:$B,{"licence","community"}))</f>
        <v>0</v>
      </c>
      <c r="Z40" s="98">
        <f>SUM(SUMIFS('caseload data'!J:J,'caseload data'!$D:$D,"TPO",'caseload data'!$C:$C,'community caseload'!$T$36,'caseload data'!$B:$B,{"licence","community"}))</f>
        <v>0</v>
      </c>
      <c r="AA40" s="98">
        <f>SUM(SUMIFS('caseload data'!K:K,'caseload data'!$D:$D,"TPO",'caseload data'!$C:$C,'community caseload'!$T$36,'caseload data'!$B:$B,{"licence","community"}))</f>
        <v>0</v>
      </c>
      <c r="AB40" s="98">
        <f>SUM(SUMIFS('caseload data'!L:L,'caseload data'!$D:$D,"TPO",'caseload data'!$C:$C,'community caseload'!$T$36,'caseload data'!$B:$B,{"licence","community"}))</f>
        <v>0</v>
      </c>
      <c r="AC40" s="98">
        <f>SUM(SUMIFS('caseload data'!M:M,'caseload data'!$D:$D,"TPO",'caseload data'!$C:$C,'community caseload'!$T$36,'caseload data'!$B:$B,{"licence","community"}))</f>
        <v>0</v>
      </c>
      <c r="AD40" s="98">
        <f>SUM(SUMIFS('caseload data'!N:N,'caseload data'!$D:$D,"TPO",'caseload data'!$C:$C,'community caseload'!$T$36,'caseload data'!$B:$B,{"licence","community"}))</f>
        <v>0</v>
      </c>
      <c r="AE40" s="98">
        <f>SUM(SUMIFS('caseload data'!O:O,'caseload data'!$D:$D,"TPO",'caseload data'!$C:$C,'community caseload'!$T$36,'caseload data'!$B:$B,{"licence","community"}))</f>
        <v>0</v>
      </c>
      <c r="AF40" s="98">
        <f>SUM(SUMIFS('caseload data'!P:P,'caseload data'!$D:$D,"TPO",'caseload data'!$C:$C,'community caseload'!$T$36,'caseload data'!$B:$B,{"licence","community"}))</f>
        <v>0</v>
      </c>
      <c r="AG40" s="98">
        <f>SUM(SUMIFS('caseload data'!Q:Q,'caseload data'!$D:$D,"TPO",'caseload data'!$C:$C,'community caseload'!$T$36,'caseload data'!$B:$B,{"licence","community"}))</f>
        <v>0</v>
      </c>
      <c r="AH40" s="98">
        <f>SUM(SUMIFS('caseload data'!R:R,'caseload data'!$D:$D,"TPO",'caseload data'!$C:$C,'community caseload'!$T$36,'caseload data'!$B:$B,{"licence","community"}))</f>
        <v>0</v>
      </c>
      <c r="AI40" s="98">
        <f>SUM(SUMIFS('caseload data'!S:S,'caseload data'!$D:$D,"TPO",'caseload data'!$C:$C,'community caseload'!$T$36,'caseload data'!$B:$B,{"licence","community"}))</f>
        <v>0</v>
      </c>
      <c r="AJ40" s="98">
        <f>SUM(SUMIFS('caseload data'!T:T,'caseload data'!$D:$D,"TPO",'caseload data'!$C:$C,'community caseload'!$T$36,'caseload data'!$B:$B,{"licence","community"}))</f>
        <v>0</v>
      </c>
    </row>
    <row r="41" spans="2:36" x14ac:dyDescent="0.15">
      <c r="B41" s="102" t="s">
        <v>1174</v>
      </c>
      <c r="C41" s="98">
        <f>SUM(SUMIFS('caseload data'!E:E,'caseload data'!$D:$D,"SPO",'caseload data'!$C:$C,'community caseload'!$B$36,'caseload data'!$B:$B,{"licence","community"}))</f>
        <v>0</v>
      </c>
      <c r="D41" s="98">
        <f>SUM(SUMIFS('caseload data'!F:F,'caseload data'!$D:$D,"SPO",'caseload data'!$C:$C,'community caseload'!$B$36,'caseload data'!$B:$B,{"licence","community"}))</f>
        <v>0</v>
      </c>
      <c r="E41" s="98">
        <f>SUM(SUMIFS('caseload data'!G:G,'caseload data'!$D:$D,"SPO",'caseload data'!$C:$C,'community caseload'!$B$36,'caseload data'!$B:$B,{"licence","community"}))</f>
        <v>0</v>
      </c>
      <c r="F41" s="98">
        <f>SUM(SUMIFS('caseload data'!H:H,'caseload data'!$D:$D,"SPO",'caseload data'!$C:$C,'community caseload'!$B$36,'caseload data'!$B:$B,{"licence","community"}))</f>
        <v>0</v>
      </c>
      <c r="G41" s="98">
        <f>SUM(SUMIFS('caseload data'!I:I,'caseload data'!$D:$D,"SPO",'caseload data'!$C:$C,'community caseload'!$B$36,'caseload data'!$B:$B,{"licence","community"}))</f>
        <v>0</v>
      </c>
      <c r="H41" s="98">
        <f>SUM(SUMIFS('caseload data'!J:J,'caseload data'!$D:$D,"SPO",'caseload data'!$C:$C,'community caseload'!$B$36,'caseload data'!$B:$B,{"licence","community"}))</f>
        <v>0</v>
      </c>
      <c r="I41" s="98">
        <f>SUM(SUMIFS('caseload data'!K:K,'caseload data'!$D:$D,"SPO",'caseload data'!$C:$C,'community caseload'!$B$36,'caseload data'!$B:$B,{"licence","community"}))</f>
        <v>0</v>
      </c>
      <c r="J41" s="98">
        <f>SUM(SUMIFS('caseload data'!L:L,'caseload data'!$D:$D,"SPO",'caseload data'!$C:$C,'community caseload'!$B$36,'caseload data'!$B:$B,{"licence","community"}))</f>
        <v>0</v>
      </c>
      <c r="K41" s="98">
        <f>SUM(SUMIFS('caseload data'!M:M,'caseload data'!$D:$D,"SPO",'caseload data'!$C:$C,'community caseload'!$B$36,'caseload data'!$B:$B,{"licence","community"}))</f>
        <v>0</v>
      </c>
      <c r="L41" s="98">
        <f>SUM(SUMIFS('caseload data'!N:N,'caseload data'!$D:$D,"SPO",'caseload data'!$C:$C,'community caseload'!$B$36,'caseload data'!$B:$B,{"licence","community"}))</f>
        <v>0</v>
      </c>
      <c r="M41" s="98">
        <f>SUM(SUMIFS('caseload data'!O:O,'caseload data'!$D:$D,"SPO",'caseload data'!$C:$C,'community caseload'!$B$36,'caseload data'!$B:$B,{"licence","community"}))</f>
        <v>0</v>
      </c>
      <c r="N41" s="98">
        <f>SUM(SUMIFS('caseload data'!P:P,'caseload data'!$D:$D,"SPO",'caseload data'!$C:$C,'community caseload'!$B$36,'caseload data'!$B:$B,{"licence","community"}))</f>
        <v>0</v>
      </c>
      <c r="O41" s="98">
        <f>SUM(SUMIFS('caseload data'!Q:Q,'caseload data'!$D:$D,"SPO",'caseload data'!$C:$C,'community caseload'!$B$36,'caseload data'!$B:$B,{"licence","community"}))</f>
        <v>0</v>
      </c>
      <c r="P41" s="98">
        <f>SUM(SUMIFS('caseload data'!R:R,'caseload data'!$D:$D,"SPO",'caseload data'!$C:$C,'community caseload'!$B$36,'caseload data'!$B:$B,{"licence","community"}))</f>
        <v>0</v>
      </c>
      <c r="Q41" s="98">
        <f>SUM(SUMIFS('caseload data'!S:S,'caseload data'!$D:$D,"SPO",'caseload data'!$C:$C,'community caseload'!$B$36,'caseload data'!$B:$B,{"licence","community"}))</f>
        <v>0</v>
      </c>
      <c r="R41" s="98">
        <f>SUM(SUMIFS('caseload data'!T:T,'caseload data'!$D:$D,"SPO",'caseload data'!$C:$C,'community caseload'!$B$36,'caseload data'!$B:$B,{"licence","community"}))</f>
        <v>0</v>
      </c>
      <c r="S41" s="68"/>
      <c r="T41" s="102" t="s">
        <v>1174</v>
      </c>
      <c r="U41" s="98">
        <f>SUM(SUMIFS('caseload data'!E:E,'caseload data'!$D:$D,"SPO",'caseload data'!$C:$C,'community caseload'!$T$36,'caseload data'!$B:$B,{"licence","community"}))</f>
        <v>0</v>
      </c>
      <c r="V41" s="98">
        <f>SUM(SUMIFS('caseload data'!F:F,'caseload data'!$D:$D,"SPO",'caseload data'!$C:$C,'community caseload'!$T$36,'caseload data'!$B:$B,{"licence","community"}))</f>
        <v>0</v>
      </c>
      <c r="W41" s="98">
        <f>SUM(SUMIFS('caseload data'!G:G,'caseload data'!$D:$D,"SPO",'caseload data'!$C:$C,'community caseload'!$T$36,'caseload data'!$B:$B,{"licence","community"}))</f>
        <v>0</v>
      </c>
      <c r="X41" s="98">
        <f>SUM(SUMIFS('caseload data'!H:H,'caseload data'!$D:$D,"SPO",'caseload data'!$C:$C,'community caseload'!$T$36,'caseload data'!$B:$B,{"licence","community"}))</f>
        <v>0</v>
      </c>
      <c r="Y41" s="98">
        <f>SUM(SUMIFS('caseload data'!I:I,'caseload data'!$D:$D,"SPO",'caseload data'!$C:$C,'community caseload'!$T$36,'caseload data'!$B:$B,{"licence","community"}))</f>
        <v>0</v>
      </c>
      <c r="Z41" s="98">
        <f>SUM(SUMIFS('caseload data'!J:J,'caseload data'!$D:$D,"SPO",'caseload data'!$C:$C,'community caseload'!$T$36,'caseload data'!$B:$B,{"licence","community"}))</f>
        <v>0</v>
      </c>
      <c r="AA41" s="98">
        <f>SUM(SUMIFS('caseload data'!K:K,'caseload data'!$D:$D,"SPO",'caseload data'!$C:$C,'community caseload'!$T$36,'caseload data'!$B:$B,{"licence","community"}))</f>
        <v>0</v>
      </c>
      <c r="AB41" s="98">
        <f>SUM(SUMIFS('caseload data'!L:L,'caseload data'!$D:$D,"SPO",'caseload data'!$C:$C,'community caseload'!$T$36,'caseload data'!$B:$B,{"licence","community"}))</f>
        <v>0</v>
      </c>
      <c r="AC41" s="98">
        <f>SUM(SUMIFS('caseload data'!M:M,'caseload data'!$D:$D,"SPO",'caseload data'!$C:$C,'community caseload'!$T$36,'caseload data'!$B:$B,{"licence","community"}))</f>
        <v>0</v>
      </c>
      <c r="AD41" s="98">
        <f>SUM(SUMIFS('caseload data'!N:N,'caseload data'!$D:$D,"SPO",'caseload data'!$C:$C,'community caseload'!$T$36,'caseload data'!$B:$B,{"licence","community"}))</f>
        <v>0</v>
      </c>
      <c r="AE41" s="98">
        <f>SUM(SUMIFS('caseload data'!O:O,'caseload data'!$D:$D,"SPO",'caseload data'!$C:$C,'community caseload'!$T$36,'caseload data'!$B:$B,{"licence","community"}))</f>
        <v>0</v>
      </c>
      <c r="AF41" s="98">
        <f>SUM(SUMIFS('caseload data'!P:P,'caseload data'!$D:$D,"SPO",'caseload data'!$C:$C,'community caseload'!$T$36,'caseload data'!$B:$B,{"licence","community"}))</f>
        <v>0</v>
      </c>
      <c r="AG41" s="98">
        <f>SUM(SUMIFS('caseload data'!Q:Q,'caseload data'!$D:$D,"SPO",'caseload data'!$C:$C,'community caseload'!$T$36,'caseload data'!$B:$B,{"licence","community"}))</f>
        <v>0</v>
      </c>
      <c r="AH41" s="98">
        <f>SUM(SUMIFS('caseload data'!R:R,'caseload data'!$D:$D,"SPO",'caseload data'!$C:$C,'community caseload'!$T$36,'caseload data'!$B:$B,{"licence","community"}))</f>
        <v>0</v>
      </c>
      <c r="AI41" s="98">
        <f>SUM(SUMIFS('caseload data'!S:S,'caseload data'!$D:$D,"SPO",'caseload data'!$C:$C,'community caseload'!$T$36,'caseload data'!$B:$B,{"licence","community"}))</f>
        <v>0</v>
      </c>
      <c r="AJ41" s="98">
        <f>SUM(SUMIFS('caseload data'!T:T,'caseload data'!$D:$D,"SPO",'caseload data'!$C:$C,'community caseload'!$T$36,'caseload data'!$B:$B,{"licence","community"}))</f>
        <v>0</v>
      </c>
    </row>
    <row r="42" spans="2:36" x14ac:dyDescent="0.15">
      <c r="B42" s="95"/>
      <c r="C42" s="68"/>
      <c r="D42" s="68"/>
      <c r="E42" s="68"/>
      <c r="F42" s="68"/>
      <c r="G42" s="68"/>
      <c r="H42" s="68"/>
      <c r="I42" s="68"/>
      <c r="J42" s="68"/>
      <c r="K42" s="68"/>
      <c r="L42" s="68"/>
      <c r="M42" s="68"/>
      <c r="N42" s="68"/>
      <c r="O42" s="68"/>
      <c r="P42" s="68"/>
      <c r="Q42" s="68"/>
      <c r="R42" s="68"/>
      <c r="S42" s="68"/>
      <c r="T42" s="95"/>
      <c r="U42" s="68"/>
      <c r="V42" s="68"/>
      <c r="W42" s="68"/>
      <c r="X42" s="68"/>
      <c r="Y42" s="68"/>
      <c r="Z42" s="68"/>
      <c r="AA42" s="68"/>
      <c r="AB42" s="68"/>
      <c r="AC42" s="68"/>
      <c r="AD42" s="68"/>
      <c r="AE42" s="68"/>
      <c r="AF42" s="68"/>
      <c r="AG42" s="68"/>
      <c r="AH42" s="68"/>
      <c r="AI42" s="68"/>
      <c r="AJ42" s="68"/>
    </row>
    <row r="43" spans="2:36" ht="39" customHeight="1" x14ac:dyDescent="0.15">
      <c r="B43" s="302" t="str">
        <f>HLOOKUP($B$5,Region_Table,12,0)</f>
        <v>Hammersmith, Fulham, Kensington, Chelsea and Westminster</v>
      </c>
      <c r="C43" s="459" t="s">
        <v>1309</v>
      </c>
      <c r="D43" s="460"/>
      <c r="E43" s="460"/>
      <c r="F43" s="460"/>
      <c r="G43" s="460"/>
      <c r="H43" s="460"/>
      <c r="I43" s="460"/>
      <c r="J43" s="460"/>
      <c r="K43" s="460"/>
      <c r="L43" s="460"/>
      <c r="M43" s="489"/>
      <c r="N43" s="489"/>
      <c r="O43" s="490"/>
      <c r="P43" s="462" cm="1">
        <f t="array" ref="P43">SUM(SUMIFS('caseload data'!V:V,'caseload data'!B:B,{"licence","community"},'caseload data'!$C:$C,'community caseload'!B43))</f>
        <v>0</v>
      </c>
      <c r="Q43" s="479"/>
      <c r="R43" s="480"/>
      <c r="S43" s="305"/>
      <c r="T43" s="302" t="str">
        <f>HLOOKUP($B$5,Region_Table,13,0)</f>
        <v>Harrow and Barnet</v>
      </c>
      <c r="U43" s="459" t="s">
        <v>1309</v>
      </c>
      <c r="V43" s="460"/>
      <c r="W43" s="460"/>
      <c r="X43" s="460"/>
      <c r="Y43" s="460"/>
      <c r="Z43" s="460"/>
      <c r="AA43" s="460"/>
      <c r="AB43" s="460"/>
      <c r="AC43" s="460"/>
      <c r="AD43" s="460"/>
      <c r="AE43" s="489"/>
      <c r="AF43" s="489"/>
      <c r="AG43" s="490"/>
      <c r="AH43" s="462" cm="1">
        <f t="array" ref="AH43">SUM(SUMIFS('caseload data'!V:V,'caseload data'!B:B,{"licence","community"},'caseload data'!$C:$C,'community caseload'!T43))</f>
        <v>0</v>
      </c>
      <c r="AI43" s="479"/>
      <c r="AJ43" s="480"/>
    </row>
    <row r="44" spans="2:36" x14ac:dyDescent="0.15">
      <c r="B44" s="99" t="s">
        <v>1170</v>
      </c>
      <c r="C44" s="40" t="s">
        <v>1022</v>
      </c>
      <c r="D44" s="40" t="s">
        <v>1023</v>
      </c>
      <c r="E44" s="40" t="s">
        <v>1024</v>
      </c>
      <c r="F44" s="40" t="s">
        <v>1025</v>
      </c>
      <c r="G44" s="40" t="s">
        <v>1026</v>
      </c>
      <c r="H44" s="40" t="s">
        <v>1027</v>
      </c>
      <c r="I44" s="40" t="s">
        <v>1028</v>
      </c>
      <c r="J44" s="40" t="s">
        <v>1029</v>
      </c>
      <c r="K44" s="40" t="s">
        <v>1030</v>
      </c>
      <c r="L44" s="40" t="s">
        <v>1031</v>
      </c>
      <c r="M44" s="40" t="s">
        <v>1032</v>
      </c>
      <c r="N44" s="40" t="s">
        <v>1033</v>
      </c>
      <c r="O44" s="40" t="s">
        <v>1034</v>
      </c>
      <c r="P44" s="40" t="s">
        <v>1035</v>
      </c>
      <c r="Q44" s="40" t="s">
        <v>1036</v>
      </c>
      <c r="R44" s="40" t="s">
        <v>1037</v>
      </c>
      <c r="S44" s="68"/>
      <c r="T44" s="99" t="s">
        <v>1170</v>
      </c>
      <c r="U44" s="40" t="s">
        <v>1022</v>
      </c>
      <c r="V44" s="40" t="s">
        <v>1023</v>
      </c>
      <c r="W44" s="40" t="s">
        <v>1024</v>
      </c>
      <c r="X44" s="40" t="s">
        <v>1025</v>
      </c>
      <c r="Y44" s="40" t="s">
        <v>1026</v>
      </c>
      <c r="Z44" s="40" t="s">
        <v>1027</v>
      </c>
      <c r="AA44" s="40" t="s">
        <v>1028</v>
      </c>
      <c r="AB44" s="40" t="s">
        <v>1029</v>
      </c>
      <c r="AC44" s="40" t="s">
        <v>1030</v>
      </c>
      <c r="AD44" s="40" t="s">
        <v>1031</v>
      </c>
      <c r="AE44" s="40" t="s">
        <v>1032</v>
      </c>
      <c r="AF44" s="40" t="s">
        <v>1033</v>
      </c>
      <c r="AG44" s="40" t="s">
        <v>1034</v>
      </c>
      <c r="AH44" s="40" t="s">
        <v>1035</v>
      </c>
      <c r="AI44" s="40" t="s">
        <v>1036</v>
      </c>
      <c r="AJ44" s="40" t="s">
        <v>1037</v>
      </c>
    </row>
    <row r="45" spans="2:36" x14ac:dyDescent="0.15">
      <c r="B45" s="100" t="s">
        <v>1166</v>
      </c>
      <c r="C45" s="98">
        <f>SUM(SUMIFS('caseload data'!E:E,'caseload data'!$D:$D,"PO",'caseload data'!$C:$C,'community caseload'!$B$43,'caseload data'!$B:$B,{"licence","community"}))</f>
        <v>0</v>
      </c>
      <c r="D45" s="98">
        <f>SUM(SUMIFS('caseload data'!F:F,'caseload data'!$D:$D,"PO",'caseload data'!$C:$C,'community caseload'!$B$43,'caseload data'!$B:$B,{"licence","community"}))</f>
        <v>0</v>
      </c>
      <c r="E45" s="98">
        <f>SUM(SUMIFS('caseload data'!G:G,'caseload data'!$D:$D,"PO",'caseload data'!$C:$C,'community caseload'!$B$43,'caseload data'!$B:$B,{"licence","community"}))</f>
        <v>0</v>
      </c>
      <c r="F45" s="98">
        <f>SUM(SUMIFS('caseload data'!H:H,'caseload data'!$D:$D,"PO",'caseload data'!$C:$C,'community caseload'!$B$43,'caseload data'!$B:$B,{"licence","community"}))</f>
        <v>0</v>
      </c>
      <c r="G45" s="98">
        <f>SUM(SUMIFS('caseload data'!I:I,'caseload data'!$D:$D,"PO",'caseload data'!$C:$C,'community caseload'!$B$43,'caseload data'!$B:$B,{"licence","community"}))</f>
        <v>0</v>
      </c>
      <c r="H45" s="98">
        <f>SUM(SUMIFS('caseload data'!J:J,'caseload data'!$D:$D,"PO",'caseload data'!$C:$C,'community caseload'!$B$43,'caseload data'!$B:$B,{"licence","community"}))</f>
        <v>0</v>
      </c>
      <c r="I45" s="98">
        <f>SUM(SUMIFS('caseload data'!K:K,'caseload data'!$D:$D,"PO",'caseload data'!$C:$C,'community caseload'!$B$43,'caseload data'!$B:$B,{"licence","community"}))</f>
        <v>0</v>
      </c>
      <c r="J45" s="98">
        <f>SUM(SUMIFS('caseload data'!L:L,'caseload data'!$D:$D,"PO",'caseload data'!$C:$C,'community caseload'!$B$43,'caseload data'!$B:$B,{"licence","community"}))</f>
        <v>0</v>
      </c>
      <c r="K45" s="98">
        <f>SUM(SUMIFS('caseload data'!M:M,'caseload data'!$D:$D,"PO",'caseload data'!$C:$C,'community caseload'!$B$43,'caseload data'!$B:$B,{"licence","community"}))</f>
        <v>0</v>
      </c>
      <c r="L45" s="98">
        <f>SUM(SUMIFS('caseload data'!N:N,'caseload data'!$D:$D,"PO",'caseload data'!$C:$C,'community caseload'!$B$43,'caseload data'!$B:$B,{"licence","community"}))</f>
        <v>0</v>
      </c>
      <c r="M45" s="98">
        <f>SUM(SUMIFS('caseload data'!O:O,'caseload data'!$D:$D,"PO",'caseload data'!$C:$C,'community caseload'!$B$43,'caseload data'!$B:$B,{"licence","community"}))</f>
        <v>0</v>
      </c>
      <c r="N45" s="98">
        <f>SUM(SUMIFS('caseload data'!P:P,'caseload data'!$D:$D,"PO",'caseload data'!$C:$C,'community caseload'!$B$43,'caseload data'!$B:$B,{"licence","community"}))</f>
        <v>0</v>
      </c>
      <c r="O45" s="98">
        <f>SUM(SUMIFS('caseload data'!Q:Q,'caseload data'!$D:$D,"PO",'caseload data'!$C:$C,'community caseload'!$B$43,'caseload data'!$B:$B,{"licence","community"}))</f>
        <v>0</v>
      </c>
      <c r="P45" s="98">
        <f>SUM(SUMIFS('caseload data'!R:R,'caseload data'!$D:$D,"PO",'caseload data'!$C:$C,'community caseload'!$B$43,'caseload data'!$B:$B,{"licence","community"}))</f>
        <v>0</v>
      </c>
      <c r="Q45" s="98">
        <f>SUM(SUMIFS('caseload data'!S:S,'caseload data'!$D:$D,"PO",'caseload data'!$C:$C,'community caseload'!$B$43,'caseload data'!$B:$B,{"licence","community"}))</f>
        <v>0</v>
      </c>
      <c r="R45" s="98">
        <f>SUM(SUMIFS('caseload data'!T:T,'caseload data'!$D:$D,"PO",'caseload data'!$C:$C,'community caseload'!$B$43,'caseload data'!$B:$B,{"licence","community"}))</f>
        <v>0</v>
      </c>
      <c r="S45" s="68"/>
      <c r="T45" s="100" t="s">
        <v>1166</v>
      </c>
      <c r="U45" s="98">
        <f>SUM(SUMIFS('caseload data'!E:E,'caseload data'!$D:$D,"PO",'caseload data'!$C:$C,'community caseload'!$T$43,'caseload data'!$B:$B,{"licence","community"}))</f>
        <v>0</v>
      </c>
      <c r="V45" s="98">
        <f>SUM(SUMIFS('caseload data'!F:F,'caseload data'!$D:$D,"PO",'caseload data'!$C:$C,'community caseload'!$T$43,'caseload data'!$B:$B,{"licence","community"}))</f>
        <v>0</v>
      </c>
      <c r="W45" s="98">
        <f>SUM(SUMIFS('caseload data'!G:G,'caseload data'!$D:$D,"PO",'caseload data'!$C:$C,'community caseload'!$T$43,'caseload data'!$B:$B,{"licence","community"}))</f>
        <v>0</v>
      </c>
      <c r="X45" s="98">
        <f>SUM(SUMIFS('caseload data'!H:H,'caseload data'!$D:$D,"PO",'caseload data'!$C:$C,'community caseload'!$T$43,'caseload data'!$B:$B,{"licence","community"}))</f>
        <v>0</v>
      </c>
      <c r="Y45" s="98">
        <f>SUM(SUMIFS('caseload data'!I:I,'caseload data'!$D:$D,"PO",'caseload data'!$C:$C,'community caseload'!$T$43,'caseload data'!$B:$B,{"licence","community"}))</f>
        <v>0</v>
      </c>
      <c r="Z45" s="98">
        <f>SUM(SUMIFS('caseload data'!J:J,'caseload data'!$D:$D,"PO",'caseload data'!$C:$C,'community caseload'!$T$43,'caseload data'!$B:$B,{"licence","community"}))</f>
        <v>0</v>
      </c>
      <c r="AA45" s="98">
        <f>SUM(SUMIFS('caseload data'!K:K,'caseload data'!$D:$D,"PO",'caseload data'!$C:$C,'community caseload'!$T$43,'caseload data'!$B:$B,{"licence","community"}))</f>
        <v>0</v>
      </c>
      <c r="AB45" s="98">
        <f>SUM(SUMIFS('caseload data'!L:L,'caseload data'!$D:$D,"PO",'caseload data'!$C:$C,'community caseload'!$T$43,'caseload data'!$B:$B,{"licence","community"}))</f>
        <v>0</v>
      </c>
      <c r="AC45" s="98">
        <f>SUM(SUMIFS('caseload data'!M:M,'caseload data'!$D:$D,"PO",'caseload data'!$C:$C,'community caseload'!$T$43,'caseload data'!$B:$B,{"licence","community"}))</f>
        <v>0</v>
      </c>
      <c r="AD45" s="98">
        <f>SUM(SUMIFS('caseload data'!N:N,'caseload data'!$D:$D,"PO",'caseload data'!$C:$C,'community caseload'!$T$43,'caseload data'!$B:$B,{"licence","community"}))</f>
        <v>0</v>
      </c>
      <c r="AE45" s="98">
        <f>SUM(SUMIFS('caseload data'!O:O,'caseload data'!$D:$D,"PO",'caseload data'!$C:$C,'community caseload'!$T$43,'caseload data'!$B:$B,{"licence","community"}))</f>
        <v>0</v>
      </c>
      <c r="AF45" s="98">
        <f>SUM(SUMIFS('caseload data'!P:P,'caseload data'!$D:$D,"PO",'caseload data'!$C:$C,'community caseload'!$T$43,'caseload data'!$B:$B,{"licence","community"}))</f>
        <v>0</v>
      </c>
      <c r="AG45" s="98">
        <f>SUM(SUMIFS('caseload data'!Q:Q,'caseload data'!$D:$D,"PO",'caseload data'!$C:$C,'community caseload'!$T$43,'caseload data'!$B:$B,{"licence","community"}))</f>
        <v>0</v>
      </c>
      <c r="AH45" s="98">
        <f>SUM(SUMIFS('caseload data'!R:R,'caseload data'!$D:$D,"PO",'caseload data'!$C:$C,'community caseload'!$T$43,'caseload data'!$B:$B,{"licence","community"}))</f>
        <v>0</v>
      </c>
      <c r="AI45" s="98">
        <f>SUM(SUMIFS('caseload data'!S:S,'caseload data'!$D:$D,"PO",'caseload data'!$C:$C,'community caseload'!$T$43,'caseload data'!$B:$B,{"licence","community"}))</f>
        <v>0</v>
      </c>
      <c r="AJ45" s="98">
        <f>SUM(SUMIFS('caseload data'!T:T,'caseload data'!$D:$D,"PO",'caseload data'!$C:$C,'community caseload'!$T$43,'caseload data'!$B:$B,{"licence","community"}))</f>
        <v>0</v>
      </c>
    </row>
    <row r="46" spans="2:36" x14ac:dyDescent="0.15">
      <c r="B46" s="101" t="s">
        <v>1172</v>
      </c>
      <c r="C46" s="98">
        <f>SUM(SUMIFS('caseload data'!E:E,'caseload data'!$D:$D,"PSO",'caseload data'!$C:$C,'community caseload'!$B$43,'caseload data'!$B:$B,{"licence","community"}))</f>
        <v>0</v>
      </c>
      <c r="D46" s="98">
        <f>SUM(SUMIFS('caseload data'!F:F,'caseload data'!$D:$D,"PSO",'caseload data'!$C:$C,'community caseload'!$B$43,'caseload data'!$B:$B,{"licence","community"}))</f>
        <v>0</v>
      </c>
      <c r="E46" s="98">
        <f>SUM(SUMIFS('caseload data'!G:G,'caseload data'!$D:$D,"PSO",'caseload data'!$C:$C,'community caseload'!$B$43,'caseload data'!$B:$B,{"licence","community"}))</f>
        <v>0</v>
      </c>
      <c r="F46" s="98">
        <f>SUM(SUMIFS('caseload data'!H:H,'caseload data'!$D:$D,"PSO",'caseload data'!$C:$C,'community caseload'!$B$43,'caseload data'!$B:$B,{"licence","community"}))</f>
        <v>0</v>
      </c>
      <c r="G46" s="98">
        <f>SUM(SUMIFS('caseload data'!I:I,'caseload data'!$D:$D,"PSO",'caseload data'!$C:$C,'community caseload'!$B$43,'caseload data'!$B:$B,{"licence","community"}))</f>
        <v>0</v>
      </c>
      <c r="H46" s="98">
        <f>SUM(SUMIFS('caseload data'!J:J,'caseload data'!$D:$D,"PSO",'caseload data'!$C:$C,'community caseload'!$B$43,'caseload data'!$B:$B,{"licence","community"}))</f>
        <v>0</v>
      </c>
      <c r="I46" s="98">
        <f>SUM(SUMIFS('caseload data'!K:K,'caseload data'!$D:$D,"PSO",'caseload data'!$C:$C,'community caseload'!$B$43,'caseload data'!$B:$B,{"licence","community"}))</f>
        <v>0</v>
      </c>
      <c r="J46" s="98">
        <f>SUM(SUMIFS('caseload data'!L:L,'caseload data'!$D:$D,"PSO",'caseload data'!$C:$C,'community caseload'!$B$43,'caseload data'!$B:$B,{"licence","community"}))</f>
        <v>0</v>
      </c>
      <c r="K46" s="98">
        <f>SUM(SUMIFS('caseload data'!M:M,'caseload data'!$D:$D,"PSO",'caseload data'!$C:$C,'community caseload'!$B$43,'caseload data'!$B:$B,{"licence","community"}))</f>
        <v>0</v>
      </c>
      <c r="L46" s="98">
        <f>SUM(SUMIFS('caseload data'!N:N,'caseload data'!$D:$D,"PSO",'caseload data'!$C:$C,'community caseload'!$B$43,'caseload data'!$B:$B,{"licence","community"}))</f>
        <v>0</v>
      </c>
      <c r="M46" s="98">
        <f>SUM(SUMIFS('caseload data'!O:O,'caseload data'!$D:$D,"PSO",'caseload data'!$C:$C,'community caseload'!$B$43,'caseload data'!$B:$B,{"licence","community"}))</f>
        <v>0</v>
      </c>
      <c r="N46" s="98">
        <f>SUM(SUMIFS('caseload data'!P:P,'caseload data'!$D:$D,"PSO",'caseload data'!$C:$C,'community caseload'!$B$43,'caseload data'!$B:$B,{"licence","community"}))</f>
        <v>0</v>
      </c>
      <c r="O46" s="98">
        <f>SUM(SUMIFS('caseload data'!Q:Q,'caseload data'!$D:$D,"PSO",'caseload data'!$C:$C,'community caseload'!$B$43,'caseload data'!$B:$B,{"licence","community"}))</f>
        <v>0</v>
      </c>
      <c r="P46" s="98">
        <f>SUM(SUMIFS('caseload data'!R:R,'caseload data'!$D:$D,"PSO",'caseload data'!$C:$C,'community caseload'!$B$43,'caseload data'!$B:$B,{"licence","community"}))</f>
        <v>0</v>
      </c>
      <c r="Q46" s="98">
        <f>SUM(SUMIFS('caseload data'!S:S,'caseload data'!$D:$D,"PSO",'caseload data'!$C:$C,'community caseload'!$B$43,'caseload data'!$B:$B,{"licence","community"}))</f>
        <v>0</v>
      </c>
      <c r="R46" s="98">
        <f>SUM(SUMIFS('caseload data'!T:T,'caseload data'!$D:$D,"PSO",'caseload data'!$C:$C,'community caseload'!$B$43,'caseload data'!$B:$B,{"licence","community"}))</f>
        <v>0</v>
      </c>
      <c r="S46" s="68"/>
      <c r="T46" s="101" t="s">
        <v>1172</v>
      </c>
      <c r="U46" s="98">
        <f>SUM(SUMIFS('caseload data'!E:E,'caseload data'!$D:$D,"PSO",'caseload data'!$C:$C,'community caseload'!$T$43,'caseload data'!$B:$B,{"licence","community"}))</f>
        <v>0</v>
      </c>
      <c r="V46" s="98">
        <f>SUM(SUMIFS('caseload data'!F:F,'caseload data'!$D:$D,"PSO",'caseload data'!$C:$C,'community caseload'!$T$43,'caseload data'!$B:$B,{"licence","community"}))</f>
        <v>0</v>
      </c>
      <c r="W46" s="98">
        <f>SUM(SUMIFS('caseload data'!G:G,'caseload data'!$D:$D,"PSO",'caseload data'!$C:$C,'community caseload'!$T$43,'caseload data'!$B:$B,{"licence","community"}))</f>
        <v>0</v>
      </c>
      <c r="X46" s="98">
        <f>SUM(SUMIFS('caseload data'!H:H,'caseload data'!$D:$D,"PSO",'caseload data'!$C:$C,'community caseload'!$T$43,'caseload data'!$B:$B,{"licence","community"}))</f>
        <v>0</v>
      </c>
      <c r="Y46" s="98">
        <f>SUM(SUMIFS('caseload data'!I:I,'caseload data'!$D:$D,"PSO",'caseload data'!$C:$C,'community caseload'!$T$43,'caseload data'!$B:$B,{"licence","community"}))</f>
        <v>0</v>
      </c>
      <c r="Z46" s="98">
        <f>SUM(SUMIFS('caseload data'!J:J,'caseload data'!$D:$D,"PSO",'caseload data'!$C:$C,'community caseload'!$T$43,'caseload data'!$B:$B,{"licence","community"}))</f>
        <v>0</v>
      </c>
      <c r="AA46" s="98">
        <f>SUM(SUMIFS('caseload data'!K:K,'caseload data'!$D:$D,"PSO",'caseload data'!$C:$C,'community caseload'!$T$43,'caseload data'!$B:$B,{"licence","community"}))</f>
        <v>0</v>
      </c>
      <c r="AB46" s="98">
        <f>SUM(SUMIFS('caseload data'!L:L,'caseload data'!$D:$D,"PSO",'caseload data'!$C:$C,'community caseload'!$T$43,'caseload data'!$B:$B,{"licence","community"}))</f>
        <v>0</v>
      </c>
      <c r="AC46" s="98">
        <f>SUM(SUMIFS('caseload data'!M:M,'caseload data'!$D:$D,"PSO",'caseload data'!$C:$C,'community caseload'!$T$43,'caseload data'!$B:$B,{"licence","community"}))</f>
        <v>0</v>
      </c>
      <c r="AD46" s="98">
        <f>SUM(SUMIFS('caseload data'!N:N,'caseload data'!$D:$D,"PSO",'caseload data'!$C:$C,'community caseload'!$T$43,'caseload data'!$B:$B,{"licence","community"}))</f>
        <v>0</v>
      </c>
      <c r="AE46" s="98">
        <f>SUM(SUMIFS('caseload data'!O:O,'caseload data'!$D:$D,"PSO",'caseload data'!$C:$C,'community caseload'!$T$43,'caseload data'!$B:$B,{"licence","community"}))</f>
        <v>0</v>
      </c>
      <c r="AF46" s="98">
        <f>SUM(SUMIFS('caseload data'!P:P,'caseload data'!$D:$D,"PSO",'caseload data'!$C:$C,'community caseload'!$T$43,'caseload data'!$B:$B,{"licence","community"}))</f>
        <v>0</v>
      </c>
      <c r="AG46" s="98">
        <f>SUM(SUMIFS('caseload data'!Q:Q,'caseload data'!$D:$D,"PSO",'caseload data'!$C:$C,'community caseload'!$T$43,'caseload data'!$B:$B,{"licence","community"}))</f>
        <v>0</v>
      </c>
      <c r="AH46" s="98">
        <f>SUM(SUMIFS('caseload data'!R:R,'caseload data'!$D:$D,"PSO",'caseload data'!$C:$C,'community caseload'!$T$43,'caseload data'!$B:$B,{"licence","community"}))</f>
        <v>0</v>
      </c>
      <c r="AI46" s="98">
        <f>SUM(SUMIFS('caseload data'!S:S,'caseload data'!$D:$D,"PSO",'caseload data'!$C:$C,'community caseload'!$T$43,'caseload data'!$B:$B,{"licence","community"}))</f>
        <v>0</v>
      </c>
      <c r="AJ46" s="98">
        <f>SUM(SUMIFS('caseload data'!T:T,'caseload data'!$D:$D,"PSO",'caseload data'!$C:$C,'community caseload'!$T$43,'caseload data'!$B:$B,{"licence","community"}))</f>
        <v>0</v>
      </c>
    </row>
    <row r="47" spans="2:36" x14ac:dyDescent="0.15">
      <c r="B47" s="101" t="s">
        <v>1173</v>
      </c>
      <c r="C47" s="98">
        <f>SUM(SUMIFS('caseload data'!E:E,'caseload data'!$D:$D,"TPO",'caseload data'!$C:$C,'community caseload'!$B$43,'caseload data'!$B:$B,{"licence","community"}))</f>
        <v>0</v>
      </c>
      <c r="D47" s="98">
        <f>SUM(SUMIFS('caseload data'!F:F,'caseload data'!$D:$D,"TPO",'caseload data'!$C:$C,'community caseload'!$B$43,'caseload data'!$B:$B,{"licence","community"}))</f>
        <v>0</v>
      </c>
      <c r="E47" s="98">
        <f>SUM(SUMIFS('caseload data'!G:G,'caseload data'!$D:$D,"TPO",'caseload data'!$C:$C,'community caseload'!$B$43,'caseload data'!$B:$B,{"licence","community"}))</f>
        <v>0</v>
      </c>
      <c r="F47" s="98">
        <f>SUM(SUMIFS('caseload data'!H:H,'caseload data'!$D:$D,"TPO",'caseload data'!$C:$C,'community caseload'!$B$43,'caseload data'!$B:$B,{"licence","community"}))</f>
        <v>0</v>
      </c>
      <c r="G47" s="98">
        <f>SUM(SUMIFS('caseload data'!I:I,'caseload data'!$D:$D,"TPO",'caseload data'!$C:$C,'community caseload'!$B$43,'caseload data'!$B:$B,{"licence","community"}))</f>
        <v>0</v>
      </c>
      <c r="H47" s="98">
        <f>SUM(SUMIFS('caseload data'!J:J,'caseload data'!$D:$D,"TPO",'caseload data'!$C:$C,'community caseload'!$B$43,'caseload data'!$B:$B,{"licence","community"}))</f>
        <v>0</v>
      </c>
      <c r="I47" s="98">
        <f>SUM(SUMIFS('caseload data'!K:K,'caseload data'!$D:$D,"TPO",'caseload data'!$C:$C,'community caseload'!$B$43,'caseload data'!$B:$B,{"licence","community"}))</f>
        <v>0</v>
      </c>
      <c r="J47" s="98">
        <f>SUM(SUMIFS('caseload data'!L:L,'caseload data'!$D:$D,"TPO",'caseload data'!$C:$C,'community caseload'!$B$43,'caseload data'!$B:$B,{"licence","community"}))</f>
        <v>0</v>
      </c>
      <c r="K47" s="98">
        <f>SUM(SUMIFS('caseload data'!M:M,'caseload data'!$D:$D,"TPO",'caseload data'!$C:$C,'community caseload'!$B$43,'caseload data'!$B:$B,{"licence","community"}))</f>
        <v>0</v>
      </c>
      <c r="L47" s="98">
        <f>SUM(SUMIFS('caseload data'!N:N,'caseload data'!$D:$D,"TPO",'caseload data'!$C:$C,'community caseload'!$B$43,'caseload data'!$B:$B,{"licence","community"}))</f>
        <v>0</v>
      </c>
      <c r="M47" s="98">
        <f>SUM(SUMIFS('caseload data'!O:O,'caseload data'!$D:$D,"TPO",'caseload data'!$C:$C,'community caseload'!$B$43,'caseload data'!$B:$B,{"licence","community"}))</f>
        <v>0</v>
      </c>
      <c r="N47" s="98">
        <f>SUM(SUMIFS('caseload data'!P:P,'caseload data'!$D:$D,"TPO",'caseload data'!$C:$C,'community caseload'!$B$43,'caseload data'!$B:$B,{"licence","community"}))</f>
        <v>0</v>
      </c>
      <c r="O47" s="98">
        <f>SUM(SUMIFS('caseload data'!Q:Q,'caseload data'!$D:$D,"TPO",'caseload data'!$C:$C,'community caseload'!$B$43,'caseload data'!$B:$B,{"licence","community"}))</f>
        <v>0</v>
      </c>
      <c r="P47" s="98">
        <f>SUM(SUMIFS('caseload data'!R:R,'caseload data'!$D:$D,"TPO",'caseload data'!$C:$C,'community caseload'!$B$43,'caseload data'!$B:$B,{"licence","community"}))</f>
        <v>0</v>
      </c>
      <c r="Q47" s="98">
        <f>SUM(SUMIFS('caseload data'!S:S,'caseload data'!$D:$D,"TPO",'caseload data'!$C:$C,'community caseload'!$B$43,'caseload data'!$B:$B,{"licence","community"}))</f>
        <v>0</v>
      </c>
      <c r="R47" s="98">
        <f>SUM(SUMIFS('caseload data'!T:T,'caseload data'!$D:$D,"TPO",'caseload data'!$C:$C,'community caseload'!$B$43,'caseload data'!$B:$B,{"licence","community"}))</f>
        <v>0</v>
      </c>
      <c r="S47" s="68"/>
      <c r="T47" s="101" t="s">
        <v>1173</v>
      </c>
      <c r="U47" s="98">
        <f>SUM(SUMIFS('caseload data'!E:E,'caseload data'!$D:$D,"TPO",'caseload data'!$C:$C,'community caseload'!$T$43,'caseload data'!$B:$B,{"licence","community"}))</f>
        <v>0</v>
      </c>
      <c r="V47" s="98">
        <f>SUM(SUMIFS('caseload data'!F:F,'caseload data'!$D:$D,"TPO",'caseload data'!$C:$C,'community caseload'!$T$43,'caseload data'!$B:$B,{"licence","community"}))</f>
        <v>0</v>
      </c>
      <c r="W47" s="98">
        <f>SUM(SUMIFS('caseload data'!G:G,'caseload data'!$D:$D,"TPO",'caseload data'!$C:$C,'community caseload'!$T$43,'caseload data'!$B:$B,{"licence","community"}))</f>
        <v>0</v>
      </c>
      <c r="X47" s="98">
        <f>SUM(SUMIFS('caseload data'!H:H,'caseload data'!$D:$D,"TPO",'caseload data'!$C:$C,'community caseload'!$T$43,'caseload data'!$B:$B,{"licence","community"}))</f>
        <v>0</v>
      </c>
      <c r="Y47" s="98">
        <f>SUM(SUMIFS('caseload data'!I:I,'caseload data'!$D:$D,"TPO",'caseload data'!$C:$C,'community caseload'!$T$43,'caseload data'!$B:$B,{"licence","community"}))</f>
        <v>0</v>
      </c>
      <c r="Z47" s="98">
        <f>SUM(SUMIFS('caseload data'!J:J,'caseload data'!$D:$D,"TPO",'caseload data'!$C:$C,'community caseload'!$T$43,'caseload data'!$B:$B,{"licence","community"}))</f>
        <v>0</v>
      </c>
      <c r="AA47" s="98">
        <f>SUM(SUMIFS('caseload data'!K:K,'caseload data'!$D:$D,"TPO",'caseload data'!$C:$C,'community caseload'!$T$43,'caseload data'!$B:$B,{"licence","community"}))</f>
        <v>0</v>
      </c>
      <c r="AB47" s="98">
        <f>SUM(SUMIFS('caseload data'!L:L,'caseload data'!$D:$D,"TPO",'caseload data'!$C:$C,'community caseload'!$T$43,'caseload data'!$B:$B,{"licence","community"}))</f>
        <v>0</v>
      </c>
      <c r="AC47" s="98">
        <f>SUM(SUMIFS('caseload data'!M:M,'caseload data'!$D:$D,"TPO",'caseload data'!$C:$C,'community caseload'!$T$43,'caseload data'!$B:$B,{"licence","community"}))</f>
        <v>0</v>
      </c>
      <c r="AD47" s="98">
        <f>SUM(SUMIFS('caseload data'!N:N,'caseload data'!$D:$D,"TPO",'caseload data'!$C:$C,'community caseload'!$T$43,'caseload data'!$B:$B,{"licence","community"}))</f>
        <v>0</v>
      </c>
      <c r="AE47" s="98">
        <f>SUM(SUMIFS('caseload data'!O:O,'caseload data'!$D:$D,"TPO",'caseload data'!$C:$C,'community caseload'!$T$43,'caseload data'!$B:$B,{"licence","community"}))</f>
        <v>0</v>
      </c>
      <c r="AF47" s="98">
        <f>SUM(SUMIFS('caseload data'!P:P,'caseload data'!$D:$D,"TPO",'caseload data'!$C:$C,'community caseload'!$T$43,'caseload data'!$B:$B,{"licence","community"}))</f>
        <v>0</v>
      </c>
      <c r="AG47" s="98">
        <f>SUM(SUMIFS('caseload data'!Q:Q,'caseload data'!$D:$D,"TPO",'caseload data'!$C:$C,'community caseload'!$T$43,'caseload data'!$B:$B,{"licence","community"}))</f>
        <v>0</v>
      </c>
      <c r="AH47" s="98">
        <f>SUM(SUMIFS('caseload data'!R:R,'caseload data'!$D:$D,"TPO",'caseload data'!$C:$C,'community caseload'!$T$43,'caseload data'!$B:$B,{"licence","community"}))</f>
        <v>0</v>
      </c>
      <c r="AI47" s="98">
        <f>SUM(SUMIFS('caseload data'!S:S,'caseload data'!$D:$D,"TPO",'caseload data'!$C:$C,'community caseload'!$T$43,'caseload data'!$B:$B,{"licence","community"}))</f>
        <v>0</v>
      </c>
      <c r="AJ47" s="98">
        <f>SUM(SUMIFS('caseload data'!T:T,'caseload data'!$D:$D,"TPO",'caseload data'!$C:$C,'community caseload'!$T$43,'caseload data'!$B:$B,{"licence","community"}))</f>
        <v>0</v>
      </c>
    </row>
    <row r="48" spans="2:36" x14ac:dyDescent="0.15">
      <c r="B48" s="102" t="s">
        <v>1174</v>
      </c>
      <c r="C48" s="98">
        <f>SUM(SUMIFS('caseload data'!E:E,'caseload data'!$D:$D,"SPO",'caseload data'!$C:$C,'community caseload'!$B$43,'caseload data'!$B:$B,{"licence","community"}))</f>
        <v>0</v>
      </c>
      <c r="D48" s="98">
        <f>SUM(SUMIFS('caseload data'!F:F,'caseload data'!$D:$D,"SPO",'caseload data'!$C:$C,'community caseload'!$B$43,'caseload data'!$B:$B,{"licence","community"}))</f>
        <v>0</v>
      </c>
      <c r="E48" s="98">
        <f>SUM(SUMIFS('caseload data'!G:G,'caseload data'!$D:$D,"SPO",'caseload data'!$C:$C,'community caseload'!$B$43,'caseload data'!$B:$B,{"licence","community"}))</f>
        <v>0</v>
      </c>
      <c r="F48" s="98">
        <f>SUM(SUMIFS('caseload data'!H:H,'caseload data'!$D:$D,"SPO",'caseload data'!$C:$C,'community caseload'!$B$43,'caseload data'!$B:$B,{"licence","community"}))</f>
        <v>0</v>
      </c>
      <c r="G48" s="98">
        <f>SUM(SUMIFS('caseload data'!I:I,'caseload data'!$D:$D,"SPO",'caseload data'!$C:$C,'community caseload'!$B$43,'caseload data'!$B:$B,{"licence","community"}))</f>
        <v>0</v>
      </c>
      <c r="H48" s="98">
        <f>SUM(SUMIFS('caseload data'!J:J,'caseload data'!$D:$D,"SPO",'caseload data'!$C:$C,'community caseload'!$B$43,'caseload data'!$B:$B,{"licence","community"}))</f>
        <v>0</v>
      </c>
      <c r="I48" s="98">
        <f>SUM(SUMIFS('caseload data'!K:K,'caseload data'!$D:$D,"SPO",'caseload data'!$C:$C,'community caseload'!$B$43,'caseload data'!$B:$B,{"licence","community"}))</f>
        <v>0</v>
      </c>
      <c r="J48" s="98">
        <f>SUM(SUMIFS('caseload data'!L:L,'caseload data'!$D:$D,"SPO",'caseload data'!$C:$C,'community caseload'!$B$43,'caseload data'!$B:$B,{"licence","community"}))</f>
        <v>0</v>
      </c>
      <c r="K48" s="98">
        <f>SUM(SUMIFS('caseload data'!M:M,'caseload data'!$D:$D,"SPO",'caseload data'!$C:$C,'community caseload'!$B$43,'caseload data'!$B:$B,{"licence","community"}))</f>
        <v>0</v>
      </c>
      <c r="L48" s="98">
        <f>SUM(SUMIFS('caseload data'!N:N,'caseload data'!$D:$D,"SPO",'caseload data'!$C:$C,'community caseload'!$B$43,'caseload data'!$B:$B,{"licence","community"}))</f>
        <v>0</v>
      </c>
      <c r="M48" s="98">
        <f>SUM(SUMIFS('caseload data'!O:O,'caseload data'!$D:$D,"SPO",'caseload data'!$C:$C,'community caseload'!$B$43,'caseload data'!$B:$B,{"licence","community"}))</f>
        <v>0</v>
      </c>
      <c r="N48" s="98">
        <f>SUM(SUMIFS('caseload data'!P:P,'caseload data'!$D:$D,"SPO",'caseload data'!$C:$C,'community caseload'!$B$43,'caseload data'!$B:$B,{"licence","community"}))</f>
        <v>0</v>
      </c>
      <c r="O48" s="98">
        <f>SUM(SUMIFS('caseload data'!Q:Q,'caseload data'!$D:$D,"SPO",'caseload data'!$C:$C,'community caseload'!$B$43,'caseload data'!$B:$B,{"licence","community"}))</f>
        <v>0</v>
      </c>
      <c r="P48" s="98">
        <f>SUM(SUMIFS('caseload data'!R:R,'caseload data'!$D:$D,"SPO",'caseload data'!$C:$C,'community caseload'!$B$43,'caseload data'!$B:$B,{"licence","community"}))</f>
        <v>0</v>
      </c>
      <c r="Q48" s="98">
        <f>SUM(SUMIFS('caseload data'!S:S,'caseload data'!$D:$D,"SPO",'caseload data'!$C:$C,'community caseload'!$B$43,'caseload data'!$B:$B,{"licence","community"}))</f>
        <v>0</v>
      </c>
      <c r="R48" s="98">
        <f>SUM(SUMIFS('caseload data'!T:T,'caseload data'!$D:$D,"SPO",'caseload data'!$C:$C,'community caseload'!$B$43,'caseload data'!$B:$B,{"licence","community"}))</f>
        <v>0</v>
      </c>
      <c r="S48" s="68"/>
      <c r="T48" s="102" t="s">
        <v>1174</v>
      </c>
      <c r="U48" s="98">
        <f>SUM(SUMIFS('caseload data'!E:E,'caseload data'!$D:$D,"SPO",'caseload data'!$C:$C,'community caseload'!$T$43,'caseload data'!$B:$B,{"licence","community"}))</f>
        <v>0</v>
      </c>
      <c r="V48" s="98">
        <f>SUM(SUMIFS('caseload data'!F:F,'caseload data'!$D:$D,"SPO",'caseload data'!$C:$C,'community caseload'!$T$43,'caseload data'!$B:$B,{"licence","community"}))</f>
        <v>0</v>
      </c>
      <c r="W48" s="98">
        <f>SUM(SUMIFS('caseload data'!G:G,'caseload data'!$D:$D,"SPO",'caseload data'!$C:$C,'community caseload'!$T$43,'caseload data'!$B:$B,{"licence","community"}))</f>
        <v>0</v>
      </c>
      <c r="X48" s="98">
        <f>SUM(SUMIFS('caseload data'!H:H,'caseload data'!$D:$D,"SPO",'caseload data'!$C:$C,'community caseload'!$T$43,'caseload data'!$B:$B,{"licence","community"}))</f>
        <v>0</v>
      </c>
      <c r="Y48" s="98">
        <f>SUM(SUMIFS('caseload data'!I:I,'caseload data'!$D:$D,"SPO",'caseload data'!$C:$C,'community caseload'!$T$43,'caseload data'!$B:$B,{"licence","community"}))</f>
        <v>0</v>
      </c>
      <c r="Z48" s="98">
        <f>SUM(SUMIFS('caseload data'!J:J,'caseload data'!$D:$D,"SPO",'caseload data'!$C:$C,'community caseload'!$T$43,'caseload data'!$B:$B,{"licence","community"}))</f>
        <v>0</v>
      </c>
      <c r="AA48" s="98">
        <f>SUM(SUMIFS('caseload data'!K:K,'caseload data'!$D:$D,"SPO",'caseload data'!$C:$C,'community caseload'!$T$43,'caseload data'!$B:$B,{"licence","community"}))</f>
        <v>0</v>
      </c>
      <c r="AB48" s="98">
        <f>SUM(SUMIFS('caseload data'!L:L,'caseload data'!$D:$D,"SPO",'caseload data'!$C:$C,'community caseload'!$T$43,'caseload data'!$B:$B,{"licence","community"}))</f>
        <v>0</v>
      </c>
      <c r="AC48" s="98">
        <f>SUM(SUMIFS('caseload data'!M:M,'caseload data'!$D:$D,"SPO",'caseload data'!$C:$C,'community caseload'!$T$43,'caseload data'!$B:$B,{"licence","community"}))</f>
        <v>0</v>
      </c>
      <c r="AD48" s="98">
        <f>SUM(SUMIFS('caseload data'!N:N,'caseload data'!$D:$D,"SPO",'caseload data'!$C:$C,'community caseload'!$T$43,'caseload data'!$B:$B,{"licence","community"}))</f>
        <v>0</v>
      </c>
      <c r="AE48" s="98">
        <f>SUM(SUMIFS('caseload data'!O:O,'caseload data'!$D:$D,"SPO",'caseload data'!$C:$C,'community caseload'!$T$43,'caseload data'!$B:$B,{"licence","community"}))</f>
        <v>0</v>
      </c>
      <c r="AF48" s="98">
        <f>SUM(SUMIFS('caseload data'!P:P,'caseload data'!$D:$D,"SPO",'caseload data'!$C:$C,'community caseload'!$T$43,'caseload data'!$B:$B,{"licence","community"}))</f>
        <v>0</v>
      </c>
      <c r="AG48" s="98">
        <f>SUM(SUMIFS('caseload data'!Q:Q,'caseload data'!$D:$D,"SPO",'caseload data'!$C:$C,'community caseload'!$T$43,'caseload data'!$B:$B,{"licence","community"}))</f>
        <v>0</v>
      </c>
      <c r="AH48" s="98">
        <f>SUM(SUMIFS('caseload data'!R:R,'caseload data'!$D:$D,"SPO",'caseload data'!$C:$C,'community caseload'!$T$43,'caseload data'!$B:$B,{"licence","community"}))</f>
        <v>0</v>
      </c>
      <c r="AI48" s="98">
        <f>SUM(SUMIFS('caseload data'!S:S,'caseload data'!$D:$D,"SPO",'caseload data'!$C:$C,'community caseload'!$T$43,'caseload data'!$B:$B,{"licence","community"}))</f>
        <v>0</v>
      </c>
      <c r="AJ48" s="98">
        <f>SUM(SUMIFS('caseload data'!T:T,'caseload data'!$D:$D,"SPO",'caseload data'!$C:$C,'community caseload'!$T$43,'caseload data'!$B:$B,{"licence","community"}))</f>
        <v>0</v>
      </c>
    </row>
    <row r="49" spans="2:36" x14ac:dyDescent="0.15">
      <c r="B49" s="95"/>
      <c r="C49" s="68"/>
      <c r="D49" s="68"/>
      <c r="E49" s="68"/>
      <c r="F49" s="68"/>
      <c r="G49" s="68"/>
      <c r="H49" s="68"/>
      <c r="I49" s="68"/>
      <c r="J49" s="68"/>
      <c r="K49" s="68"/>
      <c r="L49" s="68"/>
      <c r="M49" s="68"/>
      <c r="N49" s="68"/>
      <c r="O49" s="68"/>
      <c r="P49" s="68"/>
      <c r="Q49" s="68"/>
      <c r="R49" s="68"/>
      <c r="S49" s="68"/>
      <c r="T49" s="95"/>
      <c r="U49" s="68"/>
      <c r="V49" s="68"/>
      <c r="W49" s="68"/>
      <c r="X49" s="68"/>
      <c r="Y49" s="68"/>
      <c r="Z49" s="68"/>
      <c r="AA49" s="68"/>
      <c r="AB49" s="68"/>
      <c r="AC49" s="68"/>
      <c r="AD49" s="68"/>
      <c r="AE49" s="68"/>
      <c r="AF49" s="68"/>
      <c r="AG49" s="68"/>
      <c r="AH49" s="68"/>
      <c r="AI49" s="68"/>
      <c r="AJ49" s="68"/>
    </row>
    <row r="50" spans="2:36" ht="27" customHeight="1" x14ac:dyDescent="0.15">
      <c r="B50" s="302" t="str">
        <f>HLOOKUP($B$5,Region_Table,14,0)</f>
        <v>Inactive Level 2(N07)</v>
      </c>
      <c r="C50" s="459" t="s">
        <v>1309</v>
      </c>
      <c r="D50" s="460"/>
      <c r="E50" s="460"/>
      <c r="F50" s="460"/>
      <c r="G50" s="460"/>
      <c r="H50" s="460"/>
      <c r="I50" s="460"/>
      <c r="J50" s="460"/>
      <c r="K50" s="460"/>
      <c r="L50" s="460"/>
      <c r="M50" s="489"/>
      <c r="N50" s="489"/>
      <c r="O50" s="490"/>
      <c r="P50" s="462" cm="1">
        <f t="array" ref="P50">SUM(SUMIFS('caseload data'!V:V,'caseload data'!B:B,{"licence","community"},'caseload data'!$C:$C,'community caseload'!B50))</f>
        <v>0</v>
      </c>
      <c r="Q50" s="479"/>
      <c r="R50" s="480"/>
      <c r="S50" s="305"/>
      <c r="T50" s="302" t="str">
        <f>HLOOKUP($B$5,Region_Table,15,0)</f>
        <v>Kingston, Richmond and Hounslow</v>
      </c>
      <c r="U50" s="459" t="s">
        <v>1309</v>
      </c>
      <c r="V50" s="460"/>
      <c r="W50" s="460"/>
      <c r="X50" s="460"/>
      <c r="Y50" s="460"/>
      <c r="Z50" s="460"/>
      <c r="AA50" s="460"/>
      <c r="AB50" s="460"/>
      <c r="AC50" s="460"/>
      <c r="AD50" s="460"/>
      <c r="AE50" s="489"/>
      <c r="AF50" s="489"/>
      <c r="AG50" s="490"/>
      <c r="AH50" s="462" cm="1">
        <f t="array" ref="AH50">SUM(SUMIFS('caseload data'!V:V,'caseload data'!B:B,{"licence","community"},'caseload data'!$C:$C,'community caseload'!T50))</f>
        <v>0</v>
      </c>
      <c r="AI50" s="479"/>
      <c r="AJ50" s="480"/>
    </row>
    <row r="51" spans="2:36" x14ac:dyDescent="0.15">
      <c r="B51" s="99" t="s">
        <v>1170</v>
      </c>
      <c r="C51" s="40" t="s">
        <v>1022</v>
      </c>
      <c r="D51" s="40" t="s">
        <v>1023</v>
      </c>
      <c r="E51" s="40" t="s">
        <v>1024</v>
      </c>
      <c r="F51" s="40" t="s">
        <v>1025</v>
      </c>
      <c r="G51" s="40" t="s">
        <v>1026</v>
      </c>
      <c r="H51" s="40" t="s">
        <v>1027</v>
      </c>
      <c r="I51" s="40" t="s">
        <v>1028</v>
      </c>
      <c r="J51" s="40" t="s">
        <v>1029</v>
      </c>
      <c r="K51" s="40" t="s">
        <v>1030</v>
      </c>
      <c r="L51" s="40" t="s">
        <v>1031</v>
      </c>
      <c r="M51" s="40" t="s">
        <v>1032</v>
      </c>
      <c r="N51" s="40" t="s">
        <v>1033</v>
      </c>
      <c r="O51" s="40" t="s">
        <v>1034</v>
      </c>
      <c r="P51" s="40" t="s">
        <v>1035</v>
      </c>
      <c r="Q51" s="40" t="s">
        <v>1036</v>
      </c>
      <c r="R51" s="40" t="s">
        <v>1037</v>
      </c>
      <c r="S51" s="68"/>
      <c r="T51" s="99" t="s">
        <v>1170</v>
      </c>
      <c r="U51" s="40" t="s">
        <v>1022</v>
      </c>
      <c r="V51" s="40" t="s">
        <v>1023</v>
      </c>
      <c r="W51" s="40" t="s">
        <v>1024</v>
      </c>
      <c r="X51" s="40" t="s">
        <v>1025</v>
      </c>
      <c r="Y51" s="40" t="s">
        <v>1026</v>
      </c>
      <c r="Z51" s="40" t="s">
        <v>1027</v>
      </c>
      <c r="AA51" s="40" t="s">
        <v>1028</v>
      </c>
      <c r="AB51" s="40" t="s">
        <v>1029</v>
      </c>
      <c r="AC51" s="40" t="s">
        <v>1030</v>
      </c>
      <c r="AD51" s="40" t="s">
        <v>1031</v>
      </c>
      <c r="AE51" s="40" t="s">
        <v>1032</v>
      </c>
      <c r="AF51" s="40" t="s">
        <v>1033</v>
      </c>
      <c r="AG51" s="40" t="s">
        <v>1034</v>
      </c>
      <c r="AH51" s="40" t="s">
        <v>1035</v>
      </c>
      <c r="AI51" s="40" t="s">
        <v>1036</v>
      </c>
      <c r="AJ51" s="40" t="s">
        <v>1037</v>
      </c>
    </row>
    <row r="52" spans="2:36" x14ac:dyDescent="0.15">
      <c r="B52" s="100" t="s">
        <v>1166</v>
      </c>
      <c r="C52" s="98">
        <f>SUM(SUMIFS('caseload data'!E:E,'caseload data'!$D:$D,"PO",'caseload data'!$C:$C,'community caseload'!$B$50,'caseload data'!$B:$B,{"licence","community"}))</f>
        <v>0</v>
      </c>
      <c r="D52" s="98">
        <f>SUM(SUMIFS('caseload data'!F:F,'caseload data'!$D:$D,"PO",'caseload data'!$C:$C,'community caseload'!$B$50,'caseload data'!$B:$B,{"licence","community"}))</f>
        <v>0</v>
      </c>
      <c r="E52" s="98">
        <f>SUM(SUMIFS('caseload data'!G:G,'caseload data'!$D:$D,"PO",'caseload data'!$C:$C,'community caseload'!$B$50,'caseload data'!$B:$B,{"licence","community"}))</f>
        <v>0</v>
      </c>
      <c r="F52" s="98">
        <f>SUM(SUMIFS('caseload data'!H:H,'caseload data'!$D:$D,"PO",'caseload data'!$C:$C,'community caseload'!$B$50,'caseload data'!$B:$B,{"licence","community"}))</f>
        <v>0</v>
      </c>
      <c r="G52" s="98">
        <f>SUM(SUMIFS('caseload data'!I:I,'caseload data'!$D:$D,"PO",'caseload data'!$C:$C,'community caseload'!$B$50,'caseload data'!$B:$B,{"licence","community"}))</f>
        <v>0</v>
      </c>
      <c r="H52" s="98">
        <f>SUM(SUMIFS('caseload data'!J:J,'caseload data'!$D:$D,"PO",'caseload data'!$C:$C,'community caseload'!$B$50,'caseload data'!$B:$B,{"licence","community"}))</f>
        <v>0</v>
      </c>
      <c r="I52" s="98">
        <f>SUM(SUMIFS('caseload data'!K:K,'caseload data'!$D:$D,"PO",'caseload data'!$C:$C,'community caseload'!$B$50,'caseload data'!$B:$B,{"licence","community"}))</f>
        <v>0</v>
      </c>
      <c r="J52" s="98">
        <f>SUM(SUMIFS('caseload data'!L:L,'caseload data'!$D:$D,"PO",'caseload data'!$C:$C,'community caseload'!$B$50,'caseload data'!$B:$B,{"licence","community"}))</f>
        <v>0</v>
      </c>
      <c r="K52" s="98">
        <f>SUM(SUMIFS('caseload data'!M:M,'caseload data'!$D:$D,"PO",'caseload data'!$C:$C,'community caseload'!$B$50,'caseload data'!$B:$B,{"licence","community"}))</f>
        <v>0</v>
      </c>
      <c r="L52" s="98">
        <f>SUM(SUMIFS('caseload data'!N:N,'caseload data'!$D:$D,"PO",'caseload data'!$C:$C,'community caseload'!$B$50,'caseload data'!$B:$B,{"licence","community"}))</f>
        <v>0</v>
      </c>
      <c r="M52" s="98">
        <f>SUM(SUMIFS('caseload data'!O:O,'caseload data'!$D:$D,"PO",'caseload data'!$C:$C,'community caseload'!$B$50,'caseload data'!$B:$B,{"licence","community"}))</f>
        <v>0</v>
      </c>
      <c r="N52" s="98">
        <f>SUM(SUMIFS('caseload data'!P:P,'caseload data'!$D:$D,"PO",'caseload data'!$C:$C,'community caseload'!$B$50,'caseload data'!$B:$B,{"licence","community"}))</f>
        <v>0</v>
      </c>
      <c r="O52" s="98">
        <f>SUM(SUMIFS('caseload data'!Q:Q,'caseload data'!$D:$D,"PO",'caseload data'!$C:$C,'community caseload'!$B$50,'caseload data'!$B:$B,{"licence","community"}))</f>
        <v>0</v>
      </c>
      <c r="P52" s="98">
        <f>SUM(SUMIFS('caseload data'!R:R,'caseload data'!$D:$D,"PO",'caseload data'!$C:$C,'community caseload'!$B$50,'caseload data'!$B:$B,{"licence","community"}))</f>
        <v>0</v>
      </c>
      <c r="Q52" s="98">
        <f>SUM(SUMIFS('caseload data'!S:S,'caseload data'!$D:$D,"PO",'caseload data'!$C:$C,'community caseload'!$B$50,'caseload data'!$B:$B,{"licence","community"}))</f>
        <v>0</v>
      </c>
      <c r="R52" s="98">
        <f>SUM(SUMIFS('caseload data'!T:T,'caseload data'!$D:$D,"PO",'caseload data'!$C:$C,'community caseload'!$B$50,'caseload data'!$B:$B,{"licence","community"}))</f>
        <v>0</v>
      </c>
      <c r="S52" s="68"/>
      <c r="T52" s="100" t="s">
        <v>1166</v>
      </c>
      <c r="U52" s="98">
        <f>SUM(SUMIFS('caseload data'!E:E,'caseload data'!$D:$D,"PO",'caseload data'!$C:$C,'community caseload'!$T$50,'caseload data'!$B:$B,{"licence","community"}))</f>
        <v>0</v>
      </c>
      <c r="V52" s="98">
        <f>SUM(SUMIFS('caseload data'!F:F,'caseload data'!$D:$D,"PO",'caseload data'!$C:$C,'community caseload'!$T$50,'caseload data'!$B:$B,{"licence","community"}))</f>
        <v>0</v>
      </c>
      <c r="W52" s="98">
        <f>SUM(SUMIFS('caseload data'!G:G,'caseload data'!$D:$D,"PO",'caseload data'!$C:$C,'community caseload'!$T$50,'caseload data'!$B:$B,{"licence","community"}))</f>
        <v>0</v>
      </c>
      <c r="X52" s="98">
        <f>SUM(SUMIFS('caseload data'!H:H,'caseload data'!$D:$D,"PO",'caseload data'!$C:$C,'community caseload'!$T$50,'caseload data'!$B:$B,{"licence","community"}))</f>
        <v>0</v>
      </c>
      <c r="Y52" s="98">
        <f>SUM(SUMIFS('caseload data'!I:I,'caseload data'!$D:$D,"PO",'caseload data'!$C:$C,'community caseload'!$T$50,'caseload data'!$B:$B,{"licence","community"}))</f>
        <v>0</v>
      </c>
      <c r="Z52" s="98">
        <f>SUM(SUMIFS('caseload data'!J:J,'caseload data'!$D:$D,"PO",'caseload data'!$C:$C,'community caseload'!$T$50,'caseload data'!$B:$B,{"licence","community"}))</f>
        <v>0</v>
      </c>
      <c r="AA52" s="98">
        <f>SUM(SUMIFS('caseload data'!K:K,'caseload data'!$D:$D,"PO",'caseload data'!$C:$C,'community caseload'!$T$50,'caseload data'!$B:$B,{"licence","community"}))</f>
        <v>0</v>
      </c>
      <c r="AB52" s="98">
        <f>SUM(SUMIFS('caseload data'!L:L,'caseload data'!$D:$D,"PO",'caseload data'!$C:$C,'community caseload'!$T$50,'caseload data'!$B:$B,{"licence","community"}))</f>
        <v>0</v>
      </c>
      <c r="AC52" s="98">
        <f>SUM(SUMIFS('caseload data'!M:M,'caseload data'!$D:$D,"PO",'caseload data'!$C:$C,'community caseload'!$T$50,'caseload data'!$B:$B,{"licence","community"}))</f>
        <v>0</v>
      </c>
      <c r="AD52" s="98">
        <f>SUM(SUMIFS('caseload data'!N:N,'caseload data'!$D:$D,"PO",'caseload data'!$C:$C,'community caseload'!$T$50,'caseload data'!$B:$B,{"licence","community"}))</f>
        <v>0</v>
      </c>
      <c r="AE52" s="98">
        <f>SUM(SUMIFS('caseload data'!O:O,'caseload data'!$D:$D,"PO",'caseload data'!$C:$C,'community caseload'!$T$50,'caseload data'!$B:$B,{"licence","community"}))</f>
        <v>0</v>
      </c>
      <c r="AF52" s="98">
        <f>SUM(SUMIFS('caseload data'!P:P,'caseload data'!$D:$D,"PO",'caseload data'!$C:$C,'community caseload'!$T$50,'caseload data'!$B:$B,{"licence","community"}))</f>
        <v>0</v>
      </c>
      <c r="AG52" s="98">
        <f>SUM(SUMIFS('caseload data'!Q:Q,'caseload data'!$D:$D,"PO",'caseload data'!$C:$C,'community caseload'!$T$50,'caseload data'!$B:$B,{"licence","community"}))</f>
        <v>0</v>
      </c>
      <c r="AH52" s="98">
        <f>SUM(SUMIFS('caseload data'!R:R,'caseload data'!$D:$D,"PO",'caseload data'!$C:$C,'community caseload'!$T$50,'caseload data'!$B:$B,{"licence","community"}))</f>
        <v>0</v>
      </c>
      <c r="AI52" s="98">
        <f>SUM(SUMIFS('caseload data'!S:S,'caseload data'!$D:$D,"PO",'caseload data'!$C:$C,'community caseload'!$T$50,'caseload data'!$B:$B,{"licence","community"}))</f>
        <v>0</v>
      </c>
      <c r="AJ52" s="98">
        <f>SUM(SUMIFS('caseload data'!T:T,'caseload data'!$D:$D,"PO",'caseload data'!$C:$C,'community caseload'!$T$50,'caseload data'!$B:$B,{"licence","community"}))</f>
        <v>0</v>
      </c>
    </row>
    <row r="53" spans="2:36" x14ac:dyDescent="0.15">
      <c r="B53" s="101" t="s">
        <v>1172</v>
      </c>
      <c r="C53" s="98">
        <f>SUM(SUMIFS('caseload data'!E:E,'caseload data'!$D:$D,"PSO",'caseload data'!$C:$C,'community caseload'!$B$50,'caseload data'!$B:$B,{"licence","community"}))</f>
        <v>0</v>
      </c>
      <c r="D53" s="98">
        <f>SUM(SUMIFS('caseload data'!F:F,'caseload data'!$D:$D,"PSO",'caseload data'!$C:$C,'community caseload'!$B$50,'caseload data'!$B:$B,{"licence","community"}))</f>
        <v>0</v>
      </c>
      <c r="E53" s="98">
        <f>SUM(SUMIFS('caseload data'!G:G,'caseload data'!$D:$D,"PSO",'caseload data'!$C:$C,'community caseload'!$B$50,'caseload data'!$B:$B,{"licence","community"}))</f>
        <v>0</v>
      </c>
      <c r="F53" s="98">
        <f>SUM(SUMIFS('caseload data'!H:H,'caseload data'!$D:$D,"PSO",'caseload data'!$C:$C,'community caseload'!$B$50,'caseload data'!$B:$B,{"licence","community"}))</f>
        <v>0</v>
      </c>
      <c r="G53" s="98">
        <f>SUM(SUMIFS('caseload data'!I:I,'caseload data'!$D:$D,"PSO",'caseload data'!$C:$C,'community caseload'!$B$50,'caseload data'!$B:$B,{"licence","community"}))</f>
        <v>0</v>
      </c>
      <c r="H53" s="98">
        <f>SUM(SUMIFS('caseload data'!J:J,'caseload data'!$D:$D,"PSO",'caseload data'!$C:$C,'community caseload'!$B$50,'caseload data'!$B:$B,{"licence","community"}))</f>
        <v>0</v>
      </c>
      <c r="I53" s="98">
        <f>SUM(SUMIFS('caseload data'!K:K,'caseload data'!$D:$D,"PSO",'caseload data'!$C:$C,'community caseload'!$B$50,'caseload data'!$B:$B,{"licence","community"}))</f>
        <v>0</v>
      </c>
      <c r="J53" s="98">
        <f>SUM(SUMIFS('caseload data'!L:L,'caseload data'!$D:$D,"PSO",'caseload data'!$C:$C,'community caseload'!$B$50,'caseload data'!$B:$B,{"licence","community"}))</f>
        <v>0</v>
      </c>
      <c r="K53" s="98">
        <f>SUM(SUMIFS('caseload data'!M:M,'caseload data'!$D:$D,"PSO",'caseload data'!$C:$C,'community caseload'!$B$50,'caseload data'!$B:$B,{"licence","community"}))</f>
        <v>0</v>
      </c>
      <c r="L53" s="98">
        <f>SUM(SUMIFS('caseload data'!N:N,'caseload data'!$D:$D,"PSO",'caseload data'!$C:$C,'community caseload'!$B$50,'caseload data'!$B:$B,{"licence","community"}))</f>
        <v>0</v>
      </c>
      <c r="M53" s="98">
        <f>SUM(SUMIFS('caseload data'!O:O,'caseload data'!$D:$D,"PSO",'caseload data'!$C:$C,'community caseload'!$B$50,'caseload data'!$B:$B,{"licence","community"}))</f>
        <v>0</v>
      </c>
      <c r="N53" s="98">
        <f>SUM(SUMIFS('caseload data'!P:P,'caseload data'!$D:$D,"PSO",'caseload data'!$C:$C,'community caseload'!$B$50,'caseload data'!$B:$B,{"licence","community"}))</f>
        <v>0</v>
      </c>
      <c r="O53" s="98">
        <f>SUM(SUMIFS('caseload data'!Q:Q,'caseload data'!$D:$D,"PSO",'caseload data'!$C:$C,'community caseload'!$B$50,'caseload data'!$B:$B,{"licence","community"}))</f>
        <v>0</v>
      </c>
      <c r="P53" s="98">
        <f>SUM(SUMIFS('caseload data'!R:R,'caseload data'!$D:$D,"PSO",'caseload data'!$C:$C,'community caseload'!$B$50,'caseload data'!$B:$B,{"licence","community"}))</f>
        <v>0</v>
      </c>
      <c r="Q53" s="98">
        <f>SUM(SUMIFS('caseload data'!S:S,'caseload data'!$D:$D,"PSO",'caseload data'!$C:$C,'community caseload'!$B$50,'caseload data'!$B:$B,{"licence","community"}))</f>
        <v>0</v>
      </c>
      <c r="R53" s="98">
        <f>SUM(SUMIFS('caseload data'!T:T,'caseload data'!$D:$D,"PSO",'caseload data'!$C:$C,'community caseload'!$B$50,'caseload data'!$B:$B,{"licence","community"}))</f>
        <v>0</v>
      </c>
      <c r="S53" s="68"/>
      <c r="T53" s="101" t="s">
        <v>1172</v>
      </c>
      <c r="U53" s="98">
        <f>SUM(SUMIFS('caseload data'!E:E,'caseload data'!$D:$D,"PSO",'caseload data'!$C:$C,'community caseload'!$T$50,'caseload data'!$B:$B,{"licence","community"}))</f>
        <v>0</v>
      </c>
      <c r="V53" s="98">
        <f>SUM(SUMIFS('caseload data'!F:F,'caseload data'!$D:$D,"PSO",'caseload data'!$C:$C,'community caseload'!$T$50,'caseload data'!$B:$B,{"licence","community"}))</f>
        <v>0</v>
      </c>
      <c r="W53" s="98">
        <f>SUM(SUMIFS('caseload data'!G:G,'caseload data'!$D:$D,"PSO",'caseload data'!$C:$C,'community caseload'!$T$50,'caseload data'!$B:$B,{"licence","community"}))</f>
        <v>0</v>
      </c>
      <c r="X53" s="98">
        <f>SUM(SUMIFS('caseload data'!H:H,'caseload data'!$D:$D,"PSO",'caseload data'!$C:$C,'community caseload'!$T$50,'caseload data'!$B:$B,{"licence","community"}))</f>
        <v>0</v>
      </c>
      <c r="Y53" s="98">
        <f>SUM(SUMIFS('caseload data'!I:I,'caseload data'!$D:$D,"PSO",'caseload data'!$C:$C,'community caseload'!$T$50,'caseload data'!$B:$B,{"licence","community"}))</f>
        <v>0</v>
      </c>
      <c r="Z53" s="98">
        <f>SUM(SUMIFS('caseload data'!J:J,'caseload data'!$D:$D,"PSO",'caseload data'!$C:$C,'community caseload'!$T$50,'caseload data'!$B:$B,{"licence","community"}))</f>
        <v>0</v>
      </c>
      <c r="AA53" s="98">
        <f>SUM(SUMIFS('caseload data'!K:K,'caseload data'!$D:$D,"PSO",'caseload data'!$C:$C,'community caseload'!$T$50,'caseload data'!$B:$B,{"licence","community"}))</f>
        <v>0</v>
      </c>
      <c r="AB53" s="98">
        <f>SUM(SUMIFS('caseload data'!L:L,'caseload data'!$D:$D,"PSO",'caseload data'!$C:$C,'community caseload'!$T$50,'caseload data'!$B:$B,{"licence","community"}))</f>
        <v>0</v>
      </c>
      <c r="AC53" s="98">
        <f>SUM(SUMIFS('caseload data'!M:M,'caseload data'!$D:$D,"PSO",'caseload data'!$C:$C,'community caseload'!$T$50,'caseload data'!$B:$B,{"licence","community"}))</f>
        <v>0</v>
      </c>
      <c r="AD53" s="98">
        <f>SUM(SUMIFS('caseload data'!N:N,'caseload data'!$D:$D,"PSO",'caseload data'!$C:$C,'community caseload'!$T$50,'caseload data'!$B:$B,{"licence","community"}))</f>
        <v>0</v>
      </c>
      <c r="AE53" s="98">
        <f>SUM(SUMIFS('caseload data'!O:O,'caseload data'!$D:$D,"PSO",'caseload data'!$C:$C,'community caseload'!$T$50,'caseload data'!$B:$B,{"licence","community"}))</f>
        <v>0</v>
      </c>
      <c r="AF53" s="98">
        <f>SUM(SUMIFS('caseload data'!P:P,'caseload data'!$D:$D,"PSO",'caseload data'!$C:$C,'community caseload'!$T$50,'caseload data'!$B:$B,{"licence","community"}))</f>
        <v>0</v>
      </c>
      <c r="AG53" s="98">
        <f>SUM(SUMIFS('caseload data'!Q:Q,'caseload data'!$D:$D,"PSO",'caseload data'!$C:$C,'community caseload'!$T$50,'caseload data'!$B:$B,{"licence","community"}))</f>
        <v>0</v>
      </c>
      <c r="AH53" s="98">
        <f>SUM(SUMIFS('caseload data'!R:R,'caseload data'!$D:$D,"PSO",'caseload data'!$C:$C,'community caseload'!$T$50,'caseload data'!$B:$B,{"licence","community"}))</f>
        <v>0</v>
      </c>
      <c r="AI53" s="98">
        <f>SUM(SUMIFS('caseload data'!S:S,'caseload data'!$D:$D,"PSO",'caseload data'!$C:$C,'community caseload'!$T$50,'caseload data'!$B:$B,{"licence","community"}))</f>
        <v>0</v>
      </c>
      <c r="AJ53" s="98">
        <f>SUM(SUMIFS('caseload data'!T:T,'caseload data'!$D:$D,"PSO",'caseload data'!$C:$C,'community caseload'!$T$50,'caseload data'!$B:$B,{"licence","community"}))</f>
        <v>0</v>
      </c>
    </row>
    <row r="54" spans="2:36" x14ac:dyDescent="0.15">
      <c r="B54" s="101" t="s">
        <v>1173</v>
      </c>
      <c r="C54" s="98">
        <f>SUM(SUMIFS('caseload data'!E:E,'caseload data'!$D:$D,"TPO",'caseload data'!$C:$C,'community caseload'!$B$50,'caseload data'!$B:$B,{"licence","community"}))</f>
        <v>0</v>
      </c>
      <c r="D54" s="98">
        <f>SUM(SUMIFS('caseload data'!F:F,'caseload data'!$D:$D,"TPO",'caseload data'!$C:$C,'community caseload'!$B$50,'caseload data'!$B:$B,{"licence","community"}))</f>
        <v>0</v>
      </c>
      <c r="E54" s="98">
        <f>SUM(SUMIFS('caseload data'!G:G,'caseload data'!$D:$D,"TPO",'caseload data'!$C:$C,'community caseload'!$B$50,'caseload data'!$B:$B,{"licence","community"}))</f>
        <v>0</v>
      </c>
      <c r="F54" s="98">
        <f>SUM(SUMIFS('caseload data'!H:H,'caseload data'!$D:$D,"TPO",'caseload data'!$C:$C,'community caseload'!$B$50,'caseload data'!$B:$B,{"licence","community"}))</f>
        <v>0</v>
      </c>
      <c r="G54" s="98">
        <f>SUM(SUMIFS('caseload data'!I:I,'caseload data'!$D:$D,"TPO",'caseload data'!$C:$C,'community caseload'!$B$50,'caseload data'!$B:$B,{"licence","community"}))</f>
        <v>0</v>
      </c>
      <c r="H54" s="98">
        <f>SUM(SUMIFS('caseload data'!J:J,'caseload data'!$D:$D,"TPO",'caseload data'!$C:$C,'community caseload'!$B$50,'caseload data'!$B:$B,{"licence","community"}))</f>
        <v>0</v>
      </c>
      <c r="I54" s="98">
        <f>SUM(SUMIFS('caseload data'!K:K,'caseload data'!$D:$D,"TPO",'caseload data'!$C:$C,'community caseload'!$B$50,'caseload data'!$B:$B,{"licence","community"}))</f>
        <v>0</v>
      </c>
      <c r="J54" s="98">
        <f>SUM(SUMIFS('caseload data'!L:L,'caseload data'!$D:$D,"TPO",'caseload data'!$C:$C,'community caseload'!$B$50,'caseload data'!$B:$B,{"licence","community"}))</f>
        <v>0</v>
      </c>
      <c r="K54" s="98">
        <f>SUM(SUMIFS('caseload data'!M:M,'caseload data'!$D:$D,"TPO",'caseload data'!$C:$C,'community caseload'!$B$50,'caseload data'!$B:$B,{"licence","community"}))</f>
        <v>0</v>
      </c>
      <c r="L54" s="98">
        <f>SUM(SUMIFS('caseload data'!N:N,'caseload data'!$D:$D,"TPO",'caseload data'!$C:$C,'community caseload'!$B$50,'caseload data'!$B:$B,{"licence","community"}))</f>
        <v>0</v>
      </c>
      <c r="M54" s="98">
        <f>SUM(SUMIFS('caseload data'!O:O,'caseload data'!$D:$D,"TPO",'caseload data'!$C:$C,'community caseload'!$B$50,'caseload data'!$B:$B,{"licence","community"}))</f>
        <v>0</v>
      </c>
      <c r="N54" s="98">
        <f>SUM(SUMIFS('caseload data'!P:P,'caseload data'!$D:$D,"TPO",'caseload data'!$C:$C,'community caseload'!$B$50,'caseload data'!$B:$B,{"licence","community"}))</f>
        <v>0</v>
      </c>
      <c r="O54" s="98">
        <f>SUM(SUMIFS('caseload data'!Q:Q,'caseload data'!$D:$D,"TPO",'caseload data'!$C:$C,'community caseload'!$B$50,'caseload data'!$B:$B,{"licence","community"}))</f>
        <v>0</v>
      </c>
      <c r="P54" s="98">
        <f>SUM(SUMIFS('caseload data'!R:R,'caseload data'!$D:$D,"TPO",'caseload data'!$C:$C,'community caseload'!$B$50,'caseload data'!$B:$B,{"licence","community"}))</f>
        <v>0</v>
      </c>
      <c r="Q54" s="98">
        <f>SUM(SUMIFS('caseload data'!S:S,'caseload data'!$D:$D,"TPO",'caseload data'!$C:$C,'community caseload'!$B$50,'caseload data'!$B:$B,{"licence","community"}))</f>
        <v>0</v>
      </c>
      <c r="R54" s="98">
        <f>SUM(SUMIFS('caseload data'!T:T,'caseload data'!$D:$D,"TPO",'caseload data'!$C:$C,'community caseload'!$B$50,'caseload data'!$B:$B,{"licence","community"}))</f>
        <v>0</v>
      </c>
      <c r="S54" s="68"/>
      <c r="T54" s="101" t="s">
        <v>1173</v>
      </c>
      <c r="U54" s="98">
        <f>SUM(SUMIFS('caseload data'!E:E,'caseload data'!$D:$D,"TPO",'caseload data'!$C:$C,'community caseload'!$T$50,'caseload data'!$B:$B,{"licence","community"}))</f>
        <v>0</v>
      </c>
      <c r="V54" s="98">
        <f>SUM(SUMIFS('caseload data'!F:F,'caseload data'!$D:$D,"TPO",'caseload data'!$C:$C,'community caseload'!$T$50,'caseload data'!$B:$B,{"licence","community"}))</f>
        <v>0</v>
      </c>
      <c r="W54" s="98">
        <f>SUM(SUMIFS('caseload data'!G:G,'caseload data'!$D:$D,"TPO",'caseload data'!$C:$C,'community caseload'!$T$50,'caseload data'!$B:$B,{"licence","community"}))</f>
        <v>0</v>
      </c>
      <c r="X54" s="98">
        <f>SUM(SUMIFS('caseload data'!H:H,'caseload data'!$D:$D,"TPO",'caseload data'!$C:$C,'community caseload'!$T$50,'caseload data'!$B:$B,{"licence","community"}))</f>
        <v>0</v>
      </c>
      <c r="Y54" s="98">
        <f>SUM(SUMIFS('caseload data'!I:I,'caseload data'!$D:$D,"TPO",'caseload data'!$C:$C,'community caseload'!$T$50,'caseload data'!$B:$B,{"licence","community"}))</f>
        <v>0</v>
      </c>
      <c r="Z54" s="98">
        <f>SUM(SUMIFS('caseload data'!J:J,'caseload data'!$D:$D,"TPO",'caseload data'!$C:$C,'community caseload'!$T$50,'caseload data'!$B:$B,{"licence","community"}))</f>
        <v>0</v>
      </c>
      <c r="AA54" s="98">
        <f>SUM(SUMIFS('caseload data'!K:K,'caseload data'!$D:$D,"TPO",'caseload data'!$C:$C,'community caseload'!$T$50,'caseload data'!$B:$B,{"licence","community"}))</f>
        <v>0</v>
      </c>
      <c r="AB54" s="98">
        <f>SUM(SUMIFS('caseload data'!L:L,'caseload data'!$D:$D,"TPO",'caseload data'!$C:$C,'community caseload'!$T$50,'caseload data'!$B:$B,{"licence","community"}))</f>
        <v>0</v>
      </c>
      <c r="AC54" s="98">
        <f>SUM(SUMIFS('caseload data'!M:M,'caseload data'!$D:$D,"TPO",'caseload data'!$C:$C,'community caseload'!$T$50,'caseload data'!$B:$B,{"licence","community"}))</f>
        <v>0</v>
      </c>
      <c r="AD54" s="98">
        <f>SUM(SUMIFS('caseload data'!N:N,'caseload data'!$D:$D,"TPO",'caseload data'!$C:$C,'community caseload'!$T$50,'caseload data'!$B:$B,{"licence","community"}))</f>
        <v>0</v>
      </c>
      <c r="AE54" s="98">
        <f>SUM(SUMIFS('caseload data'!O:O,'caseload data'!$D:$D,"TPO",'caseload data'!$C:$C,'community caseload'!$T$50,'caseload data'!$B:$B,{"licence","community"}))</f>
        <v>0</v>
      </c>
      <c r="AF54" s="98">
        <f>SUM(SUMIFS('caseload data'!P:P,'caseload data'!$D:$D,"TPO",'caseload data'!$C:$C,'community caseload'!$T$50,'caseload data'!$B:$B,{"licence","community"}))</f>
        <v>0</v>
      </c>
      <c r="AG54" s="98">
        <f>SUM(SUMIFS('caseload data'!Q:Q,'caseload data'!$D:$D,"TPO",'caseload data'!$C:$C,'community caseload'!$T$50,'caseload data'!$B:$B,{"licence","community"}))</f>
        <v>0</v>
      </c>
      <c r="AH54" s="98">
        <f>SUM(SUMIFS('caseload data'!R:R,'caseload data'!$D:$D,"TPO",'caseload data'!$C:$C,'community caseload'!$T$50,'caseload data'!$B:$B,{"licence","community"}))</f>
        <v>0</v>
      </c>
      <c r="AI54" s="98">
        <f>SUM(SUMIFS('caseload data'!S:S,'caseload data'!$D:$D,"TPO",'caseload data'!$C:$C,'community caseload'!$T$50,'caseload data'!$B:$B,{"licence","community"}))</f>
        <v>0</v>
      </c>
      <c r="AJ54" s="98">
        <f>SUM(SUMIFS('caseload data'!T:T,'caseload data'!$D:$D,"TPO",'caseload data'!$C:$C,'community caseload'!$T$50,'caseload data'!$B:$B,{"licence","community"}))</f>
        <v>0</v>
      </c>
    </row>
    <row r="55" spans="2:36" x14ac:dyDescent="0.15">
      <c r="B55" s="102" t="s">
        <v>1174</v>
      </c>
      <c r="C55" s="98">
        <f>SUM(SUMIFS('caseload data'!E:E,'caseload data'!$D:$D,"SPO",'caseload data'!$C:$C,'community caseload'!$B$50,'caseload data'!$B:$B,{"licence","community"}))</f>
        <v>0</v>
      </c>
      <c r="D55" s="98">
        <f>SUM(SUMIFS('caseload data'!F:F,'caseload data'!$D:$D,"SPO",'caseload data'!$C:$C,'community caseload'!$B$50,'caseload data'!$B:$B,{"licence","community"}))</f>
        <v>0</v>
      </c>
      <c r="E55" s="98">
        <f>SUM(SUMIFS('caseload data'!G:G,'caseload data'!$D:$D,"SPO",'caseload data'!$C:$C,'community caseload'!$B$50,'caseload data'!$B:$B,{"licence","community"}))</f>
        <v>0</v>
      </c>
      <c r="F55" s="98">
        <f>SUM(SUMIFS('caseload data'!H:H,'caseload data'!$D:$D,"SPO",'caseload data'!$C:$C,'community caseload'!$B$50,'caseload data'!$B:$B,{"licence","community"}))</f>
        <v>0</v>
      </c>
      <c r="G55" s="98">
        <f>SUM(SUMIFS('caseload data'!I:I,'caseload data'!$D:$D,"SPO",'caseload data'!$C:$C,'community caseload'!$B$50,'caseload data'!$B:$B,{"licence","community"}))</f>
        <v>0</v>
      </c>
      <c r="H55" s="98">
        <f>SUM(SUMIFS('caseload data'!J:J,'caseload data'!$D:$D,"SPO",'caseload data'!$C:$C,'community caseload'!$B$50,'caseload data'!$B:$B,{"licence","community"}))</f>
        <v>0</v>
      </c>
      <c r="I55" s="98">
        <f>SUM(SUMIFS('caseload data'!K:K,'caseload data'!$D:$D,"SPO",'caseload data'!$C:$C,'community caseload'!$B$50,'caseload data'!$B:$B,{"licence","community"}))</f>
        <v>0</v>
      </c>
      <c r="J55" s="98">
        <f>SUM(SUMIFS('caseload data'!L:L,'caseload data'!$D:$D,"SPO",'caseload data'!$C:$C,'community caseload'!$B$50,'caseload data'!$B:$B,{"licence","community"}))</f>
        <v>0</v>
      </c>
      <c r="K55" s="98">
        <f>SUM(SUMIFS('caseload data'!M:M,'caseload data'!$D:$D,"SPO",'caseload data'!$C:$C,'community caseload'!$B$50,'caseload data'!$B:$B,{"licence","community"}))</f>
        <v>0</v>
      </c>
      <c r="L55" s="98">
        <f>SUM(SUMIFS('caseload data'!N:N,'caseload data'!$D:$D,"SPO",'caseload data'!$C:$C,'community caseload'!$B$50,'caseload data'!$B:$B,{"licence","community"}))</f>
        <v>0</v>
      </c>
      <c r="M55" s="98">
        <f>SUM(SUMIFS('caseload data'!O:O,'caseload data'!$D:$D,"SPO",'caseload data'!$C:$C,'community caseload'!$B$50,'caseload data'!$B:$B,{"licence","community"}))</f>
        <v>0</v>
      </c>
      <c r="N55" s="98">
        <f>SUM(SUMIFS('caseload data'!P:P,'caseload data'!$D:$D,"SPO",'caseload data'!$C:$C,'community caseload'!$B$50,'caseload data'!$B:$B,{"licence","community"}))</f>
        <v>0</v>
      </c>
      <c r="O55" s="98">
        <f>SUM(SUMIFS('caseload data'!Q:Q,'caseload data'!$D:$D,"SPO",'caseload data'!$C:$C,'community caseload'!$B$50,'caseload data'!$B:$B,{"licence","community"}))</f>
        <v>0</v>
      </c>
      <c r="P55" s="98">
        <f>SUM(SUMIFS('caseload data'!R:R,'caseload data'!$D:$D,"SPO",'caseload data'!$C:$C,'community caseload'!$B$50,'caseload data'!$B:$B,{"licence","community"}))</f>
        <v>0</v>
      </c>
      <c r="Q55" s="98">
        <f>SUM(SUMIFS('caseload data'!S:S,'caseload data'!$D:$D,"SPO",'caseload data'!$C:$C,'community caseload'!$B$50,'caseload data'!$B:$B,{"licence","community"}))</f>
        <v>0</v>
      </c>
      <c r="R55" s="98">
        <f>SUM(SUMIFS('caseload data'!T:T,'caseload data'!$D:$D,"SPO",'caseload data'!$C:$C,'community caseload'!$B$50,'caseload data'!$B:$B,{"licence","community"}))</f>
        <v>0</v>
      </c>
      <c r="S55" s="68"/>
      <c r="T55" s="102" t="s">
        <v>1174</v>
      </c>
      <c r="U55" s="98">
        <f>SUM(SUMIFS('caseload data'!E:E,'caseload data'!$D:$D,"SPO",'caseload data'!$C:$C,'community caseload'!$T$50,'caseload data'!$B:$B,{"licence","community"}))</f>
        <v>0</v>
      </c>
      <c r="V55" s="98">
        <f>SUM(SUMIFS('caseload data'!F:F,'caseload data'!$D:$D,"SPO",'caseload data'!$C:$C,'community caseload'!$T$50,'caseload data'!$B:$B,{"licence","community"}))</f>
        <v>0</v>
      </c>
      <c r="W55" s="98">
        <f>SUM(SUMIFS('caseload data'!G:G,'caseload data'!$D:$D,"SPO",'caseload data'!$C:$C,'community caseload'!$T$50,'caseload data'!$B:$B,{"licence","community"}))</f>
        <v>0</v>
      </c>
      <c r="X55" s="98">
        <f>SUM(SUMIFS('caseload data'!H:H,'caseload data'!$D:$D,"SPO",'caseload data'!$C:$C,'community caseload'!$T$50,'caseload data'!$B:$B,{"licence","community"}))</f>
        <v>0</v>
      </c>
      <c r="Y55" s="98">
        <f>SUM(SUMIFS('caseload data'!I:I,'caseload data'!$D:$D,"SPO",'caseload data'!$C:$C,'community caseload'!$T$50,'caseload data'!$B:$B,{"licence","community"}))</f>
        <v>0</v>
      </c>
      <c r="Z55" s="98">
        <f>SUM(SUMIFS('caseload data'!J:J,'caseload data'!$D:$D,"SPO",'caseload data'!$C:$C,'community caseload'!$T$50,'caseload data'!$B:$B,{"licence","community"}))</f>
        <v>0</v>
      </c>
      <c r="AA55" s="98">
        <f>SUM(SUMIFS('caseload data'!K:K,'caseload data'!$D:$D,"SPO",'caseload data'!$C:$C,'community caseload'!$T$50,'caseload data'!$B:$B,{"licence","community"}))</f>
        <v>0</v>
      </c>
      <c r="AB55" s="98">
        <f>SUM(SUMIFS('caseload data'!L:L,'caseload data'!$D:$D,"SPO",'caseload data'!$C:$C,'community caseload'!$T$50,'caseload data'!$B:$B,{"licence","community"}))</f>
        <v>0</v>
      </c>
      <c r="AC55" s="98">
        <f>SUM(SUMIFS('caseload data'!M:M,'caseload data'!$D:$D,"SPO",'caseload data'!$C:$C,'community caseload'!$T$50,'caseload data'!$B:$B,{"licence","community"}))</f>
        <v>0</v>
      </c>
      <c r="AD55" s="98">
        <f>SUM(SUMIFS('caseload data'!N:N,'caseload data'!$D:$D,"SPO",'caseload data'!$C:$C,'community caseload'!$T$50,'caseload data'!$B:$B,{"licence","community"}))</f>
        <v>0</v>
      </c>
      <c r="AE55" s="98">
        <f>SUM(SUMIFS('caseload data'!O:O,'caseload data'!$D:$D,"SPO",'caseload data'!$C:$C,'community caseload'!$T$50,'caseload data'!$B:$B,{"licence","community"}))</f>
        <v>0</v>
      </c>
      <c r="AF55" s="98">
        <f>SUM(SUMIFS('caseload data'!P:P,'caseload data'!$D:$D,"SPO",'caseload data'!$C:$C,'community caseload'!$T$50,'caseload data'!$B:$B,{"licence","community"}))</f>
        <v>0</v>
      </c>
      <c r="AG55" s="98">
        <f>SUM(SUMIFS('caseload data'!Q:Q,'caseload data'!$D:$D,"SPO",'caseload data'!$C:$C,'community caseload'!$T$50,'caseload data'!$B:$B,{"licence","community"}))</f>
        <v>0</v>
      </c>
      <c r="AH55" s="98">
        <f>SUM(SUMIFS('caseload data'!R:R,'caseload data'!$D:$D,"SPO",'caseload data'!$C:$C,'community caseload'!$T$50,'caseload data'!$B:$B,{"licence","community"}))</f>
        <v>0</v>
      </c>
      <c r="AI55" s="98">
        <f>SUM(SUMIFS('caseload data'!S:S,'caseload data'!$D:$D,"SPO",'caseload data'!$C:$C,'community caseload'!$T$50,'caseload data'!$B:$B,{"licence","community"}))</f>
        <v>0</v>
      </c>
      <c r="AJ55" s="98">
        <f>SUM(SUMIFS('caseload data'!T:T,'caseload data'!$D:$D,"SPO",'caseload data'!$C:$C,'community caseload'!$T$50,'caseload data'!$B:$B,{"licence","community"}))</f>
        <v>0</v>
      </c>
    </row>
    <row r="56" spans="2:36" x14ac:dyDescent="0.15">
      <c r="B56" s="95"/>
      <c r="C56" s="68"/>
      <c r="D56" s="68"/>
      <c r="E56" s="68"/>
      <c r="F56" s="68"/>
      <c r="G56" s="68"/>
      <c r="H56" s="68"/>
      <c r="I56" s="68"/>
      <c r="J56" s="68"/>
      <c r="K56" s="68"/>
      <c r="L56" s="68"/>
      <c r="M56" s="68"/>
      <c r="N56" s="68"/>
      <c r="O56" s="68"/>
      <c r="P56" s="68"/>
      <c r="Q56" s="68"/>
      <c r="R56" s="68"/>
      <c r="S56" s="68"/>
      <c r="T56" s="95"/>
      <c r="U56" s="68"/>
      <c r="V56" s="68"/>
      <c r="W56" s="68"/>
      <c r="X56" s="68"/>
      <c r="Y56" s="68"/>
      <c r="Z56" s="68"/>
      <c r="AA56" s="68"/>
      <c r="AB56" s="68"/>
      <c r="AC56" s="68"/>
      <c r="AD56" s="68"/>
      <c r="AE56" s="68"/>
      <c r="AF56" s="68"/>
      <c r="AG56" s="68"/>
      <c r="AH56" s="68"/>
      <c r="AI56" s="68"/>
      <c r="AJ56" s="68"/>
    </row>
    <row r="57" spans="2:36" ht="31.5" customHeight="1" x14ac:dyDescent="0.15">
      <c r="B57" s="302" t="str">
        <f>HLOOKUP($B$5,Region_Table,16,0)</f>
        <v>Lambeth - N07</v>
      </c>
      <c r="C57" s="459" t="s">
        <v>1309</v>
      </c>
      <c r="D57" s="460"/>
      <c r="E57" s="460"/>
      <c r="F57" s="460"/>
      <c r="G57" s="460"/>
      <c r="H57" s="460"/>
      <c r="I57" s="460"/>
      <c r="J57" s="460"/>
      <c r="K57" s="460"/>
      <c r="L57" s="460"/>
      <c r="M57" s="489"/>
      <c r="N57" s="489"/>
      <c r="O57" s="490"/>
      <c r="P57" s="462" cm="1">
        <f t="array" ref="P57">SUM(SUMIFS('caseload data'!V:V,'caseload data'!B:B,{"licence","community"},'caseload data'!$C:$C,'community caseload'!B57))</f>
        <v>0</v>
      </c>
      <c r="Q57" s="479"/>
      <c r="R57" s="480"/>
      <c r="S57" s="305"/>
      <c r="T57" s="302" t="str">
        <f>HLOOKUP($B$5,Region_Table,17,0)</f>
        <v>Lewisham and Bromley</v>
      </c>
      <c r="U57" s="459" t="s">
        <v>1309</v>
      </c>
      <c r="V57" s="460"/>
      <c r="W57" s="460"/>
      <c r="X57" s="460"/>
      <c r="Y57" s="460"/>
      <c r="Z57" s="460"/>
      <c r="AA57" s="460"/>
      <c r="AB57" s="460"/>
      <c r="AC57" s="460"/>
      <c r="AD57" s="460"/>
      <c r="AE57" s="489"/>
      <c r="AF57" s="489"/>
      <c r="AG57" s="490"/>
      <c r="AH57" s="462" cm="1">
        <f t="array" ref="AH57">SUM(SUMIFS('caseload data'!V:V,'caseload data'!B:B,{"licence","community"},'caseload data'!$C:$C,'community caseload'!T57))</f>
        <v>0</v>
      </c>
      <c r="AI57" s="479"/>
      <c r="AJ57" s="480"/>
    </row>
    <row r="58" spans="2:36" x14ac:dyDescent="0.15">
      <c r="B58" s="99" t="s">
        <v>1170</v>
      </c>
      <c r="C58" s="40" t="s">
        <v>1022</v>
      </c>
      <c r="D58" s="40" t="s">
        <v>1023</v>
      </c>
      <c r="E58" s="40" t="s">
        <v>1024</v>
      </c>
      <c r="F58" s="40" t="s">
        <v>1025</v>
      </c>
      <c r="G58" s="40" t="s">
        <v>1026</v>
      </c>
      <c r="H58" s="40" t="s">
        <v>1027</v>
      </c>
      <c r="I58" s="40" t="s">
        <v>1028</v>
      </c>
      <c r="J58" s="40" t="s">
        <v>1029</v>
      </c>
      <c r="K58" s="40" t="s">
        <v>1030</v>
      </c>
      <c r="L58" s="40" t="s">
        <v>1031</v>
      </c>
      <c r="M58" s="40" t="s">
        <v>1032</v>
      </c>
      <c r="N58" s="40" t="s">
        <v>1033</v>
      </c>
      <c r="O58" s="40" t="s">
        <v>1034</v>
      </c>
      <c r="P58" s="40" t="s">
        <v>1035</v>
      </c>
      <c r="Q58" s="40" t="s">
        <v>1036</v>
      </c>
      <c r="R58" s="40" t="s">
        <v>1037</v>
      </c>
      <c r="S58" s="68"/>
      <c r="T58" s="99" t="s">
        <v>1170</v>
      </c>
      <c r="U58" s="40" t="s">
        <v>1022</v>
      </c>
      <c r="V58" s="40" t="s">
        <v>1023</v>
      </c>
      <c r="W58" s="40" t="s">
        <v>1024</v>
      </c>
      <c r="X58" s="40" t="s">
        <v>1025</v>
      </c>
      <c r="Y58" s="40" t="s">
        <v>1026</v>
      </c>
      <c r="Z58" s="40" t="s">
        <v>1027</v>
      </c>
      <c r="AA58" s="40" t="s">
        <v>1028</v>
      </c>
      <c r="AB58" s="40" t="s">
        <v>1029</v>
      </c>
      <c r="AC58" s="40" t="s">
        <v>1030</v>
      </c>
      <c r="AD58" s="40" t="s">
        <v>1031</v>
      </c>
      <c r="AE58" s="40" t="s">
        <v>1032</v>
      </c>
      <c r="AF58" s="40" t="s">
        <v>1033</v>
      </c>
      <c r="AG58" s="40" t="s">
        <v>1034</v>
      </c>
      <c r="AH58" s="40" t="s">
        <v>1035</v>
      </c>
      <c r="AI58" s="40" t="s">
        <v>1036</v>
      </c>
      <c r="AJ58" s="40" t="s">
        <v>1037</v>
      </c>
    </row>
    <row r="59" spans="2:36" x14ac:dyDescent="0.15">
      <c r="B59" s="100" t="s">
        <v>1166</v>
      </c>
      <c r="C59" s="98">
        <f>SUM(SUMIFS('caseload data'!E:E,'caseload data'!$D:$D,"PO",'caseload data'!$C:$C,'community caseload'!$B$57,'caseload data'!$B:$B,{"licence","community"}))</f>
        <v>0</v>
      </c>
      <c r="D59" s="98">
        <f>SUM(SUMIFS('caseload data'!F:F,'caseload data'!$D:$D,"PO",'caseload data'!$C:$C,'community caseload'!$B$57,'caseload data'!$B:$B,{"licence","community"}))</f>
        <v>0</v>
      </c>
      <c r="E59" s="98">
        <f>SUM(SUMIFS('caseload data'!G:G,'caseload data'!$D:$D,"PO",'caseload data'!$C:$C,'community caseload'!$B$57,'caseload data'!$B:$B,{"licence","community"}))</f>
        <v>0</v>
      </c>
      <c r="F59" s="98">
        <f>SUM(SUMIFS('caseload data'!H:H,'caseload data'!$D:$D,"PO",'caseload data'!$C:$C,'community caseload'!$B$57,'caseload data'!$B:$B,{"licence","community"}))</f>
        <v>0</v>
      </c>
      <c r="G59" s="98">
        <f>SUM(SUMIFS('caseload data'!I:I,'caseload data'!$D:$D,"PO",'caseload data'!$C:$C,'community caseload'!$B$57,'caseload data'!$B:$B,{"licence","community"}))</f>
        <v>0</v>
      </c>
      <c r="H59" s="98">
        <f>SUM(SUMIFS('caseload data'!J:J,'caseload data'!$D:$D,"PO",'caseload data'!$C:$C,'community caseload'!$B$57,'caseload data'!$B:$B,{"licence","community"}))</f>
        <v>0</v>
      </c>
      <c r="I59" s="98">
        <f>SUM(SUMIFS('caseload data'!K:K,'caseload data'!$D:$D,"PO",'caseload data'!$C:$C,'community caseload'!$B$57,'caseload data'!$B:$B,{"licence","community"}))</f>
        <v>0</v>
      </c>
      <c r="J59" s="98">
        <f>SUM(SUMIFS('caseload data'!L:L,'caseload data'!$D:$D,"PO",'caseload data'!$C:$C,'community caseload'!$B$57,'caseload data'!$B:$B,{"licence","community"}))</f>
        <v>0</v>
      </c>
      <c r="K59" s="98">
        <f>SUM(SUMIFS('caseload data'!M:M,'caseload data'!$D:$D,"PO",'caseload data'!$C:$C,'community caseload'!$B$57,'caseload data'!$B:$B,{"licence","community"}))</f>
        <v>0</v>
      </c>
      <c r="L59" s="98">
        <f>SUM(SUMIFS('caseload data'!N:N,'caseload data'!$D:$D,"PO",'caseload data'!$C:$C,'community caseload'!$B$57,'caseload data'!$B:$B,{"licence","community"}))</f>
        <v>0</v>
      </c>
      <c r="M59" s="98">
        <f>SUM(SUMIFS('caseload data'!O:O,'caseload data'!$D:$D,"PO",'caseload data'!$C:$C,'community caseload'!$B$57,'caseload data'!$B:$B,{"licence","community"}))</f>
        <v>0</v>
      </c>
      <c r="N59" s="98">
        <f>SUM(SUMIFS('caseload data'!P:P,'caseload data'!$D:$D,"PO",'caseload data'!$C:$C,'community caseload'!$B$57,'caseload data'!$B:$B,{"licence","community"}))</f>
        <v>0</v>
      </c>
      <c r="O59" s="98">
        <f>SUM(SUMIFS('caseload data'!Q:Q,'caseload data'!$D:$D,"PO",'caseload data'!$C:$C,'community caseload'!$B$57,'caseload data'!$B:$B,{"licence","community"}))</f>
        <v>0</v>
      </c>
      <c r="P59" s="98">
        <f>SUM(SUMIFS('caseload data'!R:R,'caseload data'!$D:$D,"PO",'caseload data'!$C:$C,'community caseload'!$B$57,'caseload data'!$B:$B,{"licence","community"}))</f>
        <v>0</v>
      </c>
      <c r="Q59" s="98">
        <f>SUM(SUMIFS('caseload data'!S:S,'caseload data'!$D:$D,"PO",'caseload data'!$C:$C,'community caseload'!$B$57,'caseload data'!$B:$B,{"licence","community"}))</f>
        <v>0</v>
      </c>
      <c r="R59" s="98">
        <f>SUM(SUMIFS('caseload data'!T:T,'caseload data'!$D:$D,"PO",'caseload data'!$C:$C,'community caseload'!$B$57,'caseload data'!$B:$B,{"licence","community"}))</f>
        <v>0</v>
      </c>
      <c r="S59" s="68"/>
      <c r="T59" s="100" t="s">
        <v>1166</v>
      </c>
      <c r="U59" s="98">
        <f>SUM(SUMIFS('caseload data'!E:E,'caseload data'!$D:$D,"PO",'caseload data'!$C:$C,'community caseload'!$T$57,'caseload data'!$B:$B,{"licence","community"}))</f>
        <v>0</v>
      </c>
      <c r="V59" s="98">
        <f>SUM(SUMIFS('caseload data'!F:F,'caseload data'!$D:$D,"PO",'caseload data'!$C:$C,'community caseload'!$T$57,'caseload data'!$B:$B,{"licence","community"}))</f>
        <v>0</v>
      </c>
      <c r="W59" s="98">
        <f>SUM(SUMIFS('caseload data'!G:G,'caseload data'!$D:$D,"PO",'caseload data'!$C:$C,'community caseload'!$T$57,'caseload data'!$B:$B,{"licence","community"}))</f>
        <v>0</v>
      </c>
      <c r="X59" s="98">
        <f>SUM(SUMIFS('caseload data'!H:H,'caseload data'!$D:$D,"PO",'caseload data'!$C:$C,'community caseload'!$T$57,'caseload data'!$B:$B,{"licence","community"}))</f>
        <v>0</v>
      </c>
      <c r="Y59" s="98">
        <f>SUM(SUMIFS('caseload data'!I:I,'caseload data'!$D:$D,"PO",'caseload data'!$C:$C,'community caseload'!$T$57,'caseload data'!$B:$B,{"licence","community"}))</f>
        <v>0</v>
      </c>
      <c r="Z59" s="98">
        <f>SUM(SUMIFS('caseload data'!J:J,'caseload data'!$D:$D,"PO",'caseload data'!$C:$C,'community caseload'!$T$57,'caseload data'!$B:$B,{"licence","community"}))</f>
        <v>0</v>
      </c>
      <c r="AA59" s="98">
        <f>SUM(SUMIFS('caseload data'!K:K,'caseload data'!$D:$D,"PO",'caseload data'!$C:$C,'community caseload'!$T$57,'caseload data'!$B:$B,{"licence","community"}))</f>
        <v>0</v>
      </c>
      <c r="AB59" s="98">
        <f>SUM(SUMIFS('caseload data'!L:L,'caseload data'!$D:$D,"PO",'caseload data'!$C:$C,'community caseload'!$T$57,'caseload data'!$B:$B,{"licence","community"}))</f>
        <v>0</v>
      </c>
      <c r="AC59" s="98">
        <f>SUM(SUMIFS('caseload data'!M:M,'caseload data'!$D:$D,"PO",'caseload data'!$C:$C,'community caseload'!$T$57,'caseload data'!$B:$B,{"licence","community"}))</f>
        <v>0</v>
      </c>
      <c r="AD59" s="98">
        <f>SUM(SUMIFS('caseload data'!N:N,'caseload data'!$D:$D,"PO",'caseload data'!$C:$C,'community caseload'!$T$57,'caseload data'!$B:$B,{"licence","community"}))</f>
        <v>0</v>
      </c>
      <c r="AE59" s="98">
        <f>SUM(SUMIFS('caseload data'!O:O,'caseload data'!$D:$D,"PO",'caseload data'!$C:$C,'community caseload'!$T$57,'caseload data'!$B:$B,{"licence","community"}))</f>
        <v>0</v>
      </c>
      <c r="AF59" s="98">
        <f>SUM(SUMIFS('caseload data'!P:P,'caseload data'!$D:$D,"PO",'caseload data'!$C:$C,'community caseload'!$T$57,'caseload data'!$B:$B,{"licence","community"}))</f>
        <v>0</v>
      </c>
      <c r="AG59" s="98">
        <f>SUM(SUMIFS('caseload data'!Q:Q,'caseload data'!$D:$D,"PO",'caseload data'!$C:$C,'community caseload'!$T$57,'caseload data'!$B:$B,{"licence","community"}))</f>
        <v>0</v>
      </c>
      <c r="AH59" s="98">
        <f>SUM(SUMIFS('caseload data'!R:R,'caseload data'!$D:$D,"PO",'caseload data'!$C:$C,'community caseload'!$T$57,'caseload data'!$B:$B,{"licence","community"}))</f>
        <v>0</v>
      </c>
      <c r="AI59" s="98">
        <f>SUM(SUMIFS('caseload data'!S:S,'caseload data'!$D:$D,"PO",'caseload data'!$C:$C,'community caseload'!$T$57,'caseload data'!$B:$B,{"licence","community"}))</f>
        <v>0</v>
      </c>
      <c r="AJ59" s="98">
        <f>SUM(SUMIFS('caseload data'!T:T,'caseload data'!$D:$D,"PO",'caseload data'!$C:$C,'community caseload'!$T$57,'caseload data'!$B:$B,{"licence","community"}))</f>
        <v>0</v>
      </c>
    </row>
    <row r="60" spans="2:36" x14ac:dyDescent="0.15">
      <c r="B60" s="101" t="s">
        <v>1172</v>
      </c>
      <c r="C60" s="98">
        <f>SUM(SUMIFS('caseload data'!E:E,'caseload data'!$D:$D,"PSO",'caseload data'!$C:$C,'community caseload'!$B$57,'caseload data'!$B:$B,{"licence","community"}))</f>
        <v>0</v>
      </c>
      <c r="D60" s="98">
        <f>SUM(SUMIFS('caseload data'!F:F,'caseload data'!$D:$D,"PSO",'caseload data'!$C:$C,'community caseload'!$B$57,'caseload data'!$B:$B,{"licence","community"}))</f>
        <v>0</v>
      </c>
      <c r="E60" s="98">
        <f>SUM(SUMIFS('caseload data'!G:G,'caseload data'!$D:$D,"PSO",'caseload data'!$C:$C,'community caseload'!$B$57,'caseload data'!$B:$B,{"licence","community"}))</f>
        <v>0</v>
      </c>
      <c r="F60" s="98">
        <f>SUM(SUMIFS('caseload data'!H:H,'caseload data'!$D:$D,"PSO",'caseload data'!$C:$C,'community caseload'!$B$57,'caseload data'!$B:$B,{"licence","community"}))</f>
        <v>0</v>
      </c>
      <c r="G60" s="98">
        <f>SUM(SUMIFS('caseload data'!I:I,'caseload data'!$D:$D,"PSO",'caseload data'!$C:$C,'community caseload'!$B$57,'caseload data'!$B:$B,{"licence","community"}))</f>
        <v>0</v>
      </c>
      <c r="H60" s="98">
        <f>SUM(SUMIFS('caseload data'!J:J,'caseload data'!$D:$D,"PSO",'caseload data'!$C:$C,'community caseload'!$B$57,'caseload data'!$B:$B,{"licence","community"}))</f>
        <v>0</v>
      </c>
      <c r="I60" s="98">
        <f>SUM(SUMIFS('caseload data'!K:K,'caseload data'!$D:$D,"PSO",'caseload data'!$C:$C,'community caseload'!$B$57,'caseload data'!$B:$B,{"licence","community"}))</f>
        <v>0</v>
      </c>
      <c r="J60" s="98">
        <f>SUM(SUMIFS('caseload data'!L:L,'caseload data'!$D:$D,"PSO",'caseload data'!$C:$C,'community caseload'!$B$57,'caseload data'!$B:$B,{"licence","community"}))</f>
        <v>0</v>
      </c>
      <c r="K60" s="98">
        <f>SUM(SUMIFS('caseload data'!M:M,'caseload data'!$D:$D,"PSO",'caseload data'!$C:$C,'community caseload'!$B$57,'caseload data'!$B:$B,{"licence","community"}))</f>
        <v>0</v>
      </c>
      <c r="L60" s="98">
        <f>SUM(SUMIFS('caseload data'!N:N,'caseload data'!$D:$D,"PSO",'caseload data'!$C:$C,'community caseload'!$B$57,'caseload data'!$B:$B,{"licence","community"}))</f>
        <v>0</v>
      </c>
      <c r="M60" s="98">
        <f>SUM(SUMIFS('caseload data'!O:O,'caseload data'!$D:$D,"PSO",'caseload data'!$C:$C,'community caseload'!$B$57,'caseload data'!$B:$B,{"licence","community"}))</f>
        <v>0</v>
      </c>
      <c r="N60" s="98">
        <f>SUM(SUMIFS('caseload data'!P:P,'caseload data'!$D:$D,"PSO",'caseload data'!$C:$C,'community caseload'!$B$57,'caseload data'!$B:$B,{"licence","community"}))</f>
        <v>0</v>
      </c>
      <c r="O60" s="98">
        <f>SUM(SUMIFS('caseload data'!Q:Q,'caseload data'!$D:$D,"PSO",'caseload data'!$C:$C,'community caseload'!$B$57,'caseload data'!$B:$B,{"licence","community"}))</f>
        <v>0</v>
      </c>
      <c r="P60" s="98">
        <f>SUM(SUMIFS('caseload data'!R:R,'caseload data'!$D:$D,"PSO",'caseload data'!$C:$C,'community caseload'!$B$57,'caseload data'!$B:$B,{"licence","community"}))</f>
        <v>0</v>
      </c>
      <c r="Q60" s="98">
        <f>SUM(SUMIFS('caseload data'!S:S,'caseload data'!$D:$D,"PSO",'caseload data'!$C:$C,'community caseload'!$B$57,'caseload data'!$B:$B,{"licence","community"}))</f>
        <v>0</v>
      </c>
      <c r="R60" s="98">
        <f>SUM(SUMIFS('caseload data'!T:T,'caseload data'!$D:$D,"PSO",'caseload data'!$C:$C,'community caseload'!$B$57,'caseload data'!$B:$B,{"licence","community"}))</f>
        <v>0</v>
      </c>
      <c r="S60" s="68"/>
      <c r="T60" s="101" t="s">
        <v>1172</v>
      </c>
      <c r="U60" s="98">
        <f>SUM(SUMIFS('caseload data'!E:E,'caseload data'!$D:$D,"PSO",'caseload data'!$C:$C,'community caseload'!$T$57,'caseload data'!$B:$B,{"licence","community"}))</f>
        <v>0</v>
      </c>
      <c r="V60" s="98">
        <f>SUM(SUMIFS('caseload data'!F:F,'caseload data'!$D:$D,"PSO",'caseload data'!$C:$C,'community caseload'!$T$57,'caseload data'!$B:$B,{"licence","community"}))</f>
        <v>0</v>
      </c>
      <c r="W60" s="98">
        <f>SUM(SUMIFS('caseload data'!G:G,'caseload data'!$D:$D,"PSO",'caseload data'!$C:$C,'community caseload'!$T$57,'caseload data'!$B:$B,{"licence","community"}))</f>
        <v>0</v>
      </c>
      <c r="X60" s="98">
        <f>SUM(SUMIFS('caseload data'!H:H,'caseload data'!$D:$D,"PSO",'caseload data'!$C:$C,'community caseload'!$T$57,'caseload data'!$B:$B,{"licence","community"}))</f>
        <v>0</v>
      </c>
      <c r="Y60" s="98">
        <f>SUM(SUMIFS('caseload data'!I:I,'caseload data'!$D:$D,"PSO",'caseload data'!$C:$C,'community caseload'!$T$57,'caseload data'!$B:$B,{"licence","community"}))</f>
        <v>0</v>
      </c>
      <c r="Z60" s="98">
        <f>SUM(SUMIFS('caseload data'!J:J,'caseload data'!$D:$D,"PSO",'caseload data'!$C:$C,'community caseload'!$T$57,'caseload data'!$B:$B,{"licence","community"}))</f>
        <v>0</v>
      </c>
      <c r="AA60" s="98">
        <f>SUM(SUMIFS('caseload data'!K:K,'caseload data'!$D:$D,"PSO",'caseload data'!$C:$C,'community caseload'!$T$57,'caseload data'!$B:$B,{"licence","community"}))</f>
        <v>0</v>
      </c>
      <c r="AB60" s="98">
        <f>SUM(SUMIFS('caseload data'!L:L,'caseload data'!$D:$D,"PSO",'caseload data'!$C:$C,'community caseload'!$T$57,'caseload data'!$B:$B,{"licence","community"}))</f>
        <v>0</v>
      </c>
      <c r="AC60" s="98">
        <f>SUM(SUMIFS('caseload data'!M:M,'caseload data'!$D:$D,"PSO",'caseload data'!$C:$C,'community caseload'!$T$57,'caseload data'!$B:$B,{"licence","community"}))</f>
        <v>0</v>
      </c>
      <c r="AD60" s="98">
        <f>SUM(SUMIFS('caseload data'!N:N,'caseload data'!$D:$D,"PSO",'caseload data'!$C:$C,'community caseload'!$T$57,'caseload data'!$B:$B,{"licence","community"}))</f>
        <v>0</v>
      </c>
      <c r="AE60" s="98">
        <f>SUM(SUMIFS('caseload data'!O:O,'caseload data'!$D:$D,"PSO",'caseload data'!$C:$C,'community caseload'!$T$57,'caseload data'!$B:$B,{"licence","community"}))</f>
        <v>0</v>
      </c>
      <c r="AF60" s="98">
        <f>SUM(SUMIFS('caseload data'!P:P,'caseload data'!$D:$D,"PSO",'caseload data'!$C:$C,'community caseload'!$T$57,'caseload data'!$B:$B,{"licence","community"}))</f>
        <v>0</v>
      </c>
      <c r="AG60" s="98">
        <f>SUM(SUMIFS('caseload data'!Q:Q,'caseload data'!$D:$D,"PSO",'caseload data'!$C:$C,'community caseload'!$T$57,'caseload data'!$B:$B,{"licence","community"}))</f>
        <v>0</v>
      </c>
      <c r="AH60" s="98">
        <f>SUM(SUMIFS('caseload data'!R:R,'caseload data'!$D:$D,"PSO",'caseload data'!$C:$C,'community caseload'!$T$57,'caseload data'!$B:$B,{"licence","community"}))</f>
        <v>0</v>
      </c>
      <c r="AI60" s="98">
        <f>SUM(SUMIFS('caseload data'!S:S,'caseload data'!$D:$D,"PSO",'caseload data'!$C:$C,'community caseload'!$T$57,'caseload data'!$B:$B,{"licence","community"}))</f>
        <v>0</v>
      </c>
      <c r="AJ60" s="98">
        <f>SUM(SUMIFS('caseload data'!T:T,'caseload data'!$D:$D,"PSO",'caseload data'!$C:$C,'community caseload'!$T$57,'caseload data'!$B:$B,{"licence","community"}))</f>
        <v>0</v>
      </c>
    </row>
    <row r="61" spans="2:36" x14ac:dyDescent="0.15">
      <c r="B61" s="101" t="s">
        <v>1173</v>
      </c>
      <c r="C61" s="98">
        <f>SUM(SUMIFS('caseload data'!E:E,'caseload data'!$D:$D,"TPO",'caseload data'!$C:$C,'community caseload'!$B$57,'caseload data'!$B:$B,{"licence","community"}))</f>
        <v>0</v>
      </c>
      <c r="D61" s="98">
        <f>SUM(SUMIFS('caseload data'!F:F,'caseload data'!$D:$D,"TPO",'caseload data'!$C:$C,'community caseload'!$B$57,'caseload data'!$B:$B,{"licence","community"}))</f>
        <v>0</v>
      </c>
      <c r="E61" s="98">
        <f>SUM(SUMIFS('caseload data'!G:G,'caseload data'!$D:$D,"TPO",'caseload data'!$C:$C,'community caseload'!$B$57,'caseload data'!$B:$B,{"licence","community"}))</f>
        <v>0</v>
      </c>
      <c r="F61" s="98">
        <f>SUM(SUMIFS('caseload data'!H:H,'caseload data'!$D:$D,"TPO",'caseload data'!$C:$C,'community caseload'!$B$57,'caseload data'!$B:$B,{"licence","community"}))</f>
        <v>0</v>
      </c>
      <c r="G61" s="98">
        <f>SUM(SUMIFS('caseload data'!I:I,'caseload data'!$D:$D,"TPO",'caseload data'!$C:$C,'community caseload'!$B$57,'caseload data'!$B:$B,{"licence","community"}))</f>
        <v>0</v>
      </c>
      <c r="H61" s="98">
        <f>SUM(SUMIFS('caseload data'!J:J,'caseload data'!$D:$D,"TPO",'caseload data'!$C:$C,'community caseload'!$B$57,'caseload data'!$B:$B,{"licence","community"}))</f>
        <v>0</v>
      </c>
      <c r="I61" s="98">
        <f>SUM(SUMIFS('caseload data'!K:K,'caseload data'!$D:$D,"TPO",'caseload data'!$C:$C,'community caseload'!$B$57,'caseload data'!$B:$B,{"licence","community"}))</f>
        <v>0</v>
      </c>
      <c r="J61" s="98">
        <f>SUM(SUMIFS('caseload data'!L:L,'caseload data'!$D:$D,"TPO",'caseload data'!$C:$C,'community caseload'!$B$57,'caseload data'!$B:$B,{"licence","community"}))</f>
        <v>0</v>
      </c>
      <c r="K61" s="98">
        <f>SUM(SUMIFS('caseload data'!M:M,'caseload data'!$D:$D,"TPO",'caseload data'!$C:$C,'community caseload'!$B$57,'caseload data'!$B:$B,{"licence","community"}))</f>
        <v>0</v>
      </c>
      <c r="L61" s="98">
        <f>SUM(SUMIFS('caseload data'!N:N,'caseload data'!$D:$D,"TPO",'caseload data'!$C:$C,'community caseload'!$B$57,'caseload data'!$B:$B,{"licence","community"}))</f>
        <v>0</v>
      </c>
      <c r="M61" s="98">
        <f>SUM(SUMIFS('caseload data'!O:O,'caseload data'!$D:$D,"TPO",'caseload data'!$C:$C,'community caseload'!$B$57,'caseload data'!$B:$B,{"licence","community"}))</f>
        <v>0</v>
      </c>
      <c r="N61" s="98">
        <f>SUM(SUMIFS('caseload data'!P:P,'caseload data'!$D:$D,"TPO",'caseload data'!$C:$C,'community caseload'!$B$57,'caseload data'!$B:$B,{"licence","community"}))</f>
        <v>0</v>
      </c>
      <c r="O61" s="98">
        <f>SUM(SUMIFS('caseload data'!Q:Q,'caseload data'!$D:$D,"TPO",'caseload data'!$C:$C,'community caseload'!$B$57,'caseload data'!$B:$B,{"licence","community"}))</f>
        <v>0</v>
      </c>
      <c r="P61" s="98">
        <f>SUM(SUMIFS('caseload data'!R:R,'caseload data'!$D:$D,"TPO",'caseload data'!$C:$C,'community caseload'!$B$57,'caseload data'!$B:$B,{"licence","community"}))</f>
        <v>0</v>
      </c>
      <c r="Q61" s="98">
        <f>SUM(SUMIFS('caseload data'!S:S,'caseload data'!$D:$D,"TPO",'caseload data'!$C:$C,'community caseload'!$B$57,'caseload data'!$B:$B,{"licence","community"}))</f>
        <v>0</v>
      </c>
      <c r="R61" s="98">
        <f>SUM(SUMIFS('caseload data'!T:T,'caseload data'!$D:$D,"TPO",'caseload data'!$C:$C,'community caseload'!$B$57,'caseload data'!$B:$B,{"licence","community"}))</f>
        <v>0</v>
      </c>
      <c r="S61" s="68"/>
      <c r="T61" s="101" t="s">
        <v>1173</v>
      </c>
      <c r="U61" s="98">
        <f>SUM(SUMIFS('caseload data'!E:E,'caseload data'!$D:$D,"TPO",'caseload data'!$C:$C,'community caseload'!$T$57,'caseload data'!$B:$B,{"licence","community"}))</f>
        <v>0</v>
      </c>
      <c r="V61" s="98">
        <f>SUM(SUMIFS('caseload data'!F:F,'caseload data'!$D:$D,"TPO",'caseload data'!$C:$C,'community caseload'!$T$57,'caseload data'!$B:$B,{"licence","community"}))</f>
        <v>0</v>
      </c>
      <c r="W61" s="98">
        <f>SUM(SUMIFS('caseload data'!G:G,'caseload data'!$D:$D,"TPO",'caseload data'!$C:$C,'community caseload'!$T$57,'caseload data'!$B:$B,{"licence","community"}))</f>
        <v>0</v>
      </c>
      <c r="X61" s="98">
        <f>SUM(SUMIFS('caseload data'!H:H,'caseload data'!$D:$D,"TPO",'caseload data'!$C:$C,'community caseload'!$T$57,'caseload data'!$B:$B,{"licence","community"}))</f>
        <v>0</v>
      </c>
      <c r="Y61" s="98">
        <f>SUM(SUMIFS('caseload data'!I:I,'caseload data'!$D:$D,"TPO",'caseload data'!$C:$C,'community caseload'!$T$57,'caseload data'!$B:$B,{"licence","community"}))</f>
        <v>0</v>
      </c>
      <c r="Z61" s="98">
        <f>SUM(SUMIFS('caseload data'!J:J,'caseload data'!$D:$D,"TPO",'caseload data'!$C:$C,'community caseload'!$T$57,'caseload data'!$B:$B,{"licence","community"}))</f>
        <v>0</v>
      </c>
      <c r="AA61" s="98">
        <f>SUM(SUMIFS('caseload data'!K:K,'caseload data'!$D:$D,"TPO",'caseload data'!$C:$C,'community caseload'!$T$57,'caseload data'!$B:$B,{"licence","community"}))</f>
        <v>0</v>
      </c>
      <c r="AB61" s="98">
        <f>SUM(SUMIFS('caseload data'!L:L,'caseload data'!$D:$D,"TPO",'caseload data'!$C:$C,'community caseload'!$T$57,'caseload data'!$B:$B,{"licence","community"}))</f>
        <v>0</v>
      </c>
      <c r="AC61" s="98">
        <f>SUM(SUMIFS('caseload data'!M:M,'caseload data'!$D:$D,"TPO",'caseload data'!$C:$C,'community caseload'!$T$57,'caseload data'!$B:$B,{"licence","community"}))</f>
        <v>0</v>
      </c>
      <c r="AD61" s="98">
        <f>SUM(SUMIFS('caseload data'!N:N,'caseload data'!$D:$D,"TPO",'caseload data'!$C:$C,'community caseload'!$T$57,'caseload data'!$B:$B,{"licence","community"}))</f>
        <v>0</v>
      </c>
      <c r="AE61" s="98">
        <f>SUM(SUMIFS('caseload data'!O:O,'caseload data'!$D:$D,"TPO",'caseload data'!$C:$C,'community caseload'!$T$57,'caseload data'!$B:$B,{"licence","community"}))</f>
        <v>0</v>
      </c>
      <c r="AF61" s="98">
        <f>SUM(SUMIFS('caseload data'!P:P,'caseload data'!$D:$D,"TPO",'caseload data'!$C:$C,'community caseload'!$T$57,'caseload data'!$B:$B,{"licence","community"}))</f>
        <v>0</v>
      </c>
      <c r="AG61" s="98">
        <f>SUM(SUMIFS('caseload data'!Q:Q,'caseload data'!$D:$D,"TPO",'caseload data'!$C:$C,'community caseload'!$T$57,'caseload data'!$B:$B,{"licence","community"}))</f>
        <v>0</v>
      </c>
      <c r="AH61" s="98">
        <f>SUM(SUMIFS('caseload data'!R:R,'caseload data'!$D:$D,"TPO",'caseload data'!$C:$C,'community caseload'!$T$57,'caseload data'!$B:$B,{"licence","community"}))</f>
        <v>0</v>
      </c>
      <c r="AI61" s="98">
        <f>SUM(SUMIFS('caseload data'!S:S,'caseload data'!$D:$D,"TPO",'caseload data'!$C:$C,'community caseload'!$T$57,'caseload data'!$B:$B,{"licence","community"}))</f>
        <v>0</v>
      </c>
      <c r="AJ61" s="98">
        <f>SUM(SUMIFS('caseload data'!T:T,'caseload data'!$D:$D,"TPO",'caseload data'!$C:$C,'community caseload'!$T$57,'caseload data'!$B:$B,{"licence","community"}))</f>
        <v>0</v>
      </c>
    </row>
    <row r="62" spans="2:36" x14ac:dyDescent="0.15">
      <c r="B62" s="102" t="s">
        <v>1174</v>
      </c>
      <c r="C62" s="98">
        <f>SUM(SUMIFS('caseload data'!E:E,'caseload data'!$D:$D,"SPO",'caseload data'!$C:$C,'community caseload'!$B$57,'caseload data'!$B:$B,{"licence","community"}))</f>
        <v>0</v>
      </c>
      <c r="D62" s="98">
        <f>SUM(SUMIFS('caseload data'!F:F,'caseload data'!$D:$D,"SPO",'caseload data'!$C:$C,'community caseload'!$B$57,'caseload data'!$B:$B,{"licence","community"}))</f>
        <v>0</v>
      </c>
      <c r="E62" s="98">
        <f>SUM(SUMIFS('caseload data'!G:G,'caseload data'!$D:$D,"SPO",'caseload data'!$C:$C,'community caseload'!$B$57,'caseload data'!$B:$B,{"licence","community"}))</f>
        <v>0</v>
      </c>
      <c r="F62" s="98">
        <f>SUM(SUMIFS('caseload data'!H:H,'caseload data'!$D:$D,"SPO",'caseload data'!$C:$C,'community caseload'!$B$57,'caseload data'!$B:$B,{"licence","community"}))</f>
        <v>0</v>
      </c>
      <c r="G62" s="98">
        <f>SUM(SUMIFS('caseload data'!I:I,'caseload data'!$D:$D,"SPO",'caseload data'!$C:$C,'community caseload'!$B$57,'caseload data'!$B:$B,{"licence","community"}))</f>
        <v>0</v>
      </c>
      <c r="H62" s="98">
        <f>SUM(SUMIFS('caseload data'!J:J,'caseload data'!$D:$D,"SPO",'caseload data'!$C:$C,'community caseload'!$B$57,'caseload data'!$B:$B,{"licence","community"}))</f>
        <v>0</v>
      </c>
      <c r="I62" s="98">
        <f>SUM(SUMIFS('caseload data'!K:K,'caseload data'!$D:$D,"SPO",'caseload data'!$C:$C,'community caseload'!$B$57,'caseload data'!$B:$B,{"licence","community"}))</f>
        <v>0</v>
      </c>
      <c r="J62" s="98">
        <f>SUM(SUMIFS('caseload data'!L:L,'caseload data'!$D:$D,"SPO",'caseload data'!$C:$C,'community caseload'!$B$57,'caseload data'!$B:$B,{"licence","community"}))</f>
        <v>0</v>
      </c>
      <c r="K62" s="98">
        <f>SUM(SUMIFS('caseload data'!M:M,'caseload data'!$D:$D,"SPO",'caseload data'!$C:$C,'community caseload'!$B$57,'caseload data'!$B:$B,{"licence","community"}))</f>
        <v>0</v>
      </c>
      <c r="L62" s="98">
        <f>SUM(SUMIFS('caseload data'!N:N,'caseload data'!$D:$D,"SPO",'caseload data'!$C:$C,'community caseload'!$B$57,'caseload data'!$B:$B,{"licence","community"}))</f>
        <v>0</v>
      </c>
      <c r="M62" s="98">
        <f>SUM(SUMIFS('caseload data'!O:O,'caseload data'!$D:$D,"SPO",'caseload data'!$C:$C,'community caseload'!$B$57,'caseload data'!$B:$B,{"licence","community"}))</f>
        <v>0</v>
      </c>
      <c r="N62" s="98">
        <f>SUM(SUMIFS('caseload data'!P:P,'caseload data'!$D:$D,"SPO",'caseload data'!$C:$C,'community caseload'!$B$57,'caseload data'!$B:$B,{"licence","community"}))</f>
        <v>0</v>
      </c>
      <c r="O62" s="98">
        <f>SUM(SUMIFS('caseload data'!Q:Q,'caseload data'!$D:$D,"SPO",'caseload data'!$C:$C,'community caseload'!$B$57,'caseload data'!$B:$B,{"licence","community"}))</f>
        <v>0</v>
      </c>
      <c r="P62" s="98">
        <f>SUM(SUMIFS('caseload data'!R:R,'caseload data'!$D:$D,"SPO",'caseload data'!$C:$C,'community caseload'!$B$57,'caseload data'!$B:$B,{"licence","community"}))</f>
        <v>0</v>
      </c>
      <c r="Q62" s="98">
        <f>SUM(SUMIFS('caseload data'!S:S,'caseload data'!$D:$D,"SPO",'caseload data'!$C:$C,'community caseload'!$B$57,'caseload data'!$B:$B,{"licence","community"}))</f>
        <v>0</v>
      </c>
      <c r="R62" s="98">
        <f>SUM(SUMIFS('caseload data'!T:T,'caseload data'!$D:$D,"SPO",'caseload data'!$C:$C,'community caseload'!$B$57,'caseload data'!$B:$B,{"licence","community"}))</f>
        <v>0</v>
      </c>
      <c r="S62" s="68"/>
      <c r="T62" s="102" t="s">
        <v>1174</v>
      </c>
      <c r="U62" s="98">
        <f>SUM(SUMIFS('caseload data'!E:E,'caseload data'!$D:$D,"SPO",'caseload data'!$C:$C,'community caseload'!$T$57,'caseload data'!$B:$B,{"licence","community"}))</f>
        <v>0</v>
      </c>
      <c r="V62" s="98">
        <f>SUM(SUMIFS('caseload data'!F:F,'caseload data'!$D:$D,"SPO",'caseload data'!$C:$C,'community caseload'!$T$57,'caseload data'!$B:$B,{"licence","community"}))</f>
        <v>0</v>
      </c>
      <c r="W62" s="98">
        <f>SUM(SUMIFS('caseload data'!G:G,'caseload data'!$D:$D,"SPO",'caseload data'!$C:$C,'community caseload'!$T$57,'caseload data'!$B:$B,{"licence","community"}))</f>
        <v>0</v>
      </c>
      <c r="X62" s="98">
        <f>SUM(SUMIFS('caseload data'!H:H,'caseload data'!$D:$D,"SPO",'caseload data'!$C:$C,'community caseload'!$T$57,'caseload data'!$B:$B,{"licence","community"}))</f>
        <v>0</v>
      </c>
      <c r="Y62" s="98">
        <f>SUM(SUMIFS('caseload data'!I:I,'caseload data'!$D:$D,"SPO",'caseload data'!$C:$C,'community caseload'!$T$57,'caseload data'!$B:$B,{"licence","community"}))</f>
        <v>0</v>
      </c>
      <c r="Z62" s="98">
        <f>SUM(SUMIFS('caseload data'!J:J,'caseload data'!$D:$D,"SPO",'caseload data'!$C:$C,'community caseload'!$T$57,'caseload data'!$B:$B,{"licence","community"}))</f>
        <v>0</v>
      </c>
      <c r="AA62" s="98">
        <f>SUM(SUMIFS('caseload data'!K:K,'caseload data'!$D:$D,"SPO",'caseload data'!$C:$C,'community caseload'!$T$57,'caseload data'!$B:$B,{"licence","community"}))</f>
        <v>0</v>
      </c>
      <c r="AB62" s="98">
        <f>SUM(SUMIFS('caseload data'!L:L,'caseload data'!$D:$D,"SPO",'caseload data'!$C:$C,'community caseload'!$T$57,'caseload data'!$B:$B,{"licence","community"}))</f>
        <v>0</v>
      </c>
      <c r="AC62" s="98">
        <f>SUM(SUMIFS('caseload data'!M:M,'caseload data'!$D:$D,"SPO",'caseload data'!$C:$C,'community caseload'!$T$57,'caseload data'!$B:$B,{"licence","community"}))</f>
        <v>0</v>
      </c>
      <c r="AD62" s="98">
        <f>SUM(SUMIFS('caseload data'!N:N,'caseload data'!$D:$D,"SPO",'caseload data'!$C:$C,'community caseload'!$T$57,'caseload data'!$B:$B,{"licence","community"}))</f>
        <v>0</v>
      </c>
      <c r="AE62" s="98">
        <f>SUM(SUMIFS('caseload data'!O:O,'caseload data'!$D:$D,"SPO",'caseload data'!$C:$C,'community caseload'!$T$57,'caseload data'!$B:$B,{"licence","community"}))</f>
        <v>0</v>
      </c>
      <c r="AF62" s="98">
        <f>SUM(SUMIFS('caseload data'!P:P,'caseload data'!$D:$D,"SPO",'caseload data'!$C:$C,'community caseload'!$T$57,'caseload data'!$B:$B,{"licence","community"}))</f>
        <v>0</v>
      </c>
      <c r="AG62" s="98">
        <f>SUM(SUMIFS('caseload data'!Q:Q,'caseload data'!$D:$D,"SPO",'caseload data'!$C:$C,'community caseload'!$T$57,'caseload data'!$B:$B,{"licence","community"}))</f>
        <v>0</v>
      </c>
      <c r="AH62" s="98">
        <f>SUM(SUMIFS('caseload data'!R:R,'caseload data'!$D:$D,"SPO",'caseload data'!$C:$C,'community caseload'!$T$57,'caseload data'!$B:$B,{"licence","community"}))</f>
        <v>0</v>
      </c>
      <c r="AI62" s="98">
        <f>SUM(SUMIFS('caseload data'!S:S,'caseload data'!$D:$D,"SPO",'caseload data'!$C:$C,'community caseload'!$T$57,'caseload data'!$B:$B,{"licence","community"}))</f>
        <v>0</v>
      </c>
      <c r="AJ62" s="98">
        <f>SUM(SUMIFS('caseload data'!T:T,'caseload data'!$D:$D,"SPO",'caseload data'!$C:$C,'community caseload'!$T$57,'caseload data'!$B:$B,{"licence","community"}))</f>
        <v>0</v>
      </c>
    </row>
    <row r="64" spans="2:36" ht="23.25" customHeight="1" x14ac:dyDescent="0.15">
      <c r="B64" s="302" t="str">
        <f>HLOOKUP($B$5,Region_Table,18,0)</f>
        <v>Newham - N07</v>
      </c>
      <c r="C64" s="459" t="s">
        <v>1309</v>
      </c>
      <c r="D64" s="460"/>
      <c r="E64" s="460"/>
      <c r="F64" s="460"/>
      <c r="G64" s="460"/>
      <c r="H64" s="460"/>
      <c r="I64" s="460"/>
      <c r="J64" s="460"/>
      <c r="K64" s="460"/>
      <c r="L64" s="460"/>
      <c r="M64" s="489"/>
      <c r="N64" s="489"/>
      <c r="O64" s="490"/>
      <c r="P64" s="462" cm="1">
        <f t="array" ref="P64">SUM(SUMIFS('caseload data'!V:V,'caseload data'!B:B,{"licence","community"},'caseload data'!$C:$C,'community caseload'!B64))</f>
        <v>0</v>
      </c>
      <c r="Q64" s="479"/>
      <c r="R64" s="480"/>
      <c r="S64" s="305"/>
      <c r="T64" s="302" t="str">
        <f>HLOOKUP($B$5,Region_Table,19,0)</f>
        <v>Public Protection London</v>
      </c>
      <c r="U64" s="459" t="s">
        <v>1309</v>
      </c>
      <c r="V64" s="460"/>
      <c r="W64" s="460"/>
      <c r="X64" s="460"/>
      <c r="Y64" s="460"/>
      <c r="Z64" s="460"/>
      <c r="AA64" s="460"/>
      <c r="AB64" s="460"/>
      <c r="AC64" s="460"/>
      <c r="AD64" s="460"/>
      <c r="AE64" s="489"/>
      <c r="AF64" s="489"/>
      <c r="AG64" s="490"/>
      <c r="AH64" s="462" cm="1">
        <f t="array" ref="AH64">SUM(SUMIFS('caseload data'!V:V,'caseload data'!B:B,{"licence","community"},'caseload data'!$C:$C,'community caseload'!T64))</f>
        <v>0</v>
      </c>
      <c r="AI64" s="479"/>
      <c r="AJ64" s="480"/>
    </row>
    <row r="65" spans="2:36" x14ac:dyDescent="0.15">
      <c r="B65" s="99" t="s">
        <v>1170</v>
      </c>
      <c r="C65" s="40" t="s">
        <v>1022</v>
      </c>
      <c r="D65" s="40" t="s">
        <v>1023</v>
      </c>
      <c r="E65" s="40" t="s">
        <v>1024</v>
      </c>
      <c r="F65" s="40" t="s">
        <v>1025</v>
      </c>
      <c r="G65" s="40" t="s">
        <v>1026</v>
      </c>
      <c r="H65" s="40" t="s">
        <v>1027</v>
      </c>
      <c r="I65" s="40" t="s">
        <v>1028</v>
      </c>
      <c r="J65" s="40" t="s">
        <v>1029</v>
      </c>
      <c r="K65" s="40" t="s">
        <v>1030</v>
      </c>
      <c r="L65" s="40" t="s">
        <v>1031</v>
      </c>
      <c r="M65" s="40" t="s">
        <v>1032</v>
      </c>
      <c r="N65" s="40" t="s">
        <v>1033</v>
      </c>
      <c r="O65" s="40" t="s">
        <v>1034</v>
      </c>
      <c r="P65" s="40" t="s">
        <v>1035</v>
      </c>
      <c r="Q65" s="40" t="s">
        <v>1036</v>
      </c>
      <c r="R65" s="40" t="s">
        <v>1037</v>
      </c>
      <c r="S65" s="68"/>
      <c r="T65" s="99" t="s">
        <v>1170</v>
      </c>
      <c r="U65" s="40" t="s">
        <v>1022</v>
      </c>
      <c r="V65" s="40" t="s">
        <v>1023</v>
      </c>
      <c r="W65" s="40" t="s">
        <v>1024</v>
      </c>
      <c r="X65" s="40" t="s">
        <v>1025</v>
      </c>
      <c r="Y65" s="40" t="s">
        <v>1026</v>
      </c>
      <c r="Z65" s="40" t="s">
        <v>1027</v>
      </c>
      <c r="AA65" s="40" t="s">
        <v>1028</v>
      </c>
      <c r="AB65" s="40" t="s">
        <v>1029</v>
      </c>
      <c r="AC65" s="40" t="s">
        <v>1030</v>
      </c>
      <c r="AD65" s="40" t="s">
        <v>1031</v>
      </c>
      <c r="AE65" s="40" t="s">
        <v>1032</v>
      </c>
      <c r="AF65" s="40" t="s">
        <v>1033</v>
      </c>
      <c r="AG65" s="40" t="s">
        <v>1034</v>
      </c>
      <c r="AH65" s="40" t="s">
        <v>1035</v>
      </c>
      <c r="AI65" s="40" t="s">
        <v>1036</v>
      </c>
      <c r="AJ65" s="40" t="s">
        <v>1037</v>
      </c>
    </row>
    <row r="66" spans="2:36" x14ac:dyDescent="0.15">
      <c r="B66" s="100" t="s">
        <v>1166</v>
      </c>
      <c r="C66" s="98">
        <f>SUM(SUMIFS('caseload data'!E:E,'caseload data'!$D:$D,"PO",'caseload data'!$C:$C,'community caseload'!$B$64,'caseload data'!$B:$B,{"licence","community"}))</f>
        <v>0</v>
      </c>
      <c r="D66" s="98">
        <f>SUM(SUMIFS('caseload data'!F:F,'caseload data'!$D:$D,"PO",'caseload data'!$C:$C,'community caseload'!$B$64,'caseload data'!$B:$B,{"licence","community"}))</f>
        <v>0</v>
      </c>
      <c r="E66" s="98">
        <f>SUM(SUMIFS('caseload data'!G:G,'caseload data'!$D:$D,"PO",'caseload data'!$C:$C,'community caseload'!$B$64,'caseload data'!$B:$B,{"licence","community"}))</f>
        <v>0</v>
      </c>
      <c r="F66" s="98">
        <f>SUM(SUMIFS('caseload data'!H:H,'caseload data'!$D:$D,"PO",'caseload data'!$C:$C,'community caseload'!$B$64,'caseload data'!$B:$B,{"licence","community"}))</f>
        <v>0</v>
      </c>
      <c r="G66" s="98">
        <f>SUM(SUMIFS('caseload data'!I:I,'caseload data'!$D:$D,"PO",'caseload data'!$C:$C,'community caseload'!$B$64,'caseload data'!$B:$B,{"licence","community"}))</f>
        <v>0</v>
      </c>
      <c r="H66" s="98">
        <f>SUM(SUMIFS('caseload data'!J:J,'caseload data'!$D:$D,"PO",'caseload data'!$C:$C,'community caseload'!$B$64,'caseload data'!$B:$B,{"licence","community"}))</f>
        <v>0</v>
      </c>
      <c r="I66" s="98">
        <f>SUM(SUMIFS('caseload data'!K:K,'caseload data'!$D:$D,"PO",'caseload data'!$C:$C,'community caseload'!$B$64,'caseload data'!$B:$B,{"licence","community"}))</f>
        <v>0</v>
      </c>
      <c r="J66" s="98">
        <f>SUM(SUMIFS('caseload data'!L:L,'caseload data'!$D:$D,"PO",'caseload data'!$C:$C,'community caseload'!$B$64,'caseload data'!$B:$B,{"licence","community"}))</f>
        <v>0</v>
      </c>
      <c r="K66" s="98">
        <f>SUM(SUMIFS('caseload data'!M:M,'caseload data'!$D:$D,"PO",'caseload data'!$C:$C,'community caseload'!$B$64,'caseload data'!$B:$B,{"licence","community"}))</f>
        <v>0</v>
      </c>
      <c r="L66" s="98">
        <f>SUM(SUMIFS('caseload data'!N:N,'caseload data'!$D:$D,"PO",'caseload data'!$C:$C,'community caseload'!$B$64,'caseload data'!$B:$B,{"licence","community"}))</f>
        <v>0</v>
      </c>
      <c r="M66" s="98">
        <f>SUM(SUMIFS('caseload data'!O:O,'caseload data'!$D:$D,"PO",'caseload data'!$C:$C,'community caseload'!$B$64,'caseload data'!$B:$B,{"licence","community"}))</f>
        <v>0</v>
      </c>
      <c r="N66" s="98">
        <f>SUM(SUMIFS('caseload data'!P:P,'caseload data'!$D:$D,"PO",'caseload data'!$C:$C,'community caseload'!$B$64,'caseload data'!$B:$B,{"licence","community"}))</f>
        <v>0</v>
      </c>
      <c r="O66" s="98">
        <f>SUM(SUMIFS('caseload data'!Q:Q,'caseload data'!$D:$D,"PO",'caseload data'!$C:$C,'community caseload'!$B$64,'caseload data'!$B:$B,{"licence","community"}))</f>
        <v>0</v>
      </c>
      <c r="P66" s="98">
        <f>SUM(SUMIFS('caseload data'!R:R,'caseload data'!$D:$D,"PO",'caseload data'!$C:$C,'community caseload'!$B$64,'caseload data'!$B:$B,{"licence","community"}))</f>
        <v>0</v>
      </c>
      <c r="Q66" s="98">
        <f>SUM(SUMIFS('caseload data'!S:S,'caseload data'!$D:$D,"PO",'caseload data'!$C:$C,'community caseload'!$B$64,'caseload data'!$B:$B,{"licence","community"}))</f>
        <v>0</v>
      </c>
      <c r="R66" s="98">
        <f>SUM(SUMIFS('caseload data'!T:T,'caseload data'!$D:$D,"PO",'caseload data'!$C:$C,'community caseload'!$B$64,'caseload data'!$B:$B,{"licence","community"}))</f>
        <v>0</v>
      </c>
      <c r="S66" s="68"/>
      <c r="T66" s="100" t="s">
        <v>1166</v>
      </c>
      <c r="U66" s="98">
        <f>SUM(SUMIFS('caseload data'!E:E,'caseload data'!$D:$D,"PO",'caseload data'!$C:$C,'community caseload'!$T$64,'caseload data'!$B:$B,{"licence","community"}))</f>
        <v>0</v>
      </c>
      <c r="V66" s="98">
        <f>SUM(SUMIFS('caseload data'!F:F,'caseload data'!$D:$D,"PO",'caseload data'!$C:$C,'community caseload'!$T$64,'caseload data'!$B:$B,{"licence","community"}))</f>
        <v>0</v>
      </c>
      <c r="W66" s="98">
        <f>SUM(SUMIFS('caseload data'!G:G,'caseload data'!$D:$D,"PO",'caseload data'!$C:$C,'community caseload'!$T$64,'caseload data'!$B:$B,{"licence","community"}))</f>
        <v>0</v>
      </c>
      <c r="X66" s="98">
        <f>SUM(SUMIFS('caseload data'!H:H,'caseload data'!$D:$D,"PO",'caseload data'!$C:$C,'community caseload'!$T$64,'caseload data'!$B:$B,{"licence","community"}))</f>
        <v>0</v>
      </c>
      <c r="Y66" s="98">
        <f>SUM(SUMIFS('caseload data'!I:I,'caseload data'!$D:$D,"PO",'caseload data'!$C:$C,'community caseload'!$T$64,'caseload data'!$B:$B,{"licence","community"}))</f>
        <v>0</v>
      </c>
      <c r="Z66" s="98">
        <f>SUM(SUMIFS('caseload data'!J:J,'caseload data'!$D:$D,"PO",'caseload data'!$C:$C,'community caseload'!$T$64,'caseload data'!$B:$B,{"licence","community"}))</f>
        <v>0</v>
      </c>
      <c r="AA66" s="98">
        <f>SUM(SUMIFS('caseload data'!K:K,'caseload data'!$D:$D,"PO",'caseload data'!$C:$C,'community caseload'!$T$64,'caseload data'!$B:$B,{"licence","community"}))</f>
        <v>0</v>
      </c>
      <c r="AB66" s="98">
        <f>SUM(SUMIFS('caseload data'!L:L,'caseload data'!$D:$D,"PO",'caseload data'!$C:$C,'community caseload'!$T$64,'caseload data'!$B:$B,{"licence","community"}))</f>
        <v>0</v>
      </c>
      <c r="AC66" s="98">
        <f>SUM(SUMIFS('caseload data'!M:M,'caseload data'!$D:$D,"PO",'caseload data'!$C:$C,'community caseload'!$T$64,'caseload data'!$B:$B,{"licence","community"}))</f>
        <v>0</v>
      </c>
      <c r="AD66" s="98">
        <f>SUM(SUMIFS('caseload data'!N:N,'caseload data'!$D:$D,"PO",'caseload data'!$C:$C,'community caseload'!$T$64,'caseload data'!$B:$B,{"licence","community"}))</f>
        <v>0</v>
      </c>
      <c r="AE66" s="98">
        <f>SUM(SUMIFS('caseload data'!O:O,'caseload data'!$D:$D,"PO",'caseload data'!$C:$C,'community caseload'!$T$64,'caseload data'!$B:$B,{"licence","community"}))</f>
        <v>0</v>
      </c>
      <c r="AF66" s="98">
        <f>SUM(SUMIFS('caseload data'!P:P,'caseload data'!$D:$D,"PO",'caseload data'!$C:$C,'community caseload'!$T$64,'caseload data'!$B:$B,{"licence","community"}))</f>
        <v>0</v>
      </c>
      <c r="AG66" s="98">
        <f>SUM(SUMIFS('caseload data'!Q:Q,'caseload data'!$D:$D,"PO",'caseload data'!$C:$C,'community caseload'!$T$64,'caseload data'!$B:$B,{"licence","community"}))</f>
        <v>0</v>
      </c>
      <c r="AH66" s="98">
        <f>SUM(SUMIFS('caseload data'!R:R,'caseload data'!$D:$D,"PO",'caseload data'!$C:$C,'community caseload'!$T$64,'caseload data'!$B:$B,{"licence","community"}))</f>
        <v>0</v>
      </c>
      <c r="AI66" s="98">
        <f>SUM(SUMIFS('caseload data'!S:S,'caseload data'!$D:$D,"PO",'caseload data'!$C:$C,'community caseload'!$T$64,'caseload data'!$B:$B,{"licence","community"}))</f>
        <v>0</v>
      </c>
      <c r="AJ66" s="98">
        <f>SUM(SUMIFS('caseload data'!T:T,'caseload data'!$D:$D,"PO",'caseload data'!$C:$C,'community caseload'!$T$64,'caseload data'!$B:$B,{"licence","community"}))</f>
        <v>0</v>
      </c>
    </row>
    <row r="67" spans="2:36" x14ac:dyDescent="0.15">
      <c r="B67" s="101" t="s">
        <v>1172</v>
      </c>
      <c r="C67" s="98">
        <f>SUM(SUMIFS('caseload data'!E:E,'caseload data'!$D:$D,"PSO",'caseload data'!$C:$C,'community caseload'!$B$64,'caseload data'!$B:$B,{"licence","community"}))</f>
        <v>0</v>
      </c>
      <c r="D67" s="98">
        <f>SUM(SUMIFS('caseload data'!F:F,'caseload data'!$D:$D,"PSO",'caseload data'!$C:$C,'community caseload'!$B$64,'caseload data'!$B:$B,{"licence","community"}))</f>
        <v>0</v>
      </c>
      <c r="E67" s="98">
        <f>SUM(SUMIFS('caseload data'!G:G,'caseload data'!$D:$D,"PSO",'caseload data'!$C:$C,'community caseload'!$B$64,'caseload data'!$B:$B,{"licence","community"}))</f>
        <v>0</v>
      </c>
      <c r="F67" s="98">
        <f>SUM(SUMIFS('caseload data'!H:H,'caseload data'!$D:$D,"PSO",'caseload data'!$C:$C,'community caseload'!$B$64,'caseload data'!$B:$B,{"licence","community"}))</f>
        <v>0</v>
      </c>
      <c r="G67" s="98">
        <f>SUM(SUMIFS('caseload data'!I:I,'caseload data'!$D:$D,"PSO",'caseload data'!$C:$C,'community caseload'!$B$64,'caseload data'!$B:$B,{"licence","community"}))</f>
        <v>0</v>
      </c>
      <c r="H67" s="98">
        <f>SUM(SUMIFS('caseload data'!J:J,'caseload data'!$D:$D,"PSO",'caseload data'!$C:$C,'community caseload'!$B$64,'caseload data'!$B:$B,{"licence","community"}))</f>
        <v>0</v>
      </c>
      <c r="I67" s="98">
        <f>SUM(SUMIFS('caseload data'!K:K,'caseload data'!$D:$D,"PSO",'caseload data'!$C:$C,'community caseload'!$B$64,'caseload data'!$B:$B,{"licence","community"}))</f>
        <v>0</v>
      </c>
      <c r="J67" s="98">
        <f>SUM(SUMIFS('caseload data'!L:L,'caseload data'!$D:$D,"PSO",'caseload data'!$C:$C,'community caseload'!$B$64,'caseload data'!$B:$B,{"licence","community"}))</f>
        <v>0</v>
      </c>
      <c r="K67" s="98">
        <f>SUM(SUMIFS('caseload data'!M:M,'caseload data'!$D:$D,"PSO",'caseload data'!$C:$C,'community caseload'!$B$64,'caseload data'!$B:$B,{"licence","community"}))</f>
        <v>0</v>
      </c>
      <c r="L67" s="98">
        <f>SUM(SUMIFS('caseload data'!N:N,'caseload data'!$D:$D,"PSO",'caseload data'!$C:$C,'community caseload'!$B$64,'caseload data'!$B:$B,{"licence","community"}))</f>
        <v>0</v>
      </c>
      <c r="M67" s="98">
        <f>SUM(SUMIFS('caseload data'!O:O,'caseload data'!$D:$D,"PSO",'caseload data'!$C:$C,'community caseload'!$B$64,'caseload data'!$B:$B,{"licence","community"}))</f>
        <v>0</v>
      </c>
      <c r="N67" s="98">
        <f>SUM(SUMIFS('caseload data'!P:P,'caseload data'!$D:$D,"PSO",'caseload data'!$C:$C,'community caseload'!$B$64,'caseload data'!$B:$B,{"licence","community"}))</f>
        <v>0</v>
      </c>
      <c r="O67" s="98">
        <f>SUM(SUMIFS('caseload data'!Q:Q,'caseload data'!$D:$D,"PSO",'caseload data'!$C:$C,'community caseload'!$B$64,'caseload data'!$B:$B,{"licence","community"}))</f>
        <v>0</v>
      </c>
      <c r="P67" s="98">
        <f>SUM(SUMIFS('caseload data'!R:R,'caseload data'!$D:$D,"PSO",'caseload data'!$C:$C,'community caseload'!$B$64,'caseload data'!$B:$B,{"licence","community"}))</f>
        <v>0</v>
      </c>
      <c r="Q67" s="98">
        <f>SUM(SUMIFS('caseload data'!S:S,'caseload data'!$D:$D,"PSO",'caseload data'!$C:$C,'community caseload'!$B$64,'caseload data'!$B:$B,{"licence","community"}))</f>
        <v>0</v>
      </c>
      <c r="R67" s="98">
        <f>SUM(SUMIFS('caseload data'!T:T,'caseload data'!$D:$D,"PSO",'caseload data'!$C:$C,'community caseload'!$B$64,'caseload data'!$B:$B,{"licence","community"}))</f>
        <v>0</v>
      </c>
      <c r="S67" s="68"/>
      <c r="T67" s="101" t="s">
        <v>1172</v>
      </c>
      <c r="U67" s="98">
        <f>SUM(SUMIFS('caseload data'!E:E,'caseload data'!$D:$D,"PSO",'caseload data'!$C:$C,'community caseload'!$T$64,'caseload data'!$B:$B,{"licence","community"}))</f>
        <v>0</v>
      </c>
      <c r="V67" s="98">
        <f>SUM(SUMIFS('caseload data'!F:F,'caseload data'!$D:$D,"PSO",'caseload data'!$C:$C,'community caseload'!$T$64,'caseload data'!$B:$B,{"licence","community"}))</f>
        <v>0</v>
      </c>
      <c r="W67" s="98">
        <f>SUM(SUMIFS('caseload data'!G:G,'caseload data'!$D:$D,"PSO",'caseload data'!$C:$C,'community caseload'!$T$64,'caseload data'!$B:$B,{"licence","community"}))</f>
        <v>0</v>
      </c>
      <c r="X67" s="98">
        <f>SUM(SUMIFS('caseload data'!H:H,'caseload data'!$D:$D,"PSO",'caseload data'!$C:$C,'community caseload'!$T$64,'caseload data'!$B:$B,{"licence","community"}))</f>
        <v>0</v>
      </c>
      <c r="Y67" s="98">
        <f>SUM(SUMIFS('caseload data'!I:I,'caseload data'!$D:$D,"PSO",'caseload data'!$C:$C,'community caseload'!$T$64,'caseload data'!$B:$B,{"licence","community"}))</f>
        <v>0</v>
      </c>
      <c r="Z67" s="98">
        <f>SUM(SUMIFS('caseload data'!J:J,'caseload data'!$D:$D,"PSO",'caseload data'!$C:$C,'community caseload'!$T$64,'caseload data'!$B:$B,{"licence","community"}))</f>
        <v>0</v>
      </c>
      <c r="AA67" s="98">
        <f>SUM(SUMIFS('caseload data'!K:K,'caseload data'!$D:$D,"PSO",'caseload data'!$C:$C,'community caseload'!$T$64,'caseload data'!$B:$B,{"licence","community"}))</f>
        <v>0</v>
      </c>
      <c r="AB67" s="98">
        <f>SUM(SUMIFS('caseload data'!L:L,'caseload data'!$D:$D,"PSO",'caseload data'!$C:$C,'community caseload'!$T$64,'caseload data'!$B:$B,{"licence","community"}))</f>
        <v>0</v>
      </c>
      <c r="AC67" s="98">
        <f>SUM(SUMIFS('caseload data'!M:M,'caseload data'!$D:$D,"PSO",'caseload data'!$C:$C,'community caseload'!$T$64,'caseload data'!$B:$B,{"licence","community"}))</f>
        <v>0</v>
      </c>
      <c r="AD67" s="98">
        <f>SUM(SUMIFS('caseload data'!N:N,'caseload data'!$D:$D,"PSO",'caseload data'!$C:$C,'community caseload'!$T$64,'caseload data'!$B:$B,{"licence","community"}))</f>
        <v>0</v>
      </c>
      <c r="AE67" s="98">
        <f>SUM(SUMIFS('caseload data'!O:O,'caseload data'!$D:$D,"PSO",'caseload data'!$C:$C,'community caseload'!$T$64,'caseload data'!$B:$B,{"licence","community"}))</f>
        <v>0</v>
      </c>
      <c r="AF67" s="98">
        <f>SUM(SUMIFS('caseload data'!P:P,'caseload data'!$D:$D,"PSO",'caseload data'!$C:$C,'community caseload'!$T$64,'caseload data'!$B:$B,{"licence","community"}))</f>
        <v>0</v>
      </c>
      <c r="AG67" s="98">
        <f>SUM(SUMIFS('caseload data'!Q:Q,'caseload data'!$D:$D,"PSO",'caseload data'!$C:$C,'community caseload'!$T$64,'caseload data'!$B:$B,{"licence","community"}))</f>
        <v>0</v>
      </c>
      <c r="AH67" s="98">
        <f>SUM(SUMIFS('caseload data'!R:R,'caseload data'!$D:$D,"PSO",'caseload data'!$C:$C,'community caseload'!$T$64,'caseload data'!$B:$B,{"licence","community"}))</f>
        <v>0</v>
      </c>
      <c r="AI67" s="98">
        <f>SUM(SUMIFS('caseload data'!S:S,'caseload data'!$D:$D,"PSO",'caseload data'!$C:$C,'community caseload'!$T$64,'caseload data'!$B:$B,{"licence","community"}))</f>
        <v>0</v>
      </c>
      <c r="AJ67" s="98">
        <f>SUM(SUMIFS('caseload data'!T:T,'caseload data'!$D:$D,"PSO",'caseload data'!$C:$C,'community caseload'!$T$64,'caseload data'!$B:$B,{"licence","community"}))</f>
        <v>0</v>
      </c>
    </row>
    <row r="68" spans="2:36" x14ac:dyDescent="0.15">
      <c r="B68" s="101" t="s">
        <v>1173</v>
      </c>
      <c r="C68" s="98">
        <f>SUM(SUMIFS('caseload data'!E:E,'caseload data'!$D:$D,"TPO",'caseload data'!$C:$C,'community caseload'!$B$64,'caseload data'!$B:$B,{"licence","community"}))</f>
        <v>0</v>
      </c>
      <c r="D68" s="98">
        <f>SUM(SUMIFS('caseload data'!F:F,'caseload data'!$D:$D,"TPO",'caseload data'!$C:$C,'community caseload'!$B$64,'caseload data'!$B:$B,{"licence","community"}))</f>
        <v>0</v>
      </c>
      <c r="E68" s="98">
        <f>SUM(SUMIFS('caseload data'!G:G,'caseload data'!$D:$D,"TPO",'caseload data'!$C:$C,'community caseload'!$B$64,'caseload data'!$B:$B,{"licence","community"}))</f>
        <v>0</v>
      </c>
      <c r="F68" s="98">
        <f>SUM(SUMIFS('caseload data'!H:H,'caseload data'!$D:$D,"TPO",'caseload data'!$C:$C,'community caseload'!$B$64,'caseload data'!$B:$B,{"licence","community"}))</f>
        <v>0</v>
      </c>
      <c r="G68" s="98">
        <f>SUM(SUMIFS('caseload data'!I:I,'caseload data'!$D:$D,"TPO",'caseload data'!$C:$C,'community caseload'!$B$64,'caseload data'!$B:$B,{"licence","community"}))</f>
        <v>0</v>
      </c>
      <c r="H68" s="98">
        <f>SUM(SUMIFS('caseload data'!J:J,'caseload data'!$D:$D,"TPO",'caseload data'!$C:$C,'community caseload'!$B$64,'caseload data'!$B:$B,{"licence","community"}))</f>
        <v>0</v>
      </c>
      <c r="I68" s="98">
        <f>SUM(SUMIFS('caseload data'!K:K,'caseload data'!$D:$D,"TPO",'caseload data'!$C:$C,'community caseload'!$B$64,'caseload data'!$B:$B,{"licence","community"}))</f>
        <v>0</v>
      </c>
      <c r="J68" s="98">
        <f>SUM(SUMIFS('caseload data'!L:L,'caseload data'!$D:$D,"TPO",'caseload data'!$C:$C,'community caseload'!$B$64,'caseload data'!$B:$B,{"licence","community"}))</f>
        <v>0</v>
      </c>
      <c r="K68" s="98">
        <f>SUM(SUMIFS('caseload data'!M:M,'caseload data'!$D:$D,"TPO",'caseload data'!$C:$C,'community caseload'!$B$64,'caseload data'!$B:$B,{"licence","community"}))</f>
        <v>0</v>
      </c>
      <c r="L68" s="98">
        <f>SUM(SUMIFS('caseload data'!N:N,'caseload data'!$D:$D,"TPO",'caseload data'!$C:$C,'community caseload'!$B$64,'caseload data'!$B:$B,{"licence","community"}))</f>
        <v>0</v>
      </c>
      <c r="M68" s="98">
        <f>SUM(SUMIFS('caseload data'!O:O,'caseload data'!$D:$D,"TPO",'caseload data'!$C:$C,'community caseload'!$B$64,'caseload data'!$B:$B,{"licence","community"}))</f>
        <v>0</v>
      </c>
      <c r="N68" s="98">
        <f>SUM(SUMIFS('caseload data'!P:P,'caseload data'!$D:$D,"TPO",'caseload data'!$C:$C,'community caseload'!$B$64,'caseload data'!$B:$B,{"licence","community"}))</f>
        <v>0</v>
      </c>
      <c r="O68" s="98">
        <f>SUM(SUMIFS('caseload data'!Q:Q,'caseload data'!$D:$D,"TPO",'caseload data'!$C:$C,'community caseload'!$B$64,'caseload data'!$B:$B,{"licence","community"}))</f>
        <v>0</v>
      </c>
      <c r="P68" s="98">
        <f>SUM(SUMIFS('caseload data'!R:R,'caseload data'!$D:$D,"TPO",'caseload data'!$C:$C,'community caseload'!$B$64,'caseload data'!$B:$B,{"licence","community"}))</f>
        <v>0</v>
      </c>
      <c r="Q68" s="98">
        <f>SUM(SUMIFS('caseload data'!S:S,'caseload data'!$D:$D,"TPO",'caseload data'!$C:$C,'community caseload'!$B$64,'caseload data'!$B:$B,{"licence","community"}))</f>
        <v>0</v>
      </c>
      <c r="R68" s="98">
        <f>SUM(SUMIFS('caseload data'!T:T,'caseload data'!$D:$D,"TPO",'caseload data'!$C:$C,'community caseload'!$B$64,'caseload data'!$B:$B,{"licence","community"}))</f>
        <v>0</v>
      </c>
      <c r="S68" s="68"/>
      <c r="T68" s="101" t="s">
        <v>1173</v>
      </c>
      <c r="U68" s="98">
        <f>SUM(SUMIFS('caseload data'!E:E,'caseload data'!$D:$D,"TPO",'caseload data'!$C:$C,'community caseload'!$T$64,'caseload data'!$B:$B,{"licence","community"}))</f>
        <v>0</v>
      </c>
      <c r="V68" s="98">
        <f>SUM(SUMIFS('caseload data'!F:F,'caseload data'!$D:$D,"TPO",'caseload data'!$C:$C,'community caseload'!$T$64,'caseload data'!$B:$B,{"licence","community"}))</f>
        <v>0</v>
      </c>
      <c r="W68" s="98">
        <f>SUM(SUMIFS('caseload data'!G:G,'caseload data'!$D:$D,"TPO",'caseload data'!$C:$C,'community caseload'!$T$64,'caseload data'!$B:$B,{"licence","community"}))</f>
        <v>0</v>
      </c>
      <c r="X68" s="98">
        <f>SUM(SUMIFS('caseload data'!H:H,'caseload data'!$D:$D,"TPO",'caseload data'!$C:$C,'community caseload'!$T$64,'caseload data'!$B:$B,{"licence","community"}))</f>
        <v>0</v>
      </c>
      <c r="Y68" s="98">
        <f>SUM(SUMIFS('caseload data'!I:I,'caseload data'!$D:$D,"TPO",'caseload data'!$C:$C,'community caseload'!$T$64,'caseload data'!$B:$B,{"licence","community"}))</f>
        <v>0</v>
      </c>
      <c r="Z68" s="98">
        <f>SUM(SUMIFS('caseload data'!J:J,'caseload data'!$D:$D,"TPO",'caseload data'!$C:$C,'community caseload'!$T$64,'caseload data'!$B:$B,{"licence","community"}))</f>
        <v>0</v>
      </c>
      <c r="AA68" s="98">
        <f>SUM(SUMIFS('caseload data'!K:K,'caseload data'!$D:$D,"TPO",'caseload data'!$C:$C,'community caseload'!$T$64,'caseload data'!$B:$B,{"licence","community"}))</f>
        <v>0</v>
      </c>
      <c r="AB68" s="98">
        <f>SUM(SUMIFS('caseload data'!L:L,'caseload data'!$D:$D,"TPO",'caseload data'!$C:$C,'community caseload'!$T$64,'caseload data'!$B:$B,{"licence","community"}))</f>
        <v>0</v>
      </c>
      <c r="AC68" s="98">
        <f>SUM(SUMIFS('caseload data'!M:M,'caseload data'!$D:$D,"TPO",'caseload data'!$C:$C,'community caseload'!$T$64,'caseload data'!$B:$B,{"licence","community"}))</f>
        <v>0</v>
      </c>
      <c r="AD68" s="98">
        <f>SUM(SUMIFS('caseload data'!N:N,'caseload data'!$D:$D,"TPO",'caseload data'!$C:$C,'community caseload'!$T$64,'caseload data'!$B:$B,{"licence","community"}))</f>
        <v>0</v>
      </c>
      <c r="AE68" s="98">
        <f>SUM(SUMIFS('caseload data'!O:O,'caseload data'!$D:$D,"TPO",'caseload data'!$C:$C,'community caseload'!$T$64,'caseload data'!$B:$B,{"licence","community"}))</f>
        <v>0</v>
      </c>
      <c r="AF68" s="98">
        <f>SUM(SUMIFS('caseload data'!P:P,'caseload data'!$D:$D,"TPO",'caseload data'!$C:$C,'community caseload'!$T$64,'caseload data'!$B:$B,{"licence","community"}))</f>
        <v>0</v>
      </c>
      <c r="AG68" s="98">
        <f>SUM(SUMIFS('caseload data'!Q:Q,'caseload data'!$D:$D,"TPO",'caseload data'!$C:$C,'community caseload'!$T$64,'caseload data'!$B:$B,{"licence","community"}))</f>
        <v>0</v>
      </c>
      <c r="AH68" s="98">
        <f>SUM(SUMIFS('caseload data'!R:R,'caseload data'!$D:$D,"TPO",'caseload data'!$C:$C,'community caseload'!$T$64,'caseload data'!$B:$B,{"licence","community"}))</f>
        <v>0</v>
      </c>
      <c r="AI68" s="98">
        <f>SUM(SUMIFS('caseload data'!S:S,'caseload data'!$D:$D,"TPO",'caseload data'!$C:$C,'community caseload'!$T$64,'caseload data'!$B:$B,{"licence","community"}))</f>
        <v>0</v>
      </c>
      <c r="AJ68" s="98">
        <f>SUM(SUMIFS('caseload data'!T:T,'caseload data'!$D:$D,"TPO",'caseload data'!$C:$C,'community caseload'!$T$64,'caseload data'!$B:$B,{"licence","community"}))</f>
        <v>0</v>
      </c>
    </row>
    <row r="69" spans="2:36" x14ac:dyDescent="0.15">
      <c r="B69" s="102" t="s">
        <v>1174</v>
      </c>
      <c r="C69" s="98">
        <f>SUM(SUMIFS('caseload data'!E:E,'caseload data'!$D:$D,"SPO",'caseload data'!$C:$C,'community caseload'!$B$64,'caseload data'!$B:$B,{"licence","community"}))</f>
        <v>0</v>
      </c>
      <c r="D69" s="98">
        <f>SUM(SUMIFS('caseload data'!F:F,'caseload data'!$D:$D,"SPO",'caseload data'!$C:$C,'community caseload'!$B$64,'caseload data'!$B:$B,{"licence","community"}))</f>
        <v>0</v>
      </c>
      <c r="E69" s="98">
        <f>SUM(SUMIFS('caseload data'!G:G,'caseload data'!$D:$D,"SPO",'caseload data'!$C:$C,'community caseload'!$B$64,'caseload data'!$B:$B,{"licence","community"}))</f>
        <v>0</v>
      </c>
      <c r="F69" s="98">
        <f>SUM(SUMIFS('caseload data'!H:H,'caseload data'!$D:$D,"SPO",'caseload data'!$C:$C,'community caseload'!$B$64,'caseload data'!$B:$B,{"licence","community"}))</f>
        <v>0</v>
      </c>
      <c r="G69" s="98">
        <f>SUM(SUMIFS('caseload data'!I:I,'caseload data'!$D:$D,"SPO",'caseload data'!$C:$C,'community caseload'!$B$64,'caseload data'!$B:$B,{"licence","community"}))</f>
        <v>0</v>
      </c>
      <c r="H69" s="98">
        <f>SUM(SUMIFS('caseload data'!J:J,'caseload data'!$D:$D,"SPO",'caseload data'!$C:$C,'community caseload'!$B$64,'caseload data'!$B:$B,{"licence","community"}))</f>
        <v>0</v>
      </c>
      <c r="I69" s="98">
        <f>SUM(SUMIFS('caseload data'!K:K,'caseload data'!$D:$D,"SPO",'caseload data'!$C:$C,'community caseload'!$B$64,'caseload data'!$B:$B,{"licence","community"}))</f>
        <v>0</v>
      </c>
      <c r="J69" s="98">
        <f>SUM(SUMIFS('caseload data'!L:L,'caseload data'!$D:$D,"SPO",'caseload data'!$C:$C,'community caseload'!$B$64,'caseload data'!$B:$B,{"licence","community"}))</f>
        <v>0</v>
      </c>
      <c r="K69" s="98">
        <f>SUM(SUMIFS('caseload data'!M:M,'caseload data'!$D:$D,"SPO",'caseload data'!$C:$C,'community caseload'!$B$64,'caseload data'!$B:$B,{"licence","community"}))</f>
        <v>0</v>
      </c>
      <c r="L69" s="98">
        <f>SUM(SUMIFS('caseload data'!N:N,'caseload data'!$D:$D,"SPO",'caseload data'!$C:$C,'community caseload'!$B$64,'caseload data'!$B:$B,{"licence","community"}))</f>
        <v>0</v>
      </c>
      <c r="M69" s="98">
        <f>SUM(SUMIFS('caseload data'!O:O,'caseload data'!$D:$D,"SPO",'caseload data'!$C:$C,'community caseload'!$B$64,'caseload data'!$B:$B,{"licence","community"}))</f>
        <v>0</v>
      </c>
      <c r="N69" s="98">
        <f>SUM(SUMIFS('caseload data'!P:P,'caseload data'!$D:$D,"SPO",'caseload data'!$C:$C,'community caseload'!$B$64,'caseload data'!$B:$B,{"licence","community"}))</f>
        <v>0</v>
      </c>
      <c r="O69" s="98">
        <f>SUM(SUMIFS('caseload data'!Q:Q,'caseload data'!$D:$D,"SPO",'caseload data'!$C:$C,'community caseload'!$B$64,'caseload data'!$B:$B,{"licence","community"}))</f>
        <v>0</v>
      </c>
      <c r="P69" s="98">
        <f>SUM(SUMIFS('caseload data'!R:R,'caseload data'!$D:$D,"SPO",'caseload data'!$C:$C,'community caseload'!$B$64,'caseload data'!$B:$B,{"licence","community"}))</f>
        <v>0</v>
      </c>
      <c r="Q69" s="98">
        <f>SUM(SUMIFS('caseload data'!S:S,'caseload data'!$D:$D,"SPO",'caseload data'!$C:$C,'community caseload'!$B$64,'caseload data'!$B:$B,{"licence","community"}))</f>
        <v>0</v>
      </c>
      <c r="R69" s="98">
        <f>SUM(SUMIFS('caseload data'!T:T,'caseload data'!$D:$D,"SPO",'caseload data'!$C:$C,'community caseload'!$B$64,'caseload data'!$B:$B,{"licence","community"}))</f>
        <v>0</v>
      </c>
      <c r="S69" s="68"/>
      <c r="T69" s="102" t="s">
        <v>1174</v>
      </c>
      <c r="U69" s="98">
        <f>SUM(SUMIFS('caseload data'!E:E,'caseload data'!$D:$D,"SPO",'caseload data'!$C:$C,'community caseload'!$T$64,'caseload data'!$B:$B,{"licence","community"}))</f>
        <v>0</v>
      </c>
      <c r="V69" s="98">
        <f>SUM(SUMIFS('caseload data'!F:F,'caseload data'!$D:$D,"SPO",'caseload data'!$C:$C,'community caseload'!$T$64,'caseload data'!$B:$B,{"licence","community"}))</f>
        <v>0</v>
      </c>
      <c r="W69" s="98">
        <f>SUM(SUMIFS('caseload data'!G:G,'caseload data'!$D:$D,"SPO",'caseload data'!$C:$C,'community caseload'!$T$64,'caseload data'!$B:$B,{"licence","community"}))</f>
        <v>0</v>
      </c>
      <c r="X69" s="98">
        <f>SUM(SUMIFS('caseload data'!H:H,'caseload data'!$D:$D,"SPO",'caseload data'!$C:$C,'community caseload'!$T$64,'caseload data'!$B:$B,{"licence","community"}))</f>
        <v>0</v>
      </c>
      <c r="Y69" s="98">
        <f>SUM(SUMIFS('caseload data'!I:I,'caseload data'!$D:$D,"SPO",'caseload data'!$C:$C,'community caseload'!$T$64,'caseload data'!$B:$B,{"licence","community"}))</f>
        <v>0</v>
      </c>
      <c r="Z69" s="98">
        <f>SUM(SUMIFS('caseload data'!J:J,'caseload data'!$D:$D,"SPO",'caseload data'!$C:$C,'community caseload'!$T$64,'caseload data'!$B:$B,{"licence","community"}))</f>
        <v>0</v>
      </c>
      <c r="AA69" s="98">
        <f>SUM(SUMIFS('caseload data'!K:K,'caseload data'!$D:$D,"SPO",'caseload data'!$C:$C,'community caseload'!$T$64,'caseload data'!$B:$B,{"licence","community"}))</f>
        <v>0</v>
      </c>
      <c r="AB69" s="98">
        <f>SUM(SUMIFS('caseload data'!L:L,'caseload data'!$D:$D,"SPO",'caseload data'!$C:$C,'community caseload'!$T$64,'caseload data'!$B:$B,{"licence","community"}))</f>
        <v>0</v>
      </c>
      <c r="AC69" s="98">
        <f>SUM(SUMIFS('caseload data'!M:M,'caseload data'!$D:$D,"SPO",'caseload data'!$C:$C,'community caseload'!$T$64,'caseload data'!$B:$B,{"licence","community"}))</f>
        <v>0</v>
      </c>
      <c r="AD69" s="98">
        <f>SUM(SUMIFS('caseload data'!N:N,'caseload data'!$D:$D,"SPO",'caseload data'!$C:$C,'community caseload'!$T$64,'caseload data'!$B:$B,{"licence","community"}))</f>
        <v>0</v>
      </c>
      <c r="AE69" s="98">
        <f>SUM(SUMIFS('caseload data'!O:O,'caseload data'!$D:$D,"SPO",'caseload data'!$C:$C,'community caseload'!$T$64,'caseload data'!$B:$B,{"licence","community"}))</f>
        <v>0</v>
      </c>
      <c r="AF69" s="98">
        <f>SUM(SUMIFS('caseload data'!P:P,'caseload data'!$D:$D,"SPO",'caseload data'!$C:$C,'community caseload'!$T$64,'caseload data'!$B:$B,{"licence","community"}))</f>
        <v>0</v>
      </c>
      <c r="AG69" s="98">
        <f>SUM(SUMIFS('caseload data'!Q:Q,'caseload data'!$D:$D,"SPO",'caseload data'!$C:$C,'community caseload'!$T$64,'caseload data'!$B:$B,{"licence","community"}))</f>
        <v>0</v>
      </c>
      <c r="AH69" s="98">
        <f>SUM(SUMIFS('caseload data'!R:R,'caseload data'!$D:$D,"SPO",'caseload data'!$C:$C,'community caseload'!$T$64,'caseload data'!$B:$B,{"licence","community"}))</f>
        <v>0</v>
      </c>
      <c r="AI69" s="98">
        <f>SUM(SUMIFS('caseload data'!S:S,'caseload data'!$D:$D,"SPO",'caseload data'!$C:$C,'community caseload'!$T$64,'caseload data'!$B:$B,{"licence","community"}))</f>
        <v>0</v>
      </c>
      <c r="AJ69" s="98">
        <f>SUM(SUMIFS('caseload data'!T:T,'caseload data'!$D:$D,"SPO",'caseload data'!$C:$C,'community caseload'!$T$64,'caseload data'!$B:$B,{"licence","community"}))</f>
        <v>0</v>
      </c>
    </row>
    <row r="71" spans="2:36" ht="24.75" customHeight="1" x14ac:dyDescent="0.15">
      <c r="B71" s="302" t="str">
        <f>HLOOKUP($B$5,Region_Table,20,0)</f>
        <v>Redbridge and Waltham Forest</v>
      </c>
      <c r="C71" s="459" t="s">
        <v>1309</v>
      </c>
      <c r="D71" s="460"/>
      <c r="E71" s="460"/>
      <c r="F71" s="460"/>
      <c r="G71" s="460"/>
      <c r="H71" s="460"/>
      <c r="I71" s="460"/>
      <c r="J71" s="460"/>
      <c r="K71" s="460"/>
      <c r="L71" s="460"/>
      <c r="M71" s="489"/>
      <c r="N71" s="489"/>
      <c r="O71" s="490"/>
      <c r="P71" s="462" cm="1">
        <f t="array" ref="P71">SUM(SUMIFS('caseload data'!V:V,'caseload data'!B:B,{"licence","community"},'caseload data'!$C:$C,'community caseload'!B71))</f>
        <v>0</v>
      </c>
      <c r="Q71" s="479"/>
      <c r="R71" s="480"/>
      <c r="S71" s="305"/>
      <c r="T71" s="302" t="str">
        <f>HLOOKUP($B$5,Region_Table,21,0)</f>
        <v>Southwark - N07</v>
      </c>
      <c r="U71" s="459" t="s">
        <v>1309</v>
      </c>
      <c r="V71" s="460"/>
      <c r="W71" s="460"/>
      <c r="X71" s="460"/>
      <c r="Y71" s="460"/>
      <c r="Z71" s="460"/>
      <c r="AA71" s="460"/>
      <c r="AB71" s="460"/>
      <c r="AC71" s="460"/>
      <c r="AD71" s="460"/>
      <c r="AE71" s="489"/>
      <c r="AF71" s="489"/>
      <c r="AG71" s="490"/>
      <c r="AH71" s="462" cm="1">
        <f t="array" ref="AH71">SUM(SUMIFS('caseload data'!V:V,'caseload data'!B:B,{"licence","community"},'caseload data'!$C:$C,'community caseload'!T71))</f>
        <v>0</v>
      </c>
      <c r="AI71" s="479"/>
      <c r="AJ71" s="480"/>
    </row>
    <row r="72" spans="2:36" x14ac:dyDescent="0.15">
      <c r="B72" s="99" t="s">
        <v>1170</v>
      </c>
      <c r="C72" s="40" t="s">
        <v>1022</v>
      </c>
      <c r="D72" s="40" t="s">
        <v>1023</v>
      </c>
      <c r="E72" s="40" t="s">
        <v>1024</v>
      </c>
      <c r="F72" s="40" t="s">
        <v>1025</v>
      </c>
      <c r="G72" s="40" t="s">
        <v>1026</v>
      </c>
      <c r="H72" s="40" t="s">
        <v>1027</v>
      </c>
      <c r="I72" s="40" t="s">
        <v>1028</v>
      </c>
      <c r="J72" s="40" t="s">
        <v>1029</v>
      </c>
      <c r="K72" s="40" t="s">
        <v>1030</v>
      </c>
      <c r="L72" s="40" t="s">
        <v>1031</v>
      </c>
      <c r="M72" s="40" t="s">
        <v>1032</v>
      </c>
      <c r="N72" s="40" t="s">
        <v>1033</v>
      </c>
      <c r="O72" s="40" t="s">
        <v>1034</v>
      </c>
      <c r="P72" s="40" t="s">
        <v>1035</v>
      </c>
      <c r="Q72" s="40" t="s">
        <v>1036</v>
      </c>
      <c r="R72" s="40" t="s">
        <v>1037</v>
      </c>
      <c r="T72" s="99" t="s">
        <v>1170</v>
      </c>
      <c r="U72" s="40" t="s">
        <v>1022</v>
      </c>
      <c r="V72" s="40" t="s">
        <v>1023</v>
      </c>
      <c r="W72" s="40" t="s">
        <v>1024</v>
      </c>
      <c r="X72" s="40" t="s">
        <v>1025</v>
      </c>
      <c r="Y72" s="40" t="s">
        <v>1026</v>
      </c>
      <c r="Z72" s="40" t="s">
        <v>1027</v>
      </c>
      <c r="AA72" s="40" t="s">
        <v>1028</v>
      </c>
      <c r="AB72" s="40" t="s">
        <v>1029</v>
      </c>
      <c r="AC72" s="40" t="s">
        <v>1030</v>
      </c>
      <c r="AD72" s="40" t="s">
        <v>1031</v>
      </c>
      <c r="AE72" s="40" t="s">
        <v>1032</v>
      </c>
      <c r="AF72" s="40" t="s">
        <v>1033</v>
      </c>
      <c r="AG72" s="40" t="s">
        <v>1034</v>
      </c>
      <c r="AH72" s="40" t="s">
        <v>1035</v>
      </c>
      <c r="AI72" s="40" t="s">
        <v>1036</v>
      </c>
      <c r="AJ72" s="40" t="s">
        <v>1037</v>
      </c>
    </row>
    <row r="73" spans="2:36" x14ac:dyDescent="0.15">
      <c r="B73" s="100" t="s">
        <v>1166</v>
      </c>
      <c r="C73" s="98">
        <f>SUM(SUMIFS('caseload data'!E:E,'caseload data'!$D:$D,"PO",'caseload data'!$C:$C,'community caseload'!$B$71,'caseload data'!$B:$B,{"licence","community"}))</f>
        <v>0</v>
      </c>
      <c r="D73" s="98">
        <f>SUM(SUMIFS('caseload data'!F:F,'caseload data'!$D:$D,"PO",'caseload data'!$C:$C,'community caseload'!$B$71,'caseload data'!$B:$B,{"licence","community"}))</f>
        <v>0</v>
      </c>
      <c r="E73" s="98">
        <f>SUM(SUMIFS('caseload data'!G:G,'caseload data'!$D:$D,"PO",'caseload data'!$C:$C,'community caseload'!$B$71,'caseload data'!$B:$B,{"licence","community"}))</f>
        <v>0</v>
      </c>
      <c r="F73" s="98">
        <f>SUM(SUMIFS('caseload data'!H:H,'caseload data'!$D:$D,"PO",'caseload data'!$C:$C,'community caseload'!$B$71,'caseload data'!$B:$B,{"licence","community"}))</f>
        <v>0</v>
      </c>
      <c r="G73" s="98">
        <f>SUM(SUMIFS('caseload data'!I:I,'caseload data'!$D:$D,"PO",'caseload data'!$C:$C,'community caseload'!$B$71,'caseload data'!$B:$B,{"licence","community"}))</f>
        <v>0</v>
      </c>
      <c r="H73" s="98">
        <f>SUM(SUMIFS('caseload data'!J:J,'caseload data'!$D:$D,"PO",'caseload data'!$C:$C,'community caseload'!$B$71,'caseload data'!$B:$B,{"licence","community"}))</f>
        <v>0</v>
      </c>
      <c r="I73" s="98">
        <f>SUM(SUMIFS('caseload data'!K:K,'caseload data'!$D:$D,"PO",'caseload data'!$C:$C,'community caseload'!$B$71,'caseload data'!$B:$B,{"licence","community"}))</f>
        <v>0</v>
      </c>
      <c r="J73" s="98">
        <f>SUM(SUMIFS('caseload data'!L:L,'caseload data'!$D:$D,"PO",'caseload data'!$C:$C,'community caseload'!$B$71,'caseload data'!$B:$B,{"licence","community"}))</f>
        <v>0</v>
      </c>
      <c r="K73" s="98">
        <f>SUM(SUMIFS('caseload data'!M:M,'caseload data'!$D:$D,"PO",'caseload data'!$C:$C,'community caseload'!$B$71,'caseload data'!$B:$B,{"licence","community"}))</f>
        <v>0</v>
      </c>
      <c r="L73" s="98">
        <f>SUM(SUMIFS('caseload data'!N:N,'caseload data'!$D:$D,"PO",'caseload data'!$C:$C,'community caseload'!$B$71,'caseload data'!$B:$B,{"licence","community"}))</f>
        <v>0</v>
      </c>
      <c r="M73" s="98">
        <f>SUM(SUMIFS('caseload data'!O:O,'caseload data'!$D:$D,"PO",'caseload data'!$C:$C,'community caseload'!$B$71,'caseload data'!$B:$B,{"licence","community"}))</f>
        <v>0</v>
      </c>
      <c r="N73" s="98">
        <f>SUM(SUMIFS('caseload data'!P:P,'caseload data'!$D:$D,"PO",'caseload data'!$C:$C,'community caseload'!$B$71,'caseload data'!$B:$B,{"licence","community"}))</f>
        <v>0</v>
      </c>
      <c r="O73" s="98">
        <f>SUM(SUMIFS('caseload data'!Q:Q,'caseload data'!$D:$D,"PO",'caseload data'!$C:$C,'community caseload'!$B$71,'caseload data'!$B:$B,{"licence","community"}))</f>
        <v>0</v>
      </c>
      <c r="P73" s="98">
        <f>SUM(SUMIFS('caseload data'!R:R,'caseload data'!$D:$D,"PO",'caseload data'!$C:$C,'community caseload'!$B$71,'caseload data'!$B:$B,{"licence","community"}))</f>
        <v>0</v>
      </c>
      <c r="Q73" s="98">
        <f>SUM(SUMIFS('caseload data'!S:S,'caseload data'!$D:$D,"PO",'caseload data'!$C:$C,'community caseload'!$B$71,'caseload data'!$B:$B,{"licence","community"}))</f>
        <v>0</v>
      </c>
      <c r="R73" s="98">
        <f>SUM(SUMIFS('caseload data'!T:T,'caseload data'!$D:$D,"PO",'caseload data'!$C:$C,'community caseload'!$B$71,'caseload data'!$B:$B,{"licence","community"}))</f>
        <v>0</v>
      </c>
      <c r="T73" s="100" t="s">
        <v>1166</v>
      </c>
      <c r="U73" s="98" cm="1">
        <f t="array" ref="U73">SUM(SUMIFS('caseload data'!E:E,'caseload data'!$D:$D,"PO",'caseload data'!$C:$C,'community caseload'!$T$71,'caseload data'!$B:$B,{"licence","community"}))</f>
        <v>0</v>
      </c>
      <c r="V73" s="98" cm="1">
        <f t="array" ref="V73">SUM(SUMIFS('caseload data'!F:F,'caseload data'!$D:$D,"PO",'caseload data'!$C:$C,'community caseload'!$T$71,'caseload data'!$B:$B,{"licence","community"}))</f>
        <v>0</v>
      </c>
      <c r="W73" s="98" cm="1">
        <f t="array" ref="W73">SUM(SUMIFS('caseload data'!G:G,'caseload data'!$D:$D,"PO",'caseload data'!$C:$C,'community caseload'!$T$71,'caseload data'!$B:$B,{"licence","community"}))</f>
        <v>0</v>
      </c>
      <c r="X73" s="98" cm="1">
        <f t="array" ref="X73">SUM(SUMIFS('caseload data'!H:H,'caseload data'!$D:$D,"PO",'caseload data'!$C:$C,'community caseload'!$T$71,'caseload data'!$B:$B,{"licence","community"}))</f>
        <v>0</v>
      </c>
      <c r="Y73" s="98" cm="1">
        <f t="array" ref="Y73">SUM(SUMIFS('caseload data'!I:I,'caseload data'!$D:$D,"PO",'caseload data'!$C:$C,'community caseload'!$T$71,'caseload data'!$B:$B,{"licence","community"}))</f>
        <v>0</v>
      </c>
      <c r="Z73" s="98" cm="1">
        <f t="array" ref="Z73">SUM(SUMIFS('caseload data'!J:J,'caseload data'!$D:$D,"PO",'caseload data'!$C:$C,'community caseload'!$T$71,'caseload data'!$B:$B,{"licence","community"}))</f>
        <v>0</v>
      </c>
      <c r="AA73" s="98" cm="1">
        <f t="array" ref="AA73">SUM(SUMIFS('caseload data'!K:K,'caseload data'!$D:$D,"PO",'caseload data'!$C:$C,'community caseload'!$T$71,'caseload data'!$B:$B,{"licence","community"}))</f>
        <v>0</v>
      </c>
      <c r="AB73" s="98" cm="1">
        <f t="array" ref="AB73">SUM(SUMIFS('caseload data'!L:L,'caseload data'!$D:$D,"PO",'caseload data'!$C:$C,'community caseload'!$T$71,'caseload data'!$B:$B,{"licence","community"}))</f>
        <v>0</v>
      </c>
      <c r="AC73" s="98" cm="1">
        <f t="array" ref="AC73">SUM(SUMIFS('caseload data'!M:M,'caseload data'!$D:$D,"PO",'caseload data'!$C:$C,'community caseload'!$T$71,'caseload data'!$B:$B,{"licence","community"}))</f>
        <v>0</v>
      </c>
      <c r="AD73" s="98" cm="1">
        <f t="array" ref="AD73">SUM(SUMIFS('caseload data'!N:N,'caseload data'!$D:$D,"PO",'caseload data'!$C:$C,'community caseload'!$T$71,'caseload data'!$B:$B,{"licence","community"}))</f>
        <v>0</v>
      </c>
      <c r="AE73" s="98" cm="1">
        <f t="array" ref="AE73">SUM(SUMIFS('caseload data'!O:O,'caseload data'!$D:$D,"PO",'caseload data'!$C:$C,'community caseload'!$T$71,'caseload data'!$B:$B,{"licence","community"}))</f>
        <v>0</v>
      </c>
      <c r="AF73" s="98" cm="1">
        <f t="array" ref="AF73">SUM(SUMIFS('caseload data'!P:P,'caseload data'!$D:$D,"PO",'caseload data'!$C:$C,'community caseload'!$T$71,'caseload data'!$B:$B,{"licence","community"}))</f>
        <v>0</v>
      </c>
      <c r="AG73" s="98" cm="1">
        <f t="array" ref="AG73">SUM(SUMIFS('caseload data'!Q:Q,'caseload data'!$D:$D,"PO",'caseload data'!$C:$C,'community caseload'!$T$71,'caseload data'!$B:$B,{"licence","community"}))</f>
        <v>0</v>
      </c>
      <c r="AH73" s="98" cm="1">
        <f t="array" ref="AH73">SUM(SUMIFS('caseload data'!R:R,'caseload data'!$D:$D,"PO",'caseload data'!$C:$C,'community caseload'!$T$71,'caseload data'!$B:$B,{"licence","community"}))</f>
        <v>0</v>
      </c>
      <c r="AI73" s="98" cm="1">
        <f t="array" ref="AI73">SUM(SUMIFS('caseload data'!S:S,'caseload data'!$D:$D,"PO",'caseload data'!$C:$C,'community caseload'!$T$71,'caseload data'!$B:$B,{"licence","community"}))</f>
        <v>0</v>
      </c>
      <c r="AJ73" s="98" cm="1">
        <f t="array" ref="AJ73">SUM(SUMIFS('caseload data'!T:T,'caseload data'!$D:$D,"PO",'caseload data'!$C:$C,'community caseload'!$T$71,'caseload data'!$B:$B,{"licence","community"}))</f>
        <v>0</v>
      </c>
    </row>
    <row r="74" spans="2:36" x14ac:dyDescent="0.15">
      <c r="B74" s="101" t="s">
        <v>1172</v>
      </c>
      <c r="C74" s="98">
        <f>SUM(SUMIFS('caseload data'!E:E,'caseload data'!$D:$D,"PSO",'caseload data'!$C:$C,'community caseload'!$B$71,'caseload data'!$B:$B,{"licence","community"}))</f>
        <v>0</v>
      </c>
      <c r="D74" s="98">
        <f>SUM(SUMIFS('caseload data'!F:F,'caseload data'!$D:$D,"PSO",'caseload data'!$C:$C,'community caseload'!$B$71,'caseload data'!$B:$B,{"licence","community"}))</f>
        <v>0</v>
      </c>
      <c r="E74" s="98">
        <f>SUM(SUMIFS('caseload data'!G:G,'caseload data'!$D:$D,"PSO",'caseload data'!$C:$C,'community caseload'!$B$71,'caseload data'!$B:$B,{"licence","community"}))</f>
        <v>0</v>
      </c>
      <c r="F74" s="98">
        <f>SUM(SUMIFS('caseload data'!H:H,'caseload data'!$D:$D,"PSO",'caseload data'!$C:$C,'community caseload'!$B$71,'caseload data'!$B:$B,{"licence","community"}))</f>
        <v>0</v>
      </c>
      <c r="G74" s="98">
        <f>SUM(SUMIFS('caseload data'!I:I,'caseload data'!$D:$D,"PSO",'caseload data'!$C:$C,'community caseload'!$B$71,'caseload data'!$B:$B,{"licence","community"}))</f>
        <v>0</v>
      </c>
      <c r="H74" s="98">
        <f>SUM(SUMIFS('caseload data'!J:J,'caseload data'!$D:$D,"PSO",'caseload data'!$C:$C,'community caseload'!$B$71,'caseload data'!$B:$B,{"licence","community"}))</f>
        <v>0</v>
      </c>
      <c r="I74" s="98">
        <f>SUM(SUMIFS('caseload data'!K:K,'caseload data'!$D:$D,"PSO",'caseload data'!$C:$C,'community caseload'!$B$71,'caseload data'!$B:$B,{"licence","community"}))</f>
        <v>0</v>
      </c>
      <c r="J74" s="98">
        <f>SUM(SUMIFS('caseload data'!L:L,'caseload data'!$D:$D,"PSO",'caseload data'!$C:$C,'community caseload'!$B$71,'caseload data'!$B:$B,{"licence","community"}))</f>
        <v>0</v>
      </c>
      <c r="K74" s="98">
        <f>SUM(SUMIFS('caseload data'!M:M,'caseload data'!$D:$D,"PSO",'caseload data'!$C:$C,'community caseload'!$B$71,'caseload data'!$B:$B,{"licence","community"}))</f>
        <v>0</v>
      </c>
      <c r="L74" s="98">
        <f>SUM(SUMIFS('caseload data'!N:N,'caseload data'!$D:$D,"PSO",'caseload data'!$C:$C,'community caseload'!$B$71,'caseload data'!$B:$B,{"licence","community"}))</f>
        <v>0</v>
      </c>
      <c r="M74" s="98">
        <f>SUM(SUMIFS('caseload data'!O:O,'caseload data'!$D:$D,"PSO",'caseload data'!$C:$C,'community caseload'!$B$71,'caseload data'!$B:$B,{"licence","community"}))</f>
        <v>0</v>
      </c>
      <c r="N74" s="98">
        <f>SUM(SUMIFS('caseload data'!P:P,'caseload data'!$D:$D,"PSO",'caseload data'!$C:$C,'community caseload'!$B$71,'caseload data'!$B:$B,{"licence","community"}))</f>
        <v>0</v>
      </c>
      <c r="O74" s="98">
        <f>SUM(SUMIFS('caseload data'!Q:Q,'caseload data'!$D:$D,"PSO",'caseload data'!$C:$C,'community caseload'!$B$71,'caseload data'!$B:$B,{"licence","community"}))</f>
        <v>0</v>
      </c>
      <c r="P74" s="98">
        <f>SUM(SUMIFS('caseload data'!R:R,'caseload data'!$D:$D,"PSO",'caseload data'!$C:$C,'community caseload'!$B$71,'caseload data'!$B:$B,{"licence","community"}))</f>
        <v>0</v>
      </c>
      <c r="Q74" s="98">
        <f>SUM(SUMIFS('caseload data'!S:S,'caseload data'!$D:$D,"PSO",'caseload data'!$C:$C,'community caseload'!$B$71,'caseload data'!$B:$B,{"licence","community"}))</f>
        <v>0</v>
      </c>
      <c r="R74" s="98">
        <f>SUM(SUMIFS('caseload data'!T:T,'caseload data'!$D:$D,"PSO",'caseload data'!$C:$C,'community caseload'!$B$71,'caseload data'!$B:$B,{"licence","community"}))</f>
        <v>0</v>
      </c>
      <c r="T74" s="101" t="s">
        <v>1172</v>
      </c>
      <c r="U74" s="98" cm="1">
        <f t="array" ref="U74">SUM(SUMIFS('caseload data'!E:E,'caseload data'!$D:$D,"PSO",'caseload data'!$C:$C,'community caseload'!$T$71,'caseload data'!$B:$B,{"licence","community"}))</f>
        <v>0</v>
      </c>
      <c r="V74" s="98" cm="1">
        <f t="array" ref="V74">SUM(SUMIFS('caseload data'!F:F,'caseload data'!$D:$D,"PSO",'caseload data'!$C:$C,'community caseload'!$T$71,'caseload data'!$B:$B,{"licence","community"}))</f>
        <v>0</v>
      </c>
      <c r="W74" s="98" cm="1">
        <f t="array" ref="W74">SUM(SUMIFS('caseload data'!G:G,'caseload data'!$D:$D,"PSO",'caseload data'!$C:$C,'community caseload'!$T$71,'caseload data'!$B:$B,{"licence","community"}))</f>
        <v>0</v>
      </c>
      <c r="X74" s="98" cm="1">
        <f t="array" ref="X74">SUM(SUMIFS('caseload data'!H:H,'caseload data'!$D:$D,"PSO",'caseload data'!$C:$C,'community caseload'!$T$71,'caseload data'!$B:$B,{"licence","community"}))</f>
        <v>0</v>
      </c>
      <c r="Y74" s="98" cm="1">
        <f t="array" ref="Y74">SUM(SUMIFS('caseload data'!I:I,'caseload data'!$D:$D,"PSO",'caseload data'!$C:$C,'community caseload'!$T$71,'caseload data'!$B:$B,{"licence","community"}))</f>
        <v>0</v>
      </c>
      <c r="Z74" s="98" cm="1">
        <f t="array" ref="Z74">SUM(SUMIFS('caseload data'!J:J,'caseload data'!$D:$D,"PSO",'caseload data'!$C:$C,'community caseload'!$T$71,'caseload data'!$B:$B,{"licence","community"}))</f>
        <v>0</v>
      </c>
      <c r="AA74" s="98" cm="1">
        <f t="array" ref="AA74">SUM(SUMIFS('caseload data'!K:K,'caseload data'!$D:$D,"PSO",'caseload data'!$C:$C,'community caseload'!$T$71,'caseload data'!$B:$B,{"licence","community"}))</f>
        <v>0</v>
      </c>
      <c r="AB74" s="98" cm="1">
        <f t="array" ref="AB74">SUM(SUMIFS('caseload data'!L:L,'caseload data'!$D:$D,"PSO",'caseload data'!$C:$C,'community caseload'!$T$71,'caseload data'!$B:$B,{"licence","community"}))</f>
        <v>0</v>
      </c>
      <c r="AC74" s="98" cm="1">
        <f t="array" ref="AC74">SUM(SUMIFS('caseload data'!M:M,'caseload data'!$D:$D,"PSO",'caseload data'!$C:$C,'community caseload'!$T$71,'caseload data'!$B:$B,{"licence","community"}))</f>
        <v>0</v>
      </c>
      <c r="AD74" s="98" cm="1">
        <f t="array" ref="AD74">SUM(SUMIFS('caseload data'!N:N,'caseload data'!$D:$D,"PSO",'caseload data'!$C:$C,'community caseload'!$T$71,'caseload data'!$B:$B,{"licence","community"}))</f>
        <v>0</v>
      </c>
      <c r="AE74" s="98" cm="1">
        <f t="array" ref="AE74">SUM(SUMIFS('caseload data'!O:O,'caseload data'!$D:$D,"PSO",'caseload data'!$C:$C,'community caseload'!$T$71,'caseload data'!$B:$B,{"licence","community"}))</f>
        <v>0</v>
      </c>
      <c r="AF74" s="98" cm="1">
        <f t="array" ref="AF74">SUM(SUMIFS('caseload data'!P:P,'caseload data'!$D:$D,"PSO",'caseload data'!$C:$C,'community caseload'!$T$71,'caseload data'!$B:$B,{"licence","community"}))</f>
        <v>0</v>
      </c>
      <c r="AG74" s="98" cm="1">
        <f t="array" ref="AG74">SUM(SUMIFS('caseload data'!Q:Q,'caseload data'!$D:$D,"PSO",'caseload data'!$C:$C,'community caseload'!$T$71,'caseload data'!$B:$B,{"licence","community"}))</f>
        <v>0</v>
      </c>
      <c r="AH74" s="98" cm="1">
        <f t="array" ref="AH74">SUM(SUMIFS('caseload data'!R:R,'caseload data'!$D:$D,"PSO",'caseload data'!$C:$C,'community caseload'!$T$71,'caseload data'!$B:$B,{"licence","community"}))</f>
        <v>0</v>
      </c>
      <c r="AI74" s="98" cm="1">
        <f t="array" ref="AI74">SUM(SUMIFS('caseload data'!S:S,'caseload data'!$D:$D,"PSO",'caseload data'!$C:$C,'community caseload'!$T$71,'caseload data'!$B:$B,{"licence","community"}))</f>
        <v>0</v>
      </c>
      <c r="AJ74" s="98" cm="1">
        <f t="array" ref="AJ74">SUM(SUMIFS('caseload data'!T:T,'caseload data'!$D:$D,"PSO",'caseload data'!$C:$C,'community caseload'!$T$71,'caseload data'!$B:$B,{"licence","community"}))</f>
        <v>0</v>
      </c>
    </row>
    <row r="75" spans="2:36" x14ac:dyDescent="0.15">
      <c r="B75" s="101" t="s">
        <v>1173</v>
      </c>
      <c r="C75" s="98">
        <f>SUM(SUMIFS('caseload data'!E:E,'caseload data'!$D:$D,"TPO",'caseload data'!$C:$C,'community caseload'!$B$71,'caseload data'!$B:$B,{"licence","community"}))</f>
        <v>0</v>
      </c>
      <c r="D75" s="98">
        <f>SUM(SUMIFS('caseload data'!F:F,'caseload data'!$D:$D,"TPO",'caseload data'!$C:$C,'community caseload'!$B$71,'caseload data'!$B:$B,{"licence","community"}))</f>
        <v>0</v>
      </c>
      <c r="E75" s="98">
        <f>SUM(SUMIFS('caseload data'!G:G,'caseload data'!$D:$D,"TPO",'caseload data'!$C:$C,'community caseload'!$B$71,'caseload data'!$B:$B,{"licence","community"}))</f>
        <v>0</v>
      </c>
      <c r="F75" s="98">
        <f>SUM(SUMIFS('caseload data'!H:H,'caseload data'!$D:$D,"TPO",'caseload data'!$C:$C,'community caseload'!$B$71,'caseload data'!$B:$B,{"licence","community"}))</f>
        <v>0</v>
      </c>
      <c r="G75" s="98">
        <f>SUM(SUMIFS('caseload data'!I:I,'caseload data'!$D:$D,"TPO",'caseload data'!$C:$C,'community caseload'!$B$71,'caseload data'!$B:$B,{"licence","community"}))</f>
        <v>0</v>
      </c>
      <c r="H75" s="98">
        <f>SUM(SUMIFS('caseload data'!J:J,'caseload data'!$D:$D,"TPO",'caseload data'!$C:$C,'community caseload'!$B$71,'caseload data'!$B:$B,{"licence","community"}))</f>
        <v>0</v>
      </c>
      <c r="I75" s="98">
        <f>SUM(SUMIFS('caseload data'!K:K,'caseload data'!$D:$D,"TPO",'caseload data'!$C:$C,'community caseload'!$B$71,'caseload data'!$B:$B,{"licence","community"}))</f>
        <v>0</v>
      </c>
      <c r="J75" s="98">
        <f>SUM(SUMIFS('caseload data'!L:L,'caseload data'!$D:$D,"TPO",'caseload data'!$C:$C,'community caseload'!$B$71,'caseload data'!$B:$B,{"licence","community"}))</f>
        <v>0</v>
      </c>
      <c r="K75" s="98">
        <f>SUM(SUMIFS('caseload data'!M:M,'caseload data'!$D:$D,"TPO",'caseload data'!$C:$C,'community caseload'!$B$71,'caseload data'!$B:$B,{"licence","community"}))</f>
        <v>0</v>
      </c>
      <c r="L75" s="98">
        <f>SUM(SUMIFS('caseload data'!N:N,'caseload data'!$D:$D,"TPO",'caseload data'!$C:$C,'community caseload'!$B$71,'caseload data'!$B:$B,{"licence","community"}))</f>
        <v>0</v>
      </c>
      <c r="M75" s="98">
        <f>SUM(SUMIFS('caseload data'!O:O,'caseload data'!$D:$D,"TPO",'caseload data'!$C:$C,'community caseload'!$B$71,'caseload data'!$B:$B,{"licence","community"}))</f>
        <v>0</v>
      </c>
      <c r="N75" s="98">
        <f>SUM(SUMIFS('caseload data'!P:P,'caseload data'!$D:$D,"TPO",'caseload data'!$C:$C,'community caseload'!$B$71,'caseload data'!$B:$B,{"licence","community"}))</f>
        <v>0</v>
      </c>
      <c r="O75" s="98">
        <f>SUM(SUMIFS('caseload data'!Q:Q,'caseload data'!$D:$D,"TPO",'caseload data'!$C:$C,'community caseload'!$B$71,'caseload data'!$B:$B,{"licence","community"}))</f>
        <v>0</v>
      </c>
      <c r="P75" s="98">
        <f>SUM(SUMIFS('caseload data'!R:R,'caseload data'!$D:$D,"TPO",'caseload data'!$C:$C,'community caseload'!$B$71,'caseload data'!$B:$B,{"licence","community"}))</f>
        <v>0</v>
      </c>
      <c r="Q75" s="98">
        <f>SUM(SUMIFS('caseload data'!S:S,'caseload data'!$D:$D,"TPO",'caseload data'!$C:$C,'community caseload'!$B$71,'caseload data'!$B:$B,{"licence","community"}))</f>
        <v>0</v>
      </c>
      <c r="R75" s="98">
        <f>SUM(SUMIFS('caseload data'!T:T,'caseload data'!$D:$D,"TPO",'caseload data'!$C:$C,'community caseload'!$B$71,'caseload data'!$B:$B,{"licence","community"}))</f>
        <v>0</v>
      </c>
      <c r="T75" s="101" t="s">
        <v>1173</v>
      </c>
      <c r="U75" s="98" cm="1">
        <f t="array" ref="U75">SUM(SUMIFS('caseload data'!E:E,'caseload data'!$D:$D,"TPO",'caseload data'!$C:$C,'community caseload'!$T$71,'caseload data'!$B:$B,{"licence","community"}))</f>
        <v>0</v>
      </c>
      <c r="V75" s="98" cm="1">
        <f t="array" ref="V75">SUM(SUMIFS('caseload data'!F:F,'caseload data'!$D:$D,"TPO",'caseload data'!$C:$C,'community caseload'!$T$71,'caseload data'!$B:$B,{"licence","community"}))</f>
        <v>0</v>
      </c>
      <c r="W75" s="98" cm="1">
        <f t="array" ref="W75">SUM(SUMIFS('caseload data'!G:G,'caseload data'!$D:$D,"TPO",'caseload data'!$C:$C,'community caseload'!$T$71,'caseload data'!$B:$B,{"licence","community"}))</f>
        <v>0</v>
      </c>
      <c r="X75" s="98" cm="1">
        <f t="array" ref="X75">SUM(SUMIFS('caseload data'!H:H,'caseload data'!$D:$D,"TPO",'caseload data'!$C:$C,'community caseload'!$T$71,'caseload data'!$B:$B,{"licence","community"}))</f>
        <v>0</v>
      </c>
      <c r="Y75" s="98" cm="1">
        <f t="array" ref="Y75">SUM(SUMIFS('caseload data'!I:I,'caseload data'!$D:$D,"TPO",'caseload data'!$C:$C,'community caseload'!$T$71,'caseload data'!$B:$B,{"licence","community"}))</f>
        <v>0</v>
      </c>
      <c r="Z75" s="98" cm="1">
        <f t="array" ref="Z75">SUM(SUMIFS('caseload data'!J:J,'caseload data'!$D:$D,"TPO",'caseload data'!$C:$C,'community caseload'!$T$71,'caseload data'!$B:$B,{"licence","community"}))</f>
        <v>0</v>
      </c>
      <c r="AA75" s="98" cm="1">
        <f t="array" ref="AA75">SUM(SUMIFS('caseload data'!K:K,'caseload data'!$D:$D,"TPO",'caseload data'!$C:$C,'community caseload'!$T$71,'caseload data'!$B:$B,{"licence","community"}))</f>
        <v>0</v>
      </c>
      <c r="AB75" s="98" cm="1">
        <f t="array" ref="AB75">SUM(SUMIFS('caseload data'!L:L,'caseload data'!$D:$D,"TPO",'caseload data'!$C:$C,'community caseload'!$T$71,'caseload data'!$B:$B,{"licence","community"}))</f>
        <v>0</v>
      </c>
      <c r="AC75" s="98" cm="1">
        <f t="array" ref="AC75">SUM(SUMIFS('caseload data'!M:M,'caseload data'!$D:$D,"TPO",'caseload data'!$C:$C,'community caseload'!$T$71,'caseload data'!$B:$B,{"licence","community"}))</f>
        <v>0</v>
      </c>
      <c r="AD75" s="98" cm="1">
        <f t="array" ref="AD75">SUM(SUMIFS('caseload data'!N:N,'caseload data'!$D:$D,"TPO",'caseload data'!$C:$C,'community caseload'!$T$71,'caseload data'!$B:$B,{"licence","community"}))</f>
        <v>0</v>
      </c>
      <c r="AE75" s="98" cm="1">
        <f t="array" ref="AE75">SUM(SUMIFS('caseload data'!O:O,'caseload data'!$D:$D,"TPO",'caseload data'!$C:$C,'community caseload'!$T$71,'caseload data'!$B:$B,{"licence","community"}))</f>
        <v>0</v>
      </c>
      <c r="AF75" s="98" cm="1">
        <f t="array" ref="AF75">SUM(SUMIFS('caseload data'!P:P,'caseload data'!$D:$D,"TPO",'caseload data'!$C:$C,'community caseload'!$T$71,'caseload data'!$B:$B,{"licence","community"}))</f>
        <v>0</v>
      </c>
      <c r="AG75" s="98" cm="1">
        <f t="array" ref="AG75">SUM(SUMIFS('caseload data'!Q:Q,'caseload data'!$D:$D,"TPO",'caseload data'!$C:$C,'community caseload'!$T$71,'caseload data'!$B:$B,{"licence","community"}))</f>
        <v>0</v>
      </c>
      <c r="AH75" s="98" cm="1">
        <f t="array" ref="AH75">SUM(SUMIFS('caseload data'!R:R,'caseload data'!$D:$D,"TPO",'caseload data'!$C:$C,'community caseload'!$T$71,'caseload data'!$B:$B,{"licence","community"}))</f>
        <v>0</v>
      </c>
      <c r="AI75" s="98" cm="1">
        <f t="array" ref="AI75">SUM(SUMIFS('caseload data'!S:S,'caseload data'!$D:$D,"TPO",'caseload data'!$C:$C,'community caseload'!$T$71,'caseload data'!$B:$B,{"licence","community"}))</f>
        <v>0</v>
      </c>
      <c r="AJ75" s="98" cm="1">
        <f t="array" ref="AJ75">SUM(SUMIFS('caseload data'!T:T,'caseload data'!$D:$D,"TPO",'caseload data'!$C:$C,'community caseload'!$T$71,'caseload data'!$B:$B,{"licence","community"}))</f>
        <v>0</v>
      </c>
    </row>
    <row r="76" spans="2:36" x14ac:dyDescent="0.15">
      <c r="B76" s="102" t="s">
        <v>1174</v>
      </c>
      <c r="C76" s="98">
        <f>SUM(SUMIFS('caseload data'!E:E,'caseload data'!$D:$D,"SPO",'caseload data'!$C:$C,'community caseload'!$B$71,'caseload data'!$B:$B,{"licence","community"}))</f>
        <v>0</v>
      </c>
      <c r="D76" s="98">
        <f>SUM(SUMIFS('caseload data'!F:F,'caseload data'!$D:$D,"SPO",'caseload data'!$C:$C,'community caseload'!$B$71,'caseload data'!$B:$B,{"licence","community"}))</f>
        <v>0</v>
      </c>
      <c r="E76" s="98">
        <f>SUM(SUMIFS('caseload data'!G:G,'caseload data'!$D:$D,"SPO",'caseload data'!$C:$C,'community caseload'!$B$71,'caseload data'!$B:$B,{"licence","community"}))</f>
        <v>0</v>
      </c>
      <c r="F76" s="98">
        <f>SUM(SUMIFS('caseload data'!H:H,'caseload data'!$D:$D,"SPO",'caseload data'!$C:$C,'community caseload'!$B$71,'caseload data'!$B:$B,{"licence","community"}))</f>
        <v>0</v>
      </c>
      <c r="G76" s="98">
        <f>SUM(SUMIFS('caseload data'!I:I,'caseload data'!$D:$D,"SPO",'caseload data'!$C:$C,'community caseload'!$B$71,'caseload data'!$B:$B,{"licence","community"}))</f>
        <v>0</v>
      </c>
      <c r="H76" s="98">
        <f>SUM(SUMIFS('caseload data'!J:J,'caseload data'!$D:$D,"SPO",'caseload data'!$C:$C,'community caseload'!$B$71,'caseload data'!$B:$B,{"licence","community"}))</f>
        <v>0</v>
      </c>
      <c r="I76" s="98">
        <f>SUM(SUMIFS('caseload data'!K:K,'caseload data'!$D:$D,"SPO",'caseload data'!$C:$C,'community caseload'!$B$71,'caseload data'!$B:$B,{"licence","community"}))</f>
        <v>0</v>
      </c>
      <c r="J76" s="98">
        <f>SUM(SUMIFS('caseload data'!L:L,'caseload data'!$D:$D,"SPO",'caseload data'!$C:$C,'community caseload'!$B$71,'caseload data'!$B:$B,{"licence","community"}))</f>
        <v>0</v>
      </c>
      <c r="K76" s="98">
        <f>SUM(SUMIFS('caseload data'!M:M,'caseload data'!$D:$D,"SPO",'caseload data'!$C:$C,'community caseload'!$B$71,'caseload data'!$B:$B,{"licence","community"}))</f>
        <v>0</v>
      </c>
      <c r="L76" s="98">
        <f>SUM(SUMIFS('caseload data'!N:N,'caseload data'!$D:$D,"SPO",'caseload data'!$C:$C,'community caseload'!$B$71,'caseload data'!$B:$B,{"licence","community"}))</f>
        <v>0</v>
      </c>
      <c r="M76" s="98">
        <f>SUM(SUMIFS('caseload data'!O:O,'caseload data'!$D:$D,"SPO",'caseload data'!$C:$C,'community caseload'!$B$71,'caseload data'!$B:$B,{"licence","community"}))</f>
        <v>0</v>
      </c>
      <c r="N76" s="98">
        <f>SUM(SUMIFS('caseload data'!P:P,'caseload data'!$D:$D,"SPO",'caseload data'!$C:$C,'community caseload'!$B$71,'caseload data'!$B:$B,{"licence","community"}))</f>
        <v>0</v>
      </c>
      <c r="O76" s="98">
        <f>SUM(SUMIFS('caseload data'!Q:Q,'caseload data'!$D:$D,"SPO",'caseload data'!$C:$C,'community caseload'!$B$71,'caseload data'!$B:$B,{"licence","community"}))</f>
        <v>0</v>
      </c>
      <c r="P76" s="98">
        <f>SUM(SUMIFS('caseload data'!R:R,'caseload data'!$D:$D,"SPO",'caseload data'!$C:$C,'community caseload'!$B$71,'caseload data'!$B:$B,{"licence","community"}))</f>
        <v>0</v>
      </c>
      <c r="Q76" s="98">
        <f>SUM(SUMIFS('caseload data'!S:S,'caseload data'!$D:$D,"SPO",'caseload data'!$C:$C,'community caseload'!$B$71,'caseload data'!$B:$B,{"licence","community"}))</f>
        <v>0</v>
      </c>
      <c r="R76" s="98">
        <f>SUM(SUMIFS('caseload data'!T:T,'caseload data'!$D:$D,"SPO",'caseload data'!$C:$C,'community caseload'!$B$71,'caseload data'!$B:$B,{"licence","community"}))</f>
        <v>0</v>
      </c>
      <c r="T76" s="102" t="s">
        <v>1174</v>
      </c>
      <c r="U76" s="98" cm="1">
        <f t="array" ref="U76">SUM(SUMIFS('caseload data'!E:E,'caseload data'!$D:$D,"SPO",'caseload data'!$C:$C,'community caseload'!$T$71,'caseload data'!$B:$B,{"licence","community"}))</f>
        <v>0</v>
      </c>
      <c r="V76" s="98" cm="1">
        <f t="array" ref="V76">SUM(SUMIFS('caseload data'!F:F,'caseload data'!$D:$D,"SPO",'caseload data'!$C:$C,'community caseload'!$T$71,'caseload data'!$B:$B,{"licence","community"}))</f>
        <v>0</v>
      </c>
      <c r="W76" s="98" cm="1">
        <f t="array" ref="W76">SUM(SUMIFS('caseload data'!G:G,'caseload data'!$D:$D,"SPO",'caseload data'!$C:$C,'community caseload'!$T$71,'caseload data'!$B:$B,{"licence","community"}))</f>
        <v>0</v>
      </c>
      <c r="X76" s="98" cm="1">
        <f t="array" ref="X76">SUM(SUMIFS('caseload data'!H:H,'caseload data'!$D:$D,"SPO",'caseload data'!$C:$C,'community caseload'!$T$71,'caseload data'!$B:$B,{"licence","community"}))</f>
        <v>0</v>
      </c>
      <c r="Y76" s="98" cm="1">
        <f t="array" ref="Y76">SUM(SUMIFS('caseload data'!I:I,'caseload data'!$D:$D,"SPO",'caseload data'!$C:$C,'community caseload'!$T$71,'caseload data'!$B:$B,{"licence","community"}))</f>
        <v>0</v>
      </c>
      <c r="Z76" s="98" cm="1">
        <f t="array" ref="Z76">SUM(SUMIFS('caseload data'!J:J,'caseload data'!$D:$D,"SPO",'caseload data'!$C:$C,'community caseload'!$T$71,'caseload data'!$B:$B,{"licence","community"}))</f>
        <v>0</v>
      </c>
      <c r="AA76" s="98" cm="1">
        <f t="array" ref="AA76">SUM(SUMIFS('caseload data'!K:K,'caseload data'!$D:$D,"SPO",'caseload data'!$C:$C,'community caseload'!$T$71,'caseload data'!$B:$B,{"licence","community"}))</f>
        <v>0</v>
      </c>
      <c r="AB76" s="98" cm="1">
        <f t="array" ref="AB76">SUM(SUMIFS('caseload data'!L:L,'caseload data'!$D:$D,"SPO",'caseload data'!$C:$C,'community caseload'!$T$71,'caseload data'!$B:$B,{"licence","community"}))</f>
        <v>0</v>
      </c>
      <c r="AC76" s="98" cm="1">
        <f t="array" ref="AC76">SUM(SUMIFS('caseload data'!M:M,'caseload data'!$D:$D,"SPO",'caseload data'!$C:$C,'community caseload'!$T$71,'caseload data'!$B:$B,{"licence","community"}))</f>
        <v>0</v>
      </c>
      <c r="AD76" s="98" cm="1">
        <f t="array" ref="AD76">SUM(SUMIFS('caseload data'!N:N,'caseload data'!$D:$D,"SPO",'caseload data'!$C:$C,'community caseload'!$T$71,'caseload data'!$B:$B,{"licence","community"}))</f>
        <v>0</v>
      </c>
      <c r="AE76" s="98" cm="1">
        <f t="array" ref="AE76">SUM(SUMIFS('caseload data'!O:O,'caseload data'!$D:$D,"SPO",'caseload data'!$C:$C,'community caseload'!$T$71,'caseload data'!$B:$B,{"licence","community"}))</f>
        <v>0</v>
      </c>
      <c r="AF76" s="98" cm="1">
        <f t="array" ref="AF76">SUM(SUMIFS('caseload data'!P:P,'caseload data'!$D:$D,"SPO",'caseload data'!$C:$C,'community caseload'!$T$71,'caseload data'!$B:$B,{"licence","community"}))</f>
        <v>0</v>
      </c>
      <c r="AG76" s="98" cm="1">
        <f t="array" ref="AG76">SUM(SUMIFS('caseload data'!Q:Q,'caseload data'!$D:$D,"SPO",'caseload data'!$C:$C,'community caseload'!$T$71,'caseload data'!$B:$B,{"licence","community"}))</f>
        <v>0</v>
      </c>
      <c r="AH76" s="98" cm="1">
        <f t="array" ref="AH76">SUM(SUMIFS('caseload data'!R:R,'caseload data'!$D:$D,"SPO",'caseload data'!$C:$C,'community caseload'!$T$71,'caseload data'!$B:$B,{"licence","community"}))</f>
        <v>0</v>
      </c>
      <c r="AI76" s="98" cm="1">
        <f t="array" ref="AI76">SUM(SUMIFS('caseload data'!S:S,'caseload data'!$D:$D,"SPO",'caseload data'!$C:$C,'community caseload'!$T$71,'caseload data'!$B:$B,{"licence","community"}))</f>
        <v>0</v>
      </c>
      <c r="AJ76" s="98" cm="1">
        <f t="array" ref="AJ76">SUM(SUMIFS('caseload data'!T:T,'caseload data'!$D:$D,"SPO",'caseload data'!$C:$C,'community caseload'!$T$71,'caseload data'!$B:$B,{"licence","community"}))</f>
        <v>0</v>
      </c>
    </row>
    <row r="78" spans="2:36" ht="27" customHeight="1" x14ac:dyDescent="0.15">
      <c r="B78" s="302" t="str">
        <f>HLOOKUP($B$5,Region_Table,22,0)</f>
        <v>Tower Hamlets</v>
      </c>
      <c r="C78" s="459" t="s">
        <v>1309</v>
      </c>
      <c r="D78" s="460"/>
      <c r="E78" s="460"/>
      <c r="F78" s="460"/>
      <c r="G78" s="460"/>
      <c r="H78" s="460"/>
      <c r="I78" s="460"/>
      <c r="J78" s="460"/>
      <c r="K78" s="460"/>
      <c r="L78" s="460"/>
      <c r="M78" s="489"/>
      <c r="N78" s="489"/>
      <c r="O78" s="490"/>
      <c r="P78" s="462" cm="1">
        <f t="array" ref="P78">SUM(SUMIFS('caseload data'!V:V,'caseload data'!B:B,{"licence","community"},'caseload data'!$C:$C,'community caseload'!B78))</f>
        <v>0</v>
      </c>
      <c r="Q78" s="479"/>
      <c r="R78" s="480"/>
      <c r="S78" s="305"/>
      <c r="T78" s="302" t="str">
        <f>HLOOKUP($B$5,Region_Table,23,0)</f>
        <v>Unallocated Level 2(N07)</v>
      </c>
      <c r="U78" s="459" t="s">
        <v>1309</v>
      </c>
      <c r="V78" s="460"/>
      <c r="W78" s="460"/>
      <c r="X78" s="460"/>
      <c r="Y78" s="460"/>
      <c r="Z78" s="460"/>
      <c r="AA78" s="460"/>
      <c r="AB78" s="460"/>
      <c r="AC78" s="460"/>
      <c r="AD78" s="460"/>
      <c r="AE78" s="489"/>
      <c r="AF78" s="489"/>
      <c r="AG78" s="490"/>
      <c r="AH78" s="462" cm="1">
        <f t="array" ref="AH78">SUM(SUMIFS('caseload data'!V:V,'caseload data'!B:B,{"licence","community"},'caseload data'!$C:$C,'community caseload'!T78))</f>
        <v>0</v>
      </c>
      <c r="AI78" s="479"/>
      <c r="AJ78" s="480"/>
    </row>
    <row r="79" spans="2:36" x14ac:dyDescent="0.15">
      <c r="B79" s="304" t="s">
        <v>1170</v>
      </c>
      <c r="C79" s="40" t="s">
        <v>1022</v>
      </c>
      <c r="D79" s="40" t="s">
        <v>1023</v>
      </c>
      <c r="E79" s="40" t="s">
        <v>1024</v>
      </c>
      <c r="F79" s="40" t="s">
        <v>1025</v>
      </c>
      <c r="G79" s="40" t="s">
        <v>1026</v>
      </c>
      <c r="H79" s="40" t="s">
        <v>1027</v>
      </c>
      <c r="I79" s="40" t="s">
        <v>1028</v>
      </c>
      <c r="J79" s="40" t="s">
        <v>1029</v>
      </c>
      <c r="K79" s="40" t="s">
        <v>1030</v>
      </c>
      <c r="L79" s="40" t="s">
        <v>1031</v>
      </c>
      <c r="M79" s="40" t="s">
        <v>1032</v>
      </c>
      <c r="N79" s="40" t="s">
        <v>1033</v>
      </c>
      <c r="O79" s="40" t="s">
        <v>1034</v>
      </c>
      <c r="P79" s="40" t="s">
        <v>1035</v>
      </c>
      <c r="Q79" s="40" t="s">
        <v>1036</v>
      </c>
      <c r="R79" s="40" t="s">
        <v>1037</v>
      </c>
      <c r="T79" s="99" t="s">
        <v>1170</v>
      </c>
      <c r="U79" s="40" t="s">
        <v>1022</v>
      </c>
      <c r="V79" s="40" t="s">
        <v>1023</v>
      </c>
      <c r="W79" s="40" t="s">
        <v>1024</v>
      </c>
      <c r="X79" s="40" t="s">
        <v>1025</v>
      </c>
      <c r="Y79" s="40" t="s">
        <v>1026</v>
      </c>
      <c r="Z79" s="40" t="s">
        <v>1027</v>
      </c>
      <c r="AA79" s="40" t="s">
        <v>1028</v>
      </c>
      <c r="AB79" s="40" t="s">
        <v>1029</v>
      </c>
      <c r="AC79" s="40" t="s">
        <v>1030</v>
      </c>
      <c r="AD79" s="40" t="s">
        <v>1031</v>
      </c>
      <c r="AE79" s="40" t="s">
        <v>1032</v>
      </c>
      <c r="AF79" s="40" t="s">
        <v>1033</v>
      </c>
      <c r="AG79" s="40" t="s">
        <v>1034</v>
      </c>
      <c r="AH79" s="40" t="s">
        <v>1035</v>
      </c>
      <c r="AI79" s="40" t="s">
        <v>1036</v>
      </c>
      <c r="AJ79" s="40" t="s">
        <v>1037</v>
      </c>
    </row>
    <row r="80" spans="2:36" x14ac:dyDescent="0.15">
      <c r="B80" s="100" t="s">
        <v>1166</v>
      </c>
      <c r="C80" s="98" cm="1">
        <f t="array" ref="C80">SUM(SUMIFS('caseload data'!E:E,'caseload data'!$D:$D,"PO",'caseload data'!$C:$C,'community caseload'!$B$78,'caseload data'!$B:$B,{"licence","community"}))</f>
        <v>0</v>
      </c>
      <c r="D80" s="98" cm="1">
        <f t="array" ref="D80">SUM(SUMIFS('caseload data'!F:F,'caseload data'!$D:$D,"PO",'caseload data'!$C:$C,'community caseload'!$B$78,'caseload data'!$B:$B,{"licence","community"}))</f>
        <v>0</v>
      </c>
      <c r="E80" s="98" cm="1">
        <f t="array" ref="E80">SUM(SUMIFS('caseload data'!G:G,'caseload data'!$D:$D,"PO",'caseload data'!$C:$C,'community caseload'!$B$78,'caseload data'!$B:$B,{"licence","community"}))</f>
        <v>0</v>
      </c>
      <c r="F80" s="98" cm="1">
        <f t="array" ref="F80">SUM(SUMIFS('caseload data'!H:H,'caseload data'!$D:$D,"PO",'caseload data'!$C:$C,'community caseload'!$B$78,'caseload data'!$B:$B,{"licence","community"}))</f>
        <v>0</v>
      </c>
      <c r="G80" s="98" cm="1">
        <f t="array" ref="G80">SUM(SUMIFS('caseload data'!I:I,'caseload data'!$D:$D,"PO",'caseload data'!$C:$C,'community caseload'!$B$78,'caseload data'!$B:$B,{"licence","community"}))</f>
        <v>0</v>
      </c>
      <c r="H80" s="98" cm="1">
        <f t="array" ref="H80">SUM(SUMIFS('caseload data'!J:J,'caseload data'!$D:$D,"PO",'caseload data'!$C:$C,'community caseload'!$B$78,'caseload data'!$B:$B,{"licence","community"}))</f>
        <v>0</v>
      </c>
      <c r="I80" s="98" cm="1">
        <f t="array" ref="I80">SUM(SUMIFS('caseload data'!K:K,'caseload data'!$D:$D,"PO",'caseload data'!$C:$C,'community caseload'!$B$78,'caseload data'!$B:$B,{"licence","community"}))</f>
        <v>0</v>
      </c>
      <c r="J80" s="98" cm="1">
        <f t="array" ref="J80">SUM(SUMIFS('caseload data'!L:L,'caseload data'!$D:$D,"PO",'caseload data'!$C:$C,'community caseload'!$B$78,'caseload data'!$B:$B,{"licence","community"}))</f>
        <v>0</v>
      </c>
      <c r="K80" s="98" cm="1">
        <f t="array" ref="K80">SUM(SUMIFS('caseload data'!M:M,'caseload data'!$D:$D,"PO",'caseload data'!$C:$C,'community caseload'!$B$78,'caseload data'!$B:$B,{"licence","community"}))</f>
        <v>0</v>
      </c>
      <c r="L80" s="98" cm="1">
        <f t="array" ref="L80">SUM(SUMIFS('caseload data'!N:N,'caseload data'!$D:$D,"PO",'caseload data'!$C:$C,'community caseload'!$B$78,'caseload data'!$B:$B,{"licence","community"}))</f>
        <v>0</v>
      </c>
      <c r="M80" s="98" cm="1">
        <f t="array" ref="M80">SUM(SUMIFS('caseload data'!O:O,'caseload data'!$D:$D,"PO",'caseload data'!$C:$C,'community caseload'!$B$78,'caseload data'!$B:$B,{"licence","community"}))</f>
        <v>0</v>
      </c>
      <c r="N80" s="98" cm="1">
        <f t="array" ref="N80">SUM(SUMIFS('caseload data'!P:P,'caseload data'!$D:$D,"PO",'caseload data'!$C:$C,'community caseload'!$B$78,'caseload data'!$B:$B,{"licence","community"}))</f>
        <v>0</v>
      </c>
      <c r="O80" s="98" cm="1">
        <f t="array" ref="O80">SUM(SUMIFS('caseload data'!Q:Q,'caseload data'!$D:$D,"PO",'caseload data'!$C:$C,'community caseload'!$B$78,'caseload data'!$B:$B,{"licence","community"}))</f>
        <v>0</v>
      </c>
      <c r="P80" s="98" cm="1">
        <f t="array" ref="P80">SUM(SUMIFS('caseload data'!R:R,'caseload data'!$D:$D,"PO",'caseload data'!$C:$C,'community caseload'!$B$78,'caseload data'!$B:$B,{"licence","community"}))</f>
        <v>0</v>
      </c>
      <c r="Q80" s="98" cm="1">
        <f t="array" ref="Q80">SUM(SUMIFS('caseload data'!S:S,'caseload data'!$D:$D,"PO",'caseload data'!$C:$C,'community caseload'!$B$78,'caseload data'!$B:$B,{"licence","community"}))</f>
        <v>0</v>
      </c>
      <c r="R80" s="98" cm="1">
        <f t="array" ref="R80">SUM(SUMIFS('caseload data'!T:T,'caseload data'!$D:$D,"PO",'caseload data'!$C:$C,'community caseload'!$B$78,'caseload data'!$B:$B,{"licence","community"}))</f>
        <v>0</v>
      </c>
      <c r="T80" s="100" t="s">
        <v>1166</v>
      </c>
      <c r="U80" s="98" cm="1">
        <f t="array" ref="U80">SUM(SUMIFS('caseload data'!E:E,'caseload data'!$D:$D,"PO",'caseload data'!$C:$C,'community caseload'!$T$78,'caseload data'!$B:$B,{"licence","community"}))</f>
        <v>0</v>
      </c>
      <c r="V80" s="98" cm="1">
        <f t="array" ref="V80">SUM(SUMIFS('caseload data'!F:F,'caseload data'!$D:$D,"PO",'caseload data'!$C:$C,'community caseload'!$T$78,'caseload data'!$B:$B,{"licence","community"}))</f>
        <v>0</v>
      </c>
      <c r="W80" s="98" cm="1">
        <f t="array" ref="W80">SUM(SUMIFS('caseload data'!G:G,'caseload data'!$D:$D,"PO",'caseload data'!$C:$C,'community caseload'!$T$78,'caseload data'!$B:$B,{"licence","community"}))</f>
        <v>0</v>
      </c>
      <c r="X80" s="98" cm="1">
        <f t="array" ref="X80">SUM(SUMIFS('caseload data'!H:H,'caseload data'!$D:$D,"PO",'caseload data'!$C:$C,'community caseload'!$T$78,'caseload data'!$B:$B,{"licence","community"}))</f>
        <v>0</v>
      </c>
      <c r="Y80" s="98" cm="1">
        <f t="array" ref="Y80">SUM(SUMIFS('caseload data'!I:I,'caseload data'!$D:$D,"PO",'caseload data'!$C:$C,'community caseload'!$T$78,'caseload data'!$B:$B,{"licence","community"}))</f>
        <v>0</v>
      </c>
      <c r="Z80" s="98" cm="1">
        <f t="array" ref="Z80">SUM(SUMIFS('caseload data'!J:J,'caseload data'!$D:$D,"PO",'caseload data'!$C:$C,'community caseload'!$T$78,'caseload data'!$B:$B,{"licence","community"}))</f>
        <v>0</v>
      </c>
      <c r="AA80" s="98" cm="1">
        <f t="array" ref="AA80">SUM(SUMIFS('caseload data'!K:K,'caseload data'!$D:$D,"PO",'caseload data'!$C:$C,'community caseload'!$T$78,'caseload data'!$B:$B,{"licence","community"}))</f>
        <v>0</v>
      </c>
      <c r="AB80" s="98" cm="1">
        <f t="array" ref="AB80">SUM(SUMIFS('caseload data'!L:L,'caseload data'!$D:$D,"PO",'caseload data'!$C:$C,'community caseload'!$T$78,'caseload data'!$B:$B,{"licence","community"}))</f>
        <v>0</v>
      </c>
      <c r="AC80" s="98" cm="1">
        <f t="array" ref="AC80">SUM(SUMIFS('caseload data'!M:M,'caseload data'!$D:$D,"PO",'caseload data'!$C:$C,'community caseload'!$T$78,'caseload data'!$B:$B,{"licence","community"}))</f>
        <v>0</v>
      </c>
      <c r="AD80" s="98" cm="1">
        <f t="array" ref="AD80">SUM(SUMIFS('caseload data'!N:N,'caseload data'!$D:$D,"PO",'caseload data'!$C:$C,'community caseload'!$T$78,'caseload data'!$B:$B,{"licence","community"}))</f>
        <v>0</v>
      </c>
      <c r="AE80" s="98" cm="1">
        <f t="array" ref="AE80">SUM(SUMIFS('caseload data'!O:O,'caseload data'!$D:$D,"PO",'caseload data'!$C:$C,'community caseload'!$T$78,'caseload data'!$B:$B,{"licence","community"}))</f>
        <v>0</v>
      </c>
      <c r="AF80" s="98" cm="1">
        <f t="array" ref="AF80">SUM(SUMIFS('caseload data'!P:P,'caseload data'!$D:$D,"PO",'caseload data'!$C:$C,'community caseload'!$T$78,'caseload data'!$B:$B,{"licence","community"}))</f>
        <v>0</v>
      </c>
      <c r="AG80" s="98" cm="1">
        <f t="array" ref="AG80">SUM(SUMIFS('caseload data'!Q:Q,'caseload data'!$D:$D,"PO",'caseload data'!$C:$C,'community caseload'!$T$78,'caseload data'!$B:$B,{"licence","community"}))</f>
        <v>0</v>
      </c>
      <c r="AH80" s="98" cm="1">
        <f t="array" ref="AH80">SUM(SUMIFS('caseload data'!R:R,'caseload data'!$D:$D,"PO",'caseload data'!$C:$C,'community caseload'!$T$78,'caseload data'!$B:$B,{"licence","community"}))</f>
        <v>0</v>
      </c>
      <c r="AI80" s="98" cm="1">
        <f t="array" ref="AI80">SUM(SUMIFS('caseload data'!S:S,'caseload data'!$D:$D,"PO",'caseload data'!$C:$C,'community caseload'!$T$78,'caseload data'!$B:$B,{"licence","community"}))</f>
        <v>0</v>
      </c>
      <c r="AJ80" s="98" cm="1">
        <f t="array" ref="AJ80">SUM(SUMIFS('caseload data'!T:T,'caseload data'!$D:$D,"PO",'caseload data'!$C:$C,'community caseload'!$T$78,'caseload data'!$B:$B,{"licence","community"}))</f>
        <v>0</v>
      </c>
    </row>
    <row r="81" spans="2:36" x14ac:dyDescent="0.15">
      <c r="B81" s="101" t="s">
        <v>1172</v>
      </c>
      <c r="C81" s="98" cm="1">
        <f t="array" ref="C81">SUM(SUMIFS('caseload data'!E:E,'caseload data'!$D:$D,"PSO",'caseload data'!$C:$C,'community caseload'!$B$78,'caseload data'!$B:$B,{"licence","community"}))</f>
        <v>0</v>
      </c>
      <c r="D81" s="98" cm="1">
        <f t="array" ref="D81">SUM(SUMIFS('caseload data'!F:F,'caseload data'!$D:$D,"PSO",'caseload data'!$C:$C,'community caseload'!$B$78,'caseload data'!$B:$B,{"licence","community"}))</f>
        <v>0</v>
      </c>
      <c r="E81" s="98" cm="1">
        <f t="array" ref="E81">SUM(SUMIFS('caseload data'!G:G,'caseload data'!$D:$D,"PSO",'caseload data'!$C:$C,'community caseload'!$B$78,'caseload data'!$B:$B,{"licence","community"}))</f>
        <v>0</v>
      </c>
      <c r="F81" s="98" cm="1">
        <f t="array" ref="F81">SUM(SUMIFS('caseload data'!H:H,'caseload data'!$D:$D,"PSO",'caseload data'!$C:$C,'community caseload'!$B$78,'caseload data'!$B:$B,{"licence","community"}))</f>
        <v>0</v>
      </c>
      <c r="G81" s="98" cm="1">
        <f t="array" ref="G81">SUM(SUMIFS('caseload data'!I:I,'caseload data'!$D:$D,"PSO",'caseload data'!$C:$C,'community caseload'!$B$78,'caseload data'!$B:$B,{"licence","community"}))</f>
        <v>0</v>
      </c>
      <c r="H81" s="98" cm="1">
        <f t="array" ref="H81">SUM(SUMIFS('caseload data'!J:J,'caseload data'!$D:$D,"PSO",'caseload data'!$C:$C,'community caseload'!$B$78,'caseload data'!$B:$B,{"licence","community"}))</f>
        <v>0</v>
      </c>
      <c r="I81" s="98" cm="1">
        <f t="array" ref="I81">SUM(SUMIFS('caseload data'!K:K,'caseload data'!$D:$D,"PSO",'caseload data'!$C:$C,'community caseload'!$B$78,'caseload data'!$B:$B,{"licence","community"}))</f>
        <v>0</v>
      </c>
      <c r="J81" s="98" cm="1">
        <f t="array" ref="J81">SUM(SUMIFS('caseload data'!L:L,'caseload data'!$D:$D,"PSO",'caseload data'!$C:$C,'community caseload'!$B$78,'caseload data'!$B:$B,{"licence","community"}))</f>
        <v>0</v>
      </c>
      <c r="K81" s="98" cm="1">
        <f t="array" ref="K81">SUM(SUMIFS('caseload data'!M:M,'caseload data'!$D:$D,"PSO",'caseload data'!$C:$C,'community caseload'!$B$78,'caseload data'!$B:$B,{"licence","community"}))</f>
        <v>0</v>
      </c>
      <c r="L81" s="98" cm="1">
        <f t="array" ref="L81">SUM(SUMIFS('caseload data'!N:N,'caseload data'!$D:$D,"PSO",'caseload data'!$C:$C,'community caseload'!$B$78,'caseload data'!$B:$B,{"licence","community"}))</f>
        <v>0</v>
      </c>
      <c r="M81" s="98" cm="1">
        <f t="array" ref="M81">SUM(SUMIFS('caseload data'!O:O,'caseload data'!$D:$D,"PSO",'caseload data'!$C:$C,'community caseload'!$B$78,'caseload data'!$B:$B,{"licence","community"}))</f>
        <v>0</v>
      </c>
      <c r="N81" s="98" cm="1">
        <f t="array" ref="N81">SUM(SUMIFS('caseload data'!P:P,'caseload data'!$D:$D,"PSO",'caseload data'!$C:$C,'community caseload'!$B$78,'caseload data'!$B:$B,{"licence","community"}))</f>
        <v>0</v>
      </c>
      <c r="O81" s="98" cm="1">
        <f t="array" ref="O81">SUM(SUMIFS('caseload data'!Q:Q,'caseload data'!$D:$D,"PSO",'caseload data'!$C:$C,'community caseload'!$B$78,'caseload data'!$B:$B,{"licence","community"}))</f>
        <v>0</v>
      </c>
      <c r="P81" s="98" cm="1">
        <f t="array" ref="P81">SUM(SUMIFS('caseload data'!R:R,'caseload data'!$D:$D,"PSO",'caseload data'!$C:$C,'community caseload'!$B$78,'caseload data'!$B:$B,{"licence","community"}))</f>
        <v>0</v>
      </c>
      <c r="Q81" s="98" cm="1">
        <f t="array" ref="Q81">SUM(SUMIFS('caseload data'!S:S,'caseload data'!$D:$D,"PSO",'caseload data'!$C:$C,'community caseload'!$B$78,'caseload data'!$B:$B,{"licence","community"}))</f>
        <v>0</v>
      </c>
      <c r="R81" s="98" cm="1">
        <f t="array" ref="R81">SUM(SUMIFS('caseload data'!T:T,'caseload data'!$D:$D,"PSO",'caseload data'!$C:$C,'community caseload'!$B$78,'caseload data'!$B:$B,{"licence","community"}))</f>
        <v>0</v>
      </c>
      <c r="T81" s="101" t="s">
        <v>1172</v>
      </c>
      <c r="U81" s="98" cm="1">
        <f t="array" ref="U81">SUM(SUMIFS('caseload data'!E:E,'caseload data'!$D:$D,"PSO",'caseload data'!$C:$C,'community caseload'!$T$78,'caseload data'!$B:$B,{"licence","community"}))</f>
        <v>0</v>
      </c>
      <c r="V81" s="98" cm="1">
        <f t="array" ref="V81">SUM(SUMIFS('caseload data'!F:F,'caseload data'!$D:$D,"PSO",'caseload data'!$C:$C,'community caseload'!$T$78,'caseload data'!$B:$B,{"licence","community"}))</f>
        <v>0</v>
      </c>
      <c r="W81" s="98" cm="1">
        <f t="array" ref="W81">SUM(SUMIFS('caseload data'!G:G,'caseload data'!$D:$D,"PSO",'caseload data'!$C:$C,'community caseload'!$T$78,'caseload data'!$B:$B,{"licence","community"}))</f>
        <v>0</v>
      </c>
      <c r="X81" s="98" cm="1">
        <f t="array" ref="X81">SUM(SUMIFS('caseload data'!H:H,'caseload data'!$D:$D,"PSO",'caseload data'!$C:$C,'community caseload'!$T$78,'caseload data'!$B:$B,{"licence","community"}))</f>
        <v>0</v>
      </c>
      <c r="Y81" s="98" cm="1">
        <f t="array" ref="Y81">SUM(SUMIFS('caseload data'!I:I,'caseload data'!$D:$D,"PSO",'caseload data'!$C:$C,'community caseload'!$T$78,'caseload data'!$B:$B,{"licence","community"}))</f>
        <v>0</v>
      </c>
      <c r="Z81" s="98" cm="1">
        <f t="array" ref="Z81">SUM(SUMIFS('caseload data'!J:J,'caseload data'!$D:$D,"PSO",'caseload data'!$C:$C,'community caseload'!$T$78,'caseload data'!$B:$B,{"licence","community"}))</f>
        <v>0</v>
      </c>
      <c r="AA81" s="98" cm="1">
        <f t="array" ref="AA81">SUM(SUMIFS('caseload data'!K:K,'caseload data'!$D:$D,"PSO",'caseload data'!$C:$C,'community caseload'!$T$78,'caseload data'!$B:$B,{"licence","community"}))</f>
        <v>0</v>
      </c>
      <c r="AB81" s="98" cm="1">
        <f t="array" ref="AB81">SUM(SUMIFS('caseload data'!L:L,'caseload data'!$D:$D,"PSO",'caseload data'!$C:$C,'community caseload'!$T$78,'caseload data'!$B:$B,{"licence","community"}))</f>
        <v>0</v>
      </c>
      <c r="AC81" s="98" cm="1">
        <f t="array" ref="AC81">SUM(SUMIFS('caseload data'!M:M,'caseload data'!$D:$D,"PSO",'caseload data'!$C:$C,'community caseload'!$T$78,'caseload data'!$B:$B,{"licence","community"}))</f>
        <v>0</v>
      </c>
      <c r="AD81" s="98" cm="1">
        <f t="array" ref="AD81">SUM(SUMIFS('caseload data'!N:N,'caseload data'!$D:$D,"PSO",'caseload data'!$C:$C,'community caseload'!$T$78,'caseload data'!$B:$B,{"licence","community"}))</f>
        <v>0</v>
      </c>
      <c r="AE81" s="98" cm="1">
        <f t="array" ref="AE81">SUM(SUMIFS('caseload data'!O:O,'caseload data'!$D:$D,"PSO",'caseload data'!$C:$C,'community caseload'!$T$78,'caseload data'!$B:$B,{"licence","community"}))</f>
        <v>0</v>
      </c>
      <c r="AF81" s="98" cm="1">
        <f t="array" ref="AF81">SUM(SUMIFS('caseload data'!P:P,'caseload data'!$D:$D,"PSO",'caseload data'!$C:$C,'community caseload'!$T$78,'caseload data'!$B:$B,{"licence","community"}))</f>
        <v>0</v>
      </c>
      <c r="AG81" s="98" cm="1">
        <f t="array" ref="AG81">SUM(SUMIFS('caseload data'!Q:Q,'caseload data'!$D:$D,"PSO",'caseload data'!$C:$C,'community caseload'!$T$78,'caseload data'!$B:$B,{"licence","community"}))</f>
        <v>0</v>
      </c>
      <c r="AH81" s="98" cm="1">
        <f t="array" ref="AH81">SUM(SUMIFS('caseload data'!R:R,'caseload data'!$D:$D,"PSO",'caseload data'!$C:$C,'community caseload'!$T$78,'caseload data'!$B:$B,{"licence","community"}))</f>
        <v>0</v>
      </c>
      <c r="AI81" s="98" cm="1">
        <f t="array" ref="AI81">SUM(SUMIFS('caseload data'!S:S,'caseload data'!$D:$D,"PSO",'caseload data'!$C:$C,'community caseload'!$T$78,'caseload data'!$B:$B,{"licence","community"}))</f>
        <v>0</v>
      </c>
      <c r="AJ81" s="98" cm="1">
        <f t="array" ref="AJ81">SUM(SUMIFS('caseload data'!T:T,'caseload data'!$D:$D,"PSO",'caseload data'!$C:$C,'community caseload'!$T$78,'caseload data'!$B:$B,{"licence","community"}))</f>
        <v>0</v>
      </c>
    </row>
    <row r="82" spans="2:36" x14ac:dyDescent="0.15">
      <c r="B82" s="101" t="s">
        <v>1173</v>
      </c>
      <c r="C82" s="98" cm="1">
        <f t="array" ref="C82">SUM(SUMIFS('caseload data'!E:E,'caseload data'!$D:$D,"TPO",'caseload data'!$C:$C,'community caseload'!$B$78,'caseload data'!$B:$B,{"licence","community"}))</f>
        <v>0</v>
      </c>
      <c r="D82" s="98" cm="1">
        <f t="array" ref="D82">SUM(SUMIFS('caseload data'!F:F,'caseload data'!$D:$D,"TPO",'caseload data'!$C:$C,'community caseload'!$B$78,'caseload data'!$B:$B,{"licence","community"}))</f>
        <v>0</v>
      </c>
      <c r="E82" s="98" cm="1">
        <f t="array" ref="E82">SUM(SUMIFS('caseload data'!G:G,'caseload data'!$D:$D,"TPO",'caseload data'!$C:$C,'community caseload'!$B$78,'caseload data'!$B:$B,{"licence","community"}))</f>
        <v>0</v>
      </c>
      <c r="F82" s="98" cm="1">
        <f t="array" ref="F82">SUM(SUMIFS('caseload data'!H:H,'caseload data'!$D:$D,"TPO",'caseload data'!$C:$C,'community caseload'!$B$78,'caseload data'!$B:$B,{"licence","community"}))</f>
        <v>0</v>
      </c>
      <c r="G82" s="98" cm="1">
        <f t="array" ref="G82">SUM(SUMIFS('caseload data'!I:I,'caseload data'!$D:$D,"TPO",'caseload data'!$C:$C,'community caseload'!$B$78,'caseload data'!$B:$B,{"licence","community"}))</f>
        <v>0</v>
      </c>
      <c r="H82" s="98" cm="1">
        <f t="array" ref="H82">SUM(SUMIFS('caseload data'!J:J,'caseload data'!$D:$D,"TPO",'caseload data'!$C:$C,'community caseload'!$B$78,'caseload data'!$B:$B,{"licence","community"}))</f>
        <v>0</v>
      </c>
      <c r="I82" s="98" cm="1">
        <f t="array" ref="I82">SUM(SUMIFS('caseload data'!K:K,'caseload data'!$D:$D,"TPO",'caseload data'!$C:$C,'community caseload'!$B$78,'caseload data'!$B:$B,{"licence","community"}))</f>
        <v>0</v>
      </c>
      <c r="J82" s="98" cm="1">
        <f t="array" ref="J82">SUM(SUMIFS('caseload data'!L:L,'caseload data'!$D:$D,"TPO",'caseload data'!$C:$C,'community caseload'!$B$78,'caseload data'!$B:$B,{"licence","community"}))</f>
        <v>0</v>
      </c>
      <c r="K82" s="98" cm="1">
        <f t="array" ref="K82">SUM(SUMIFS('caseload data'!M:M,'caseload data'!$D:$D,"TPO",'caseload data'!$C:$C,'community caseload'!$B$78,'caseload data'!$B:$B,{"licence","community"}))</f>
        <v>0</v>
      </c>
      <c r="L82" s="98" cm="1">
        <f t="array" ref="L82">SUM(SUMIFS('caseload data'!N:N,'caseload data'!$D:$D,"TPO",'caseload data'!$C:$C,'community caseload'!$B$78,'caseload data'!$B:$B,{"licence","community"}))</f>
        <v>0</v>
      </c>
      <c r="M82" s="98" cm="1">
        <f t="array" ref="M82">SUM(SUMIFS('caseload data'!O:O,'caseload data'!$D:$D,"TPO",'caseload data'!$C:$C,'community caseload'!$B$78,'caseload data'!$B:$B,{"licence","community"}))</f>
        <v>0</v>
      </c>
      <c r="N82" s="98" cm="1">
        <f t="array" ref="N82">SUM(SUMIFS('caseload data'!P:P,'caseload data'!$D:$D,"TPO",'caseload data'!$C:$C,'community caseload'!$B$78,'caseload data'!$B:$B,{"licence","community"}))</f>
        <v>0</v>
      </c>
      <c r="O82" s="98" cm="1">
        <f t="array" ref="O82">SUM(SUMIFS('caseload data'!Q:Q,'caseload data'!$D:$D,"TPO",'caseload data'!$C:$C,'community caseload'!$B$78,'caseload data'!$B:$B,{"licence","community"}))</f>
        <v>0</v>
      </c>
      <c r="P82" s="98" cm="1">
        <f t="array" ref="P82">SUM(SUMIFS('caseload data'!R:R,'caseload data'!$D:$D,"TPO",'caseload data'!$C:$C,'community caseload'!$B$78,'caseload data'!$B:$B,{"licence","community"}))</f>
        <v>0</v>
      </c>
      <c r="Q82" s="98" cm="1">
        <f t="array" ref="Q82">SUM(SUMIFS('caseload data'!S:S,'caseload data'!$D:$D,"TPO",'caseload data'!$C:$C,'community caseload'!$B$78,'caseload data'!$B:$B,{"licence","community"}))</f>
        <v>0</v>
      </c>
      <c r="R82" s="98" cm="1">
        <f t="array" ref="R82">SUM(SUMIFS('caseload data'!T:T,'caseload data'!$D:$D,"TPO",'caseload data'!$C:$C,'community caseload'!$B$78,'caseload data'!$B:$B,{"licence","community"}))</f>
        <v>0</v>
      </c>
      <c r="T82" s="101" t="s">
        <v>1173</v>
      </c>
      <c r="U82" s="98" cm="1">
        <f t="array" ref="U82">SUM(SUMIFS('caseload data'!E:E,'caseload data'!$D:$D,"TPO",'caseload data'!$C:$C,'community caseload'!$T$78,'caseload data'!$B:$B,{"licence","community"}))</f>
        <v>0</v>
      </c>
      <c r="V82" s="98" cm="1">
        <f t="array" ref="V82">SUM(SUMIFS('caseload data'!F:F,'caseload data'!$D:$D,"TPO",'caseload data'!$C:$C,'community caseload'!$T$78,'caseload data'!$B:$B,{"licence","community"}))</f>
        <v>0</v>
      </c>
      <c r="W82" s="98" cm="1">
        <f t="array" ref="W82">SUM(SUMIFS('caseload data'!G:G,'caseload data'!$D:$D,"TPO",'caseload data'!$C:$C,'community caseload'!$T$78,'caseload data'!$B:$B,{"licence","community"}))</f>
        <v>0</v>
      </c>
      <c r="X82" s="98" cm="1">
        <f t="array" ref="X82">SUM(SUMIFS('caseload data'!H:H,'caseload data'!$D:$D,"TPO",'caseload data'!$C:$C,'community caseload'!$T$78,'caseload data'!$B:$B,{"licence","community"}))</f>
        <v>0</v>
      </c>
      <c r="Y82" s="98" cm="1">
        <f t="array" ref="Y82">SUM(SUMIFS('caseload data'!I:I,'caseload data'!$D:$D,"TPO",'caseload data'!$C:$C,'community caseload'!$T$78,'caseload data'!$B:$B,{"licence","community"}))</f>
        <v>0</v>
      </c>
      <c r="Z82" s="98" cm="1">
        <f t="array" ref="Z82">SUM(SUMIFS('caseload data'!J:J,'caseload data'!$D:$D,"TPO",'caseload data'!$C:$C,'community caseload'!$T$78,'caseload data'!$B:$B,{"licence","community"}))</f>
        <v>0</v>
      </c>
      <c r="AA82" s="98" cm="1">
        <f t="array" ref="AA82">SUM(SUMIFS('caseload data'!K:K,'caseload data'!$D:$D,"TPO",'caseload data'!$C:$C,'community caseload'!$T$78,'caseload data'!$B:$B,{"licence","community"}))</f>
        <v>0</v>
      </c>
      <c r="AB82" s="98" cm="1">
        <f t="array" ref="AB82">SUM(SUMIFS('caseload data'!L:L,'caseload data'!$D:$D,"TPO",'caseload data'!$C:$C,'community caseload'!$T$78,'caseload data'!$B:$B,{"licence","community"}))</f>
        <v>0</v>
      </c>
      <c r="AC82" s="98" cm="1">
        <f t="array" ref="AC82">SUM(SUMIFS('caseload data'!M:M,'caseload data'!$D:$D,"TPO",'caseload data'!$C:$C,'community caseload'!$T$78,'caseload data'!$B:$B,{"licence","community"}))</f>
        <v>0</v>
      </c>
      <c r="AD82" s="98" cm="1">
        <f t="array" ref="AD82">SUM(SUMIFS('caseload data'!N:N,'caseload data'!$D:$D,"TPO",'caseload data'!$C:$C,'community caseload'!$T$78,'caseload data'!$B:$B,{"licence","community"}))</f>
        <v>0</v>
      </c>
      <c r="AE82" s="98" cm="1">
        <f t="array" ref="AE82">SUM(SUMIFS('caseload data'!O:O,'caseload data'!$D:$D,"TPO",'caseload data'!$C:$C,'community caseload'!$T$78,'caseload data'!$B:$B,{"licence","community"}))</f>
        <v>0</v>
      </c>
      <c r="AF82" s="98" cm="1">
        <f t="array" ref="AF82">SUM(SUMIFS('caseload data'!P:P,'caseload data'!$D:$D,"TPO",'caseload data'!$C:$C,'community caseload'!$T$78,'caseload data'!$B:$B,{"licence","community"}))</f>
        <v>0</v>
      </c>
      <c r="AG82" s="98" cm="1">
        <f t="array" ref="AG82">SUM(SUMIFS('caseload data'!Q:Q,'caseload data'!$D:$D,"TPO",'caseload data'!$C:$C,'community caseload'!$T$78,'caseload data'!$B:$B,{"licence","community"}))</f>
        <v>0</v>
      </c>
      <c r="AH82" s="98" cm="1">
        <f t="array" ref="AH82">SUM(SUMIFS('caseload data'!R:R,'caseload data'!$D:$D,"TPO",'caseload data'!$C:$C,'community caseload'!$T$78,'caseload data'!$B:$B,{"licence","community"}))</f>
        <v>0</v>
      </c>
      <c r="AI82" s="98" cm="1">
        <f t="array" ref="AI82">SUM(SUMIFS('caseload data'!S:S,'caseload data'!$D:$D,"TPO",'caseload data'!$C:$C,'community caseload'!$T$78,'caseload data'!$B:$B,{"licence","community"}))</f>
        <v>0</v>
      </c>
      <c r="AJ82" s="98" cm="1">
        <f t="array" ref="AJ82">SUM(SUMIFS('caseload data'!T:T,'caseload data'!$D:$D,"TPO",'caseload data'!$C:$C,'community caseload'!$T$78,'caseload data'!$B:$B,{"licence","community"}))</f>
        <v>0</v>
      </c>
    </row>
    <row r="83" spans="2:36" x14ac:dyDescent="0.15">
      <c r="B83" s="102" t="s">
        <v>1174</v>
      </c>
      <c r="C83" s="98" cm="1">
        <f t="array" ref="C83">SUM(SUMIFS('caseload data'!E:E,'caseload data'!$D:$D,"SPO",'caseload data'!$C:$C,'community caseload'!$B$78,'caseload data'!$B:$B,{"licence","community"}))</f>
        <v>0</v>
      </c>
      <c r="D83" s="98" cm="1">
        <f t="array" ref="D83">SUM(SUMIFS('caseload data'!F:F,'caseload data'!$D:$D,"SPO",'caseload data'!$C:$C,'community caseload'!$B$78,'caseload data'!$B:$B,{"licence","community"}))</f>
        <v>0</v>
      </c>
      <c r="E83" s="98" cm="1">
        <f t="array" ref="E83">SUM(SUMIFS('caseload data'!G:G,'caseload data'!$D:$D,"SPO",'caseload data'!$C:$C,'community caseload'!$B$78,'caseload data'!$B:$B,{"licence","community"}))</f>
        <v>0</v>
      </c>
      <c r="F83" s="98" cm="1">
        <f t="array" ref="F83">SUM(SUMIFS('caseload data'!H:H,'caseload data'!$D:$D,"SPO",'caseload data'!$C:$C,'community caseload'!$B$78,'caseload data'!$B:$B,{"licence","community"}))</f>
        <v>0</v>
      </c>
      <c r="G83" s="98" cm="1">
        <f t="array" ref="G83">SUM(SUMIFS('caseload data'!I:I,'caseload data'!$D:$D,"SPO",'caseload data'!$C:$C,'community caseload'!$B$78,'caseload data'!$B:$B,{"licence","community"}))</f>
        <v>0</v>
      </c>
      <c r="H83" s="98" cm="1">
        <f t="array" ref="H83">SUM(SUMIFS('caseload data'!J:J,'caseload data'!$D:$D,"SPO",'caseload data'!$C:$C,'community caseload'!$B$78,'caseload data'!$B:$B,{"licence","community"}))</f>
        <v>0</v>
      </c>
      <c r="I83" s="98" cm="1">
        <f t="array" ref="I83">SUM(SUMIFS('caseload data'!K:K,'caseload data'!$D:$D,"SPO",'caseload data'!$C:$C,'community caseload'!$B$78,'caseload data'!$B:$B,{"licence","community"}))</f>
        <v>0</v>
      </c>
      <c r="J83" s="98" cm="1">
        <f t="array" ref="J83">SUM(SUMIFS('caseload data'!L:L,'caseload data'!$D:$D,"SPO",'caseload data'!$C:$C,'community caseload'!$B$78,'caseload data'!$B:$B,{"licence","community"}))</f>
        <v>0</v>
      </c>
      <c r="K83" s="98" cm="1">
        <f t="array" ref="K83">SUM(SUMIFS('caseload data'!M:M,'caseload data'!$D:$D,"SPO",'caseload data'!$C:$C,'community caseload'!$B$78,'caseload data'!$B:$B,{"licence","community"}))</f>
        <v>0</v>
      </c>
      <c r="L83" s="98" cm="1">
        <f t="array" ref="L83">SUM(SUMIFS('caseload data'!N:N,'caseload data'!$D:$D,"SPO",'caseload data'!$C:$C,'community caseload'!$B$78,'caseload data'!$B:$B,{"licence","community"}))</f>
        <v>0</v>
      </c>
      <c r="M83" s="98" cm="1">
        <f t="array" ref="M83">SUM(SUMIFS('caseload data'!O:O,'caseload data'!$D:$D,"SPO",'caseload data'!$C:$C,'community caseload'!$B$78,'caseload data'!$B:$B,{"licence","community"}))</f>
        <v>0</v>
      </c>
      <c r="N83" s="98" cm="1">
        <f t="array" ref="N83">SUM(SUMIFS('caseload data'!P:P,'caseload data'!$D:$D,"SPO",'caseload data'!$C:$C,'community caseload'!$B$78,'caseload data'!$B:$B,{"licence","community"}))</f>
        <v>0</v>
      </c>
      <c r="O83" s="98" cm="1">
        <f t="array" ref="O83">SUM(SUMIFS('caseload data'!Q:Q,'caseload data'!$D:$D,"SPO",'caseload data'!$C:$C,'community caseload'!$B$78,'caseload data'!$B:$B,{"licence","community"}))</f>
        <v>0</v>
      </c>
      <c r="P83" s="98" cm="1">
        <f t="array" ref="P83">SUM(SUMIFS('caseload data'!R:R,'caseload data'!$D:$D,"SPO",'caseload data'!$C:$C,'community caseload'!$B$78,'caseload data'!$B:$B,{"licence","community"}))</f>
        <v>0</v>
      </c>
      <c r="Q83" s="98" cm="1">
        <f t="array" ref="Q83">SUM(SUMIFS('caseload data'!S:S,'caseload data'!$D:$D,"SPO",'caseload data'!$C:$C,'community caseload'!$B$78,'caseload data'!$B:$B,{"licence","community"}))</f>
        <v>0</v>
      </c>
      <c r="R83" s="98" cm="1">
        <f t="array" ref="R83">SUM(SUMIFS('caseload data'!T:T,'caseload data'!$D:$D,"SPO",'caseload data'!$C:$C,'community caseload'!$B$78,'caseload data'!$B:$B,{"licence","community"}))</f>
        <v>0</v>
      </c>
      <c r="T83" s="102" t="s">
        <v>1174</v>
      </c>
      <c r="U83" s="98" cm="1">
        <f t="array" ref="U83">SUM(SUMIFS('caseload data'!E:E,'caseload data'!$D:$D,"SPO",'caseload data'!$C:$C,'community caseload'!$T$78,'caseload data'!$B:$B,{"licence","community"}))</f>
        <v>0</v>
      </c>
      <c r="V83" s="98" cm="1">
        <f t="array" ref="V83">SUM(SUMIFS('caseload data'!F:F,'caseload data'!$D:$D,"SPO",'caseload data'!$C:$C,'community caseload'!$T$78,'caseload data'!$B:$B,{"licence","community"}))</f>
        <v>0</v>
      </c>
      <c r="W83" s="98" cm="1">
        <f t="array" ref="W83">SUM(SUMIFS('caseload data'!G:G,'caseload data'!$D:$D,"SPO",'caseload data'!$C:$C,'community caseload'!$T$78,'caseload data'!$B:$B,{"licence","community"}))</f>
        <v>0</v>
      </c>
      <c r="X83" s="98" cm="1">
        <f t="array" ref="X83">SUM(SUMIFS('caseload data'!H:H,'caseload data'!$D:$D,"SPO",'caseload data'!$C:$C,'community caseload'!$T$78,'caseload data'!$B:$B,{"licence","community"}))</f>
        <v>0</v>
      </c>
      <c r="Y83" s="98" cm="1">
        <f t="array" ref="Y83">SUM(SUMIFS('caseload data'!I:I,'caseload data'!$D:$D,"SPO",'caseload data'!$C:$C,'community caseload'!$T$78,'caseload data'!$B:$B,{"licence","community"}))</f>
        <v>0</v>
      </c>
      <c r="Z83" s="98" cm="1">
        <f t="array" ref="Z83">SUM(SUMIFS('caseload data'!J:J,'caseload data'!$D:$D,"SPO",'caseload data'!$C:$C,'community caseload'!$T$78,'caseload data'!$B:$B,{"licence","community"}))</f>
        <v>0</v>
      </c>
      <c r="AA83" s="98" cm="1">
        <f t="array" ref="AA83">SUM(SUMIFS('caseload data'!K:K,'caseload data'!$D:$D,"SPO",'caseload data'!$C:$C,'community caseload'!$T$78,'caseload data'!$B:$B,{"licence","community"}))</f>
        <v>0</v>
      </c>
      <c r="AB83" s="98" cm="1">
        <f t="array" ref="AB83">SUM(SUMIFS('caseload data'!L:L,'caseload data'!$D:$D,"SPO",'caseload data'!$C:$C,'community caseload'!$T$78,'caseload data'!$B:$B,{"licence","community"}))</f>
        <v>0</v>
      </c>
      <c r="AC83" s="98" cm="1">
        <f t="array" ref="AC83">SUM(SUMIFS('caseload data'!M:M,'caseload data'!$D:$D,"SPO",'caseload data'!$C:$C,'community caseload'!$T$78,'caseload data'!$B:$B,{"licence","community"}))</f>
        <v>0</v>
      </c>
      <c r="AD83" s="98" cm="1">
        <f t="array" ref="AD83">SUM(SUMIFS('caseload data'!N:N,'caseload data'!$D:$D,"SPO",'caseload data'!$C:$C,'community caseload'!$T$78,'caseload data'!$B:$B,{"licence","community"}))</f>
        <v>0</v>
      </c>
      <c r="AE83" s="98" cm="1">
        <f t="array" ref="AE83">SUM(SUMIFS('caseload data'!O:O,'caseload data'!$D:$D,"SPO",'caseload data'!$C:$C,'community caseload'!$T$78,'caseload data'!$B:$B,{"licence","community"}))</f>
        <v>0</v>
      </c>
      <c r="AF83" s="98" cm="1">
        <f t="array" ref="AF83">SUM(SUMIFS('caseload data'!P:P,'caseload data'!$D:$D,"SPO",'caseload data'!$C:$C,'community caseload'!$T$78,'caseload data'!$B:$B,{"licence","community"}))</f>
        <v>0</v>
      </c>
      <c r="AG83" s="98" cm="1">
        <f t="array" ref="AG83">SUM(SUMIFS('caseload data'!Q:Q,'caseload data'!$D:$D,"SPO",'caseload data'!$C:$C,'community caseload'!$T$78,'caseload data'!$B:$B,{"licence","community"}))</f>
        <v>0</v>
      </c>
      <c r="AH83" s="98" cm="1">
        <f t="array" ref="AH83">SUM(SUMIFS('caseload data'!R:R,'caseload data'!$D:$D,"SPO",'caseload data'!$C:$C,'community caseload'!$T$78,'caseload data'!$B:$B,{"licence","community"}))</f>
        <v>0</v>
      </c>
      <c r="AI83" s="98" cm="1">
        <f t="array" ref="AI83">SUM(SUMIFS('caseload data'!S:S,'caseload data'!$D:$D,"SPO",'caseload data'!$C:$C,'community caseload'!$T$78,'caseload data'!$B:$B,{"licence","community"}))</f>
        <v>0</v>
      </c>
      <c r="AJ83" s="98" cm="1">
        <f t="array" ref="AJ83">SUM(SUMIFS('caseload data'!T:T,'caseload data'!$D:$D,"SPO",'caseload data'!$C:$C,'community caseload'!$T$78,'caseload data'!$B:$B,{"licence","community"}))</f>
        <v>0</v>
      </c>
    </row>
    <row r="85" spans="2:36" ht="33.75" customHeight="1" x14ac:dyDescent="0.15">
      <c r="B85" s="302" t="str">
        <f>HLOOKUP($B$5,Region_Table,24,0)</f>
        <v>Unpaid Work and Attendance Centres - N07</v>
      </c>
      <c r="C85" s="459" t="s">
        <v>1309</v>
      </c>
      <c r="D85" s="460"/>
      <c r="E85" s="460"/>
      <c r="F85" s="460"/>
      <c r="G85" s="460"/>
      <c r="H85" s="460"/>
      <c r="I85" s="460"/>
      <c r="J85" s="460"/>
      <c r="K85" s="460"/>
      <c r="L85" s="460"/>
      <c r="M85" s="489"/>
      <c r="N85" s="489"/>
      <c r="O85" s="490"/>
      <c r="P85" s="462" cm="1">
        <f t="array" ref="P85">SUM(SUMIFS('caseload data'!V:V,'caseload data'!B:B,{"licence","community"},'caseload data'!$C:$C,'community caseload'!B85))</f>
        <v>0</v>
      </c>
      <c r="Q85" s="479"/>
      <c r="R85" s="480"/>
      <c r="S85" s="305"/>
      <c r="T85" s="302" t="str">
        <f>HLOOKUP($B$5,Region_Table,25,0)</f>
        <v>Wandsworth, Merton and Sutton</v>
      </c>
      <c r="U85" s="459" t="s">
        <v>1309</v>
      </c>
      <c r="V85" s="460"/>
      <c r="W85" s="460"/>
      <c r="X85" s="460"/>
      <c r="Y85" s="460"/>
      <c r="Z85" s="460"/>
      <c r="AA85" s="460"/>
      <c r="AB85" s="460"/>
      <c r="AC85" s="460"/>
      <c r="AD85" s="460"/>
      <c r="AE85" s="489"/>
      <c r="AF85" s="489"/>
      <c r="AG85" s="490"/>
      <c r="AH85" s="462" cm="1">
        <f t="array" ref="AH85">SUM(SUMIFS('caseload data'!V:V,'caseload data'!B:B,{"licence","community"},'caseload data'!$C:$C,'community caseload'!T85))</f>
        <v>0</v>
      </c>
      <c r="AI85" s="479"/>
      <c r="AJ85" s="480"/>
    </row>
    <row r="86" spans="2:36" x14ac:dyDescent="0.15">
      <c r="B86" s="99" t="s">
        <v>1170</v>
      </c>
      <c r="C86" s="40" t="s">
        <v>1022</v>
      </c>
      <c r="D86" s="40" t="s">
        <v>1023</v>
      </c>
      <c r="E86" s="40" t="s">
        <v>1024</v>
      </c>
      <c r="F86" s="40" t="s">
        <v>1025</v>
      </c>
      <c r="G86" s="40" t="s">
        <v>1026</v>
      </c>
      <c r="H86" s="40" t="s">
        <v>1027</v>
      </c>
      <c r="I86" s="40" t="s">
        <v>1028</v>
      </c>
      <c r="J86" s="40" t="s">
        <v>1029</v>
      </c>
      <c r="K86" s="40" t="s">
        <v>1030</v>
      </c>
      <c r="L86" s="40" t="s">
        <v>1031</v>
      </c>
      <c r="M86" s="40" t="s">
        <v>1032</v>
      </c>
      <c r="N86" s="40" t="s">
        <v>1033</v>
      </c>
      <c r="O86" s="40" t="s">
        <v>1034</v>
      </c>
      <c r="P86" s="40" t="s">
        <v>1035</v>
      </c>
      <c r="Q86" s="40" t="s">
        <v>1036</v>
      </c>
      <c r="R86" s="40" t="s">
        <v>1037</v>
      </c>
      <c r="T86" s="99" t="s">
        <v>1170</v>
      </c>
      <c r="U86" s="40" t="s">
        <v>1022</v>
      </c>
      <c r="V86" s="40" t="s">
        <v>1023</v>
      </c>
      <c r="W86" s="40" t="s">
        <v>1024</v>
      </c>
      <c r="X86" s="40" t="s">
        <v>1025</v>
      </c>
      <c r="Y86" s="40" t="s">
        <v>1026</v>
      </c>
      <c r="Z86" s="40" t="s">
        <v>1027</v>
      </c>
      <c r="AA86" s="40" t="s">
        <v>1028</v>
      </c>
      <c r="AB86" s="40" t="s">
        <v>1029</v>
      </c>
      <c r="AC86" s="40" t="s">
        <v>1030</v>
      </c>
      <c r="AD86" s="40" t="s">
        <v>1031</v>
      </c>
      <c r="AE86" s="40" t="s">
        <v>1032</v>
      </c>
      <c r="AF86" s="40" t="s">
        <v>1033</v>
      </c>
      <c r="AG86" s="40" t="s">
        <v>1034</v>
      </c>
      <c r="AH86" s="40" t="s">
        <v>1035</v>
      </c>
      <c r="AI86" s="40" t="s">
        <v>1036</v>
      </c>
      <c r="AJ86" s="40" t="s">
        <v>1037</v>
      </c>
    </row>
    <row r="87" spans="2:36" x14ac:dyDescent="0.15">
      <c r="B87" s="100" t="s">
        <v>1166</v>
      </c>
      <c r="C87" s="98" cm="1">
        <f t="array" ref="C87">SUM(SUMIFS('caseload data'!E:E,'caseload data'!$D:$D,"PO",'caseload data'!$C:$C,'community caseload'!$B$85,'caseload data'!$B:$B,{"licence","community"}))</f>
        <v>0</v>
      </c>
      <c r="D87" s="98" cm="1">
        <f t="array" ref="D87">SUM(SUMIFS('caseload data'!F:F,'caseload data'!$D:$D,"PO",'caseload data'!$C:$C,'community caseload'!$B$85,'caseload data'!$B:$B,{"licence","community"}))</f>
        <v>0</v>
      </c>
      <c r="E87" s="98" cm="1">
        <f t="array" ref="E87">SUM(SUMIFS('caseload data'!G:G,'caseload data'!$D:$D,"PO",'caseload data'!$C:$C,'community caseload'!$B$85,'caseload data'!$B:$B,{"licence","community"}))</f>
        <v>0</v>
      </c>
      <c r="F87" s="98" cm="1">
        <f t="array" ref="F87">SUM(SUMIFS('caseload data'!H:H,'caseload data'!$D:$D,"PO",'caseload data'!$C:$C,'community caseload'!$B$85,'caseload data'!$B:$B,{"licence","community"}))</f>
        <v>0</v>
      </c>
      <c r="G87" s="98" cm="1">
        <f t="array" ref="G87">SUM(SUMIFS('caseload data'!I:I,'caseload data'!$D:$D,"PO",'caseload data'!$C:$C,'community caseload'!$B$85,'caseload data'!$B:$B,{"licence","community"}))</f>
        <v>0</v>
      </c>
      <c r="H87" s="98" cm="1">
        <f t="array" ref="H87">SUM(SUMIFS('caseload data'!J:J,'caseload data'!$D:$D,"PO",'caseload data'!$C:$C,'community caseload'!$B$85,'caseload data'!$B:$B,{"licence","community"}))</f>
        <v>0</v>
      </c>
      <c r="I87" s="98" cm="1">
        <f t="array" ref="I87">SUM(SUMIFS('caseload data'!K:K,'caseload data'!$D:$D,"PO",'caseload data'!$C:$C,'community caseload'!$B$85,'caseload data'!$B:$B,{"licence","community"}))</f>
        <v>0</v>
      </c>
      <c r="J87" s="98" cm="1">
        <f t="array" ref="J87">SUM(SUMIFS('caseload data'!L:L,'caseload data'!$D:$D,"PO",'caseload data'!$C:$C,'community caseload'!$B$85,'caseload data'!$B:$B,{"licence","community"}))</f>
        <v>0</v>
      </c>
      <c r="K87" s="98" cm="1">
        <f t="array" ref="K87">SUM(SUMIFS('caseload data'!M:M,'caseload data'!$D:$D,"PO",'caseload data'!$C:$C,'community caseload'!$B$85,'caseload data'!$B:$B,{"licence","community"}))</f>
        <v>0</v>
      </c>
      <c r="L87" s="98" cm="1">
        <f t="array" ref="L87">SUM(SUMIFS('caseload data'!N:N,'caseload data'!$D:$D,"PO",'caseload data'!$C:$C,'community caseload'!$B$85,'caseload data'!$B:$B,{"licence","community"}))</f>
        <v>0</v>
      </c>
      <c r="M87" s="98" cm="1">
        <f t="array" ref="M87">SUM(SUMIFS('caseload data'!O:O,'caseload data'!$D:$D,"PO",'caseload data'!$C:$C,'community caseload'!$B$85,'caseload data'!$B:$B,{"licence","community"}))</f>
        <v>0</v>
      </c>
      <c r="N87" s="98" cm="1">
        <f t="array" ref="N87">SUM(SUMIFS('caseload data'!P:P,'caseload data'!$D:$D,"PO",'caseload data'!$C:$C,'community caseload'!$B$85,'caseload data'!$B:$B,{"licence","community"}))</f>
        <v>0</v>
      </c>
      <c r="O87" s="98" cm="1">
        <f t="array" ref="O87">SUM(SUMIFS('caseload data'!Q:Q,'caseload data'!$D:$D,"PO",'caseload data'!$C:$C,'community caseload'!$B$85,'caseload data'!$B:$B,{"licence","community"}))</f>
        <v>0</v>
      </c>
      <c r="P87" s="98" cm="1">
        <f t="array" ref="P87">SUM(SUMIFS('caseload data'!R:R,'caseload data'!$D:$D,"PO",'caseload data'!$C:$C,'community caseload'!$B$85,'caseload data'!$B:$B,{"licence","community"}))</f>
        <v>0</v>
      </c>
      <c r="Q87" s="98" cm="1">
        <f t="array" ref="Q87">SUM(SUMIFS('caseload data'!S:S,'caseload data'!$D:$D,"PO",'caseload data'!$C:$C,'community caseload'!$B$85,'caseload data'!$B:$B,{"licence","community"}))</f>
        <v>0</v>
      </c>
      <c r="R87" s="98" cm="1">
        <f t="array" ref="R87">SUM(SUMIFS('caseload data'!T:T,'caseload data'!$D:$D,"PO",'caseload data'!$C:$C,'community caseload'!$B$85,'caseload data'!$B:$B,{"licence","community"}))</f>
        <v>0</v>
      </c>
      <c r="T87" s="100" t="s">
        <v>1166</v>
      </c>
      <c r="U87" s="98" cm="1">
        <f t="array" ref="U87">SUM(SUMIFS('caseload data'!E:E,'caseload data'!$D:$D,"PO",'caseload data'!$C:$C,'community caseload'!$T$85,'caseload data'!$B:$B,{"licence","community"}))</f>
        <v>0</v>
      </c>
      <c r="V87" s="98" cm="1">
        <f t="array" ref="V87">SUM(SUMIFS('caseload data'!F:F,'caseload data'!$D:$D,"PO",'caseload data'!$C:$C,'community caseload'!$T$85,'caseload data'!$B:$B,{"licence","community"}))</f>
        <v>0</v>
      </c>
      <c r="W87" s="98" cm="1">
        <f t="array" ref="W87">SUM(SUMIFS('caseload data'!G:G,'caseload data'!$D:$D,"PO",'caseload data'!$C:$C,'community caseload'!$T$85,'caseload data'!$B:$B,{"licence","community"}))</f>
        <v>0</v>
      </c>
      <c r="X87" s="98" cm="1">
        <f t="array" ref="X87">SUM(SUMIFS('caseload data'!H:H,'caseload data'!$D:$D,"PO",'caseload data'!$C:$C,'community caseload'!$T$85,'caseload data'!$B:$B,{"licence","community"}))</f>
        <v>0</v>
      </c>
      <c r="Y87" s="98" cm="1">
        <f t="array" ref="Y87">SUM(SUMIFS('caseload data'!I:I,'caseload data'!$D:$D,"PO",'caseload data'!$C:$C,'community caseload'!$T$85,'caseload data'!$B:$B,{"licence","community"}))</f>
        <v>0</v>
      </c>
      <c r="Z87" s="98" cm="1">
        <f t="array" ref="Z87">SUM(SUMIFS('caseload data'!J:J,'caseload data'!$D:$D,"PO",'caseload data'!$C:$C,'community caseload'!$T$85,'caseload data'!$B:$B,{"licence","community"}))</f>
        <v>0</v>
      </c>
      <c r="AA87" s="98" cm="1">
        <f t="array" ref="AA87">SUM(SUMIFS('caseload data'!K:K,'caseload data'!$D:$D,"PO",'caseload data'!$C:$C,'community caseload'!$T$85,'caseload data'!$B:$B,{"licence","community"}))</f>
        <v>0</v>
      </c>
      <c r="AB87" s="98" cm="1">
        <f t="array" ref="AB87">SUM(SUMIFS('caseload data'!L:L,'caseload data'!$D:$D,"PO",'caseload data'!$C:$C,'community caseload'!$T$85,'caseload data'!$B:$B,{"licence","community"}))</f>
        <v>0</v>
      </c>
      <c r="AC87" s="98" cm="1">
        <f t="array" ref="AC87">SUM(SUMIFS('caseload data'!M:M,'caseload data'!$D:$D,"PO",'caseload data'!$C:$C,'community caseload'!$T$85,'caseload data'!$B:$B,{"licence","community"}))</f>
        <v>0</v>
      </c>
      <c r="AD87" s="98" cm="1">
        <f t="array" ref="AD87">SUM(SUMIFS('caseload data'!N:N,'caseload data'!$D:$D,"PO",'caseload data'!$C:$C,'community caseload'!$T$85,'caseload data'!$B:$B,{"licence","community"}))</f>
        <v>0</v>
      </c>
      <c r="AE87" s="98" cm="1">
        <f t="array" ref="AE87">SUM(SUMIFS('caseload data'!O:O,'caseload data'!$D:$D,"PO",'caseload data'!$C:$C,'community caseload'!$T$85,'caseload data'!$B:$B,{"licence","community"}))</f>
        <v>0</v>
      </c>
      <c r="AF87" s="98" cm="1">
        <f t="array" ref="AF87">SUM(SUMIFS('caseload data'!P:P,'caseload data'!$D:$D,"PO",'caseload data'!$C:$C,'community caseload'!$T$85,'caseload data'!$B:$B,{"licence","community"}))</f>
        <v>0</v>
      </c>
      <c r="AG87" s="98" cm="1">
        <f t="array" ref="AG87">SUM(SUMIFS('caseload data'!Q:Q,'caseload data'!$D:$D,"PO",'caseload data'!$C:$C,'community caseload'!$T$85,'caseload data'!$B:$B,{"licence","community"}))</f>
        <v>0</v>
      </c>
      <c r="AH87" s="98" cm="1">
        <f t="array" ref="AH87">SUM(SUMIFS('caseload data'!R:R,'caseload data'!$D:$D,"PO",'caseload data'!$C:$C,'community caseload'!$T$85,'caseload data'!$B:$B,{"licence","community"}))</f>
        <v>0</v>
      </c>
      <c r="AI87" s="98" cm="1">
        <f t="array" ref="AI87">SUM(SUMIFS('caseload data'!S:S,'caseload data'!$D:$D,"PO",'caseload data'!$C:$C,'community caseload'!$T$85,'caseload data'!$B:$B,{"licence","community"}))</f>
        <v>0</v>
      </c>
      <c r="AJ87" s="98" cm="1">
        <f t="array" ref="AJ87">SUM(SUMIFS('caseload data'!T:T,'caseload data'!$D:$D,"PO",'caseload data'!$C:$C,'community caseload'!$T$85,'caseload data'!$B:$B,{"licence","community"}))</f>
        <v>0</v>
      </c>
    </row>
    <row r="88" spans="2:36" x14ac:dyDescent="0.15">
      <c r="B88" s="101" t="s">
        <v>1172</v>
      </c>
      <c r="C88" s="98" cm="1">
        <f t="array" ref="C88">SUM(SUMIFS('caseload data'!E:E,'caseload data'!$D:$D,"PSO",'caseload data'!$C:$C,'community caseload'!$B$85,'caseload data'!$B:$B,{"licence","community"}))</f>
        <v>0</v>
      </c>
      <c r="D88" s="98" cm="1">
        <f t="array" ref="D88">SUM(SUMIFS('caseload data'!F:F,'caseload data'!$D:$D,"PSO",'caseload data'!$C:$C,'community caseload'!$B$85,'caseload data'!$B:$B,{"licence","community"}))</f>
        <v>0</v>
      </c>
      <c r="E88" s="98" cm="1">
        <f t="array" ref="E88">SUM(SUMIFS('caseload data'!G:G,'caseload data'!$D:$D,"PSO",'caseload data'!$C:$C,'community caseload'!$B$85,'caseload data'!$B:$B,{"licence","community"}))</f>
        <v>0</v>
      </c>
      <c r="F88" s="98" cm="1">
        <f t="array" ref="F88">SUM(SUMIFS('caseload data'!H:H,'caseload data'!$D:$D,"PSO",'caseload data'!$C:$C,'community caseload'!$B$85,'caseload data'!$B:$B,{"licence","community"}))</f>
        <v>0</v>
      </c>
      <c r="G88" s="98" cm="1">
        <f t="array" ref="G88">SUM(SUMIFS('caseload data'!I:I,'caseload data'!$D:$D,"PSO",'caseload data'!$C:$C,'community caseload'!$B$85,'caseload data'!$B:$B,{"licence","community"}))</f>
        <v>0</v>
      </c>
      <c r="H88" s="98" cm="1">
        <f t="array" ref="H88">SUM(SUMIFS('caseload data'!J:J,'caseload data'!$D:$D,"PSO",'caseload data'!$C:$C,'community caseload'!$B$85,'caseload data'!$B:$B,{"licence","community"}))</f>
        <v>0</v>
      </c>
      <c r="I88" s="98" cm="1">
        <f t="array" ref="I88">SUM(SUMIFS('caseload data'!K:K,'caseload data'!$D:$D,"PSO",'caseload data'!$C:$C,'community caseload'!$B$85,'caseload data'!$B:$B,{"licence","community"}))</f>
        <v>0</v>
      </c>
      <c r="J88" s="98" cm="1">
        <f t="array" ref="J88">SUM(SUMIFS('caseload data'!L:L,'caseload data'!$D:$D,"PSO",'caseload data'!$C:$C,'community caseload'!$B$85,'caseload data'!$B:$B,{"licence","community"}))</f>
        <v>0</v>
      </c>
      <c r="K88" s="98" cm="1">
        <f t="array" ref="K88">SUM(SUMIFS('caseload data'!M:M,'caseload data'!$D:$D,"PSO",'caseload data'!$C:$C,'community caseload'!$B$85,'caseload data'!$B:$B,{"licence","community"}))</f>
        <v>0</v>
      </c>
      <c r="L88" s="98" cm="1">
        <f t="array" ref="L88">SUM(SUMIFS('caseload data'!N:N,'caseload data'!$D:$D,"PSO",'caseload data'!$C:$C,'community caseload'!$B$85,'caseload data'!$B:$B,{"licence","community"}))</f>
        <v>0</v>
      </c>
      <c r="M88" s="98" cm="1">
        <f t="array" ref="M88">SUM(SUMIFS('caseload data'!O:O,'caseload data'!$D:$D,"PSO",'caseload data'!$C:$C,'community caseload'!$B$85,'caseload data'!$B:$B,{"licence","community"}))</f>
        <v>0</v>
      </c>
      <c r="N88" s="98" cm="1">
        <f t="array" ref="N88">SUM(SUMIFS('caseload data'!P:P,'caseload data'!$D:$D,"PSO",'caseload data'!$C:$C,'community caseload'!$B$85,'caseload data'!$B:$B,{"licence","community"}))</f>
        <v>0</v>
      </c>
      <c r="O88" s="98" cm="1">
        <f t="array" ref="O88">SUM(SUMIFS('caseload data'!Q:Q,'caseload data'!$D:$D,"PSO",'caseload data'!$C:$C,'community caseload'!$B$85,'caseload data'!$B:$B,{"licence","community"}))</f>
        <v>0</v>
      </c>
      <c r="P88" s="98" cm="1">
        <f t="array" ref="P88">SUM(SUMIFS('caseload data'!R:R,'caseload data'!$D:$D,"PSO",'caseload data'!$C:$C,'community caseload'!$B$85,'caseload data'!$B:$B,{"licence","community"}))</f>
        <v>0</v>
      </c>
      <c r="Q88" s="98" cm="1">
        <f t="array" ref="Q88">SUM(SUMIFS('caseload data'!S:S,'caseload data'!$D:$D,"PSO",'caseload data'!$C:$C,'community caseload'!$B$85,'caseload data'!$B:$B,{"licence","community"}))</f>
        <v>0</v>
      </c>
      <c r="R88" s="98" cm="1">
        <f t="array" ref="R88">SUM(SUMIFS('caseload data'!T:T,'caseload data'!$D:$D,"PSO",'caseload data'!$C:$C,'community caseload'!$B$85,'caseload data'!$B:$B,{"licence","community"}))</f>
        <v>0</v>
      </c>
      <c r="T88" s="101" t="s">
        <v>1172</v>
      </c>
      <c r="U88" s="98" cm="1">
        <f t="array" ref="U88">SUM(SUMIFS('caseload data'!E:E,'caseload data'!$D:$D,"PSO",'caseload data'!$C:$C,'community caseload'!$T$85,'caseload data'!$B:$B,{"licence","community"}))</f>
        <v>0</v>
      </c>
      <c r="V88" s="98" cm="1">
        <f t="array" ref="V88">SUM(SUMIFS('caseload data'!F:F,'caseload data'!$D:$D,"PSO",'caseload data'!$C:$C,'community caseload'!$T$85,'caseload data'!$B:$B,{"licence","community"}))</f>
        <v>0</v>
      </c>
      <c r="W88" s="98" cm="1">
        <f t="array" ref="W88">SUM(SUMIFS('caseload data'!G:G,'caseload data'!$D:$D,"PSO",'caseload data'!$C:$C,'community caseload'!$T$85,'caseload data'!$B:$B,{"licence","community"}))</f>
        <v>0</v>
      </c>
      <c r="X88" s="98" cm="1">
        <f t="array" ref="X88">SUM(SUMIFS('caseload data'!H:H,'caseload data'!$D:$D,"PSO",'caseload data'!$C:$C,'community caseload'!$T$85,'caseload data'!$B:$B,{"licence","community"}))</f>
        <v>0</v>
      </c>
      <c r="Y88" s="98" cm="1">
        <f t="array" ref="Y88">SUM(SUMIFS('caseload data'!I:I,'caseload data'!$D:$D,"PSO",'caseload data'!$C:$C,'community caseload'!$T$85,'caseload data'!$B:$B,{"licence","community"}))</f>
        <v>0</v>
      </c>
      <c r="Z88" s="98" cm="1">
        <f t="array" ref="Z88">SUM(SUMIFS('caseload data'!J:J,'caseload data'!$D:$D,"PSO",'caseload data'!$C:$C,'community caseload'!$T$85,'caseload data'!$B:$B,{"licence","community"}))</f>
        <v>0</v>
      </c>
      <c r="AA88" s="98" cm="1">
        <f t="array" ref="AA88">SUM(SUMIFS('caseload data'!K:K,'caseload data'!$D:$D,"PSO",'caseload data'!$C:$C,'community caseload'!$T$85,'caseload data'!$B:$B,{"licence","community"}))</f>
        <v>0</v>
      </c>
      <c r="AB88" s="98" cm="1">
        <f t="array" ref="AB88">SUM(SUMIFS('caseload data'!L:L,'caseload data'!$D:$D,"PSO",'caseload data'!$C:$C,'community caseload'!$T$85,'caseload data'!$B:$B,{"licence","community"}))</f>
        <v>0</v>
      </c>
      <c r="AC88" s="98" cm="1">
        <f t="array" ref="AC88">SUM(SUMIFS('caseload data'!M:M,'caseload data'!$D:$D,"PSO",'caseload data'!$C:$C,'community caseload'!$T$85,'caseload data'!$B:$B,{"licence","community"}))</f>
        <v>0</v>
      </c>
      <c r="AD88" s="98" cm="1">
        <f t="array" ref="AD88">SUM(SUMIFS('caseload data'!N:N,'caseload data'!$D:$D,"PSO",'caseload data'!$C:$C,'community caseload'!$T$85,'caseload data'!$B:$B,{"licence","community"}))</f>
        <v>0</v>
      </c>
      <c r="AE88" s="98" cm="1">
        <f t="array" ref="AE88">SUM(SUMIFS('caseload data'!O:O,'caseload data'!$D:$D,"PSO",'caseload data'!$C:$C,'community caseload'!$T$85,'caseload data'!$B:$B,{"licence","community"}))</f>
        <v>0</v>
      </c>
      <c r="AF88" s="98" cm="1">
        <f t="array" ref="AF88">SUM(SUMIFS('caseload data'!P:P,'caseload data'!$D:$D,"PSO",'caseload data'!$C:$C,'community caseload'!$T$85,'caseload data'!$B:$B,{"licence","community"}))</f>
        <v>0</v>
      </c>
      <c r="AG88" s="98" cm="1">
        <f t="array" ref="AG88">SUM(SUMIFS('caseload data'!Q:Q,'caseload data'!$D:$D,"PSO",'caseload data'!$C:$C,'community caseload'!$T$85,'caseload data'!$B:$B,{"licence","community"}))</f>
        <v>0</v>
      </c>
      <c r="AH88" s="98" cm="1">
        <f t="array" ref="AH88">SUM(SUMIFS('caseload data'!R:R,'caseload data'!$D:$D,"PSO",'caseload data'!$C:$C,'community caseload'!$T$85,'caseload data'!$B:$B,{"licence","community"}))</f>
        <v>0</v>
      </c>
      <c r="AI88" s="98" cm="1">
        <f t="array" ref="AI88">SUM(SUMIFS('caseload data'!S:S,'caseload data'!$D:$D,"PSO",'caseload data'!$C:$C,'community caseload'!$T$85,'caseload data'!$B:$B,{"licence","community"}))</f>
        <v>0</v>
      </c>
      <c r="AJ88" s="98" cm="1">
        <f t="array" ref="AJ88">SUM(SUMIFS('caseload data'!T:T,'caseload data'!$D:$D,"PSO",'caseload data'!$C:$C,'community caseload'!$T$85,'caseload data'!$B:$B,{"licence","community"}))</f>
        <v>0</v>
      </c>
    </row>
    <row r="89" spans="2:36" x14ac:dyDescent="0.15">
      <c r="B89" s="101" t="s">
        <v>1173</v>
      </c>
      <c r="C89" s="98" cm="1">
        <f t="array" ref="C89">SUM(SUMIFS('caseload data'!E:E,'caseload data'!$D:$D,"TPO",'caseload data'!$C:$C,'community caseload'!$B$85,'caseload data'!$B:$B,{"licence","community"}))</f>
        <v>0</v>
      </c>
      <c r="D89" s="98" cm="1">
        <f t="array" ref="D89">SUM(SUMIFS('caseload data'!F:F,'caseload data'!$D:$D,"TPO",'caseload data'!$C:$C,'community caseload'!$B$85,'caseload data'!$B:$B,{"licence","community"}))</f>
        <v>0</v>
      </c>
      <c r="E89" s="98" cm="1">
        <f t="array" ref="E89">SUM(SUMIFS('caseload data'!G:G,'caseload data'!$D:$D,"TPO",'caseload data'!$C:$C,'community caseload'!$B$85,'caseload data'!$B:$B,{"licence","community"}))</f>
        <v>0</v>
      </c>
      <c r="F89" s="98" cm="1">
        <f t="array" ref="F89">SUM(SUMIFS('caseload data'!H:H,'caseload data'!$D:$D,"TPO",'caseload data'!$C:$C,'community caseload'!$B$85,'caseload data'!$B:$B,{"licence","community"}))</f>
        <v>0</v>
      </c>
      <c r="G89" s="98" cm="1">
        <f t="array" ref="G89">SUM(SUMIFS('caseload data'!I:I,'caseload data'!$D:$D,"TPO",'caseload data'!$C:$C,'community caseload'!$B$85,'caseload data'!$B:$B,{"licence","community"}))</f>
        <v>0</v>
      </c>
      <c r="H89" s="98" cm="1">
        <f t="array" ref="H89">SUM(SUMIFS('caseload data'!J:J,'caseload data'!$D:$D,"TPO",'caseload data'!$C:$C,'community caseload'!$B$85,'caseload data'!$B:$B,{"licence","community"}))</f>
        <v>0</v>
      </c>
      <c r="I89" s="98" cm="1">
        <f t="array" ref="I89">SUM(SUMIFS('caseload data'!K:K,'caseload data'!$D:$D,"TPO",'caseload data'!$C:$C,'community caseload'!$B$85,'caseload data'!$B:$B,{"licence","community"}))</f>
        <v>0</v>
      </c>
      <c r="J89" s="98" cm="1">
        <f t="array" ref="J89">SUM(SUMIFS('caseload data'!L:L,'caseload data'!$D:$D,"TPO",'caseload data'!$C:$C,'community caseload'!$B$85,'caseload data'!$B:$B,{"licence","community"}))</f>
        <v>0</v>
      </c>
      <c r="K89" s="98" cm="1">
        <f t="array" ref="K89">SUM(SUMIFS('caseload data'!M:M,'caseload data'!$D:$D,"TPO",'caseload data'!$C:$C,'community caseload'!$B$85,'caseload data'!$B:$B,{"licence","community"}))</f>
        <v>0</v>
      </c>
      <c r="L89" s="98" cm="1">
        <f t="array" ref="L89">SUM(SUMIFS('caseload data'!N:N,'caseload data'!$D:$D,"TPO",'caseload data'!$C:$C,'community caseload'!$B$85,'caseload data'!$B:$B,{"licence","community"}))</f>
        <v>0</v>
      </c>
      <c r="M89" s="98" cm="1">
        <f t="array" ref="M89">SUM(SUMIFS('caseload data'!O:O,'caseload data'!$D:$D,"TPO",'caseload data'!$C:$C,'community caseload'!$B$85,'caseload data'!$B:$B,{"licence","community"}))</f>
        <v>0</v>
      </c>
      <c r="N89" s="98" cm="1">
        <f t="array" ref="N89">SUM(SUMIFS('caseload data'!P:P,'caseload data'!$D:$D,"TPO",'caseload data'!$C:$C,'community caseload'!$B$85,'caseload data'!$B:$B,{"licence","community"}))</f>
        <v>0</v>
      </c>
      <c r="O89" s="98" cm="1">
        <f t="array" ref="O89">SUM(SUMIFS('caseload data'!Q:Q,'caseload data'!$D:$D,"TPO",'caseload data'!$C:$C,'community caseload'!$B$85,'caseload data'!$B:$B,{"licence","community"}))</f>
        <v>0</v>
      </c>
      <c r="P89" s="98" cm="1">
        <f t="array" ref="P89">SUM(SUMIFS('caseload data'!R:R,'caseload data'!$D:$D,"TPO",'caseload data'!$C:$C,'community caseload'!$B$85,'caseload data'!$B:$B,{"licence","community"}))</f>
        <v>0</v>
      </c>
      <c r="Q89" s="98" cm="1">
        <f t="array" ref="Q89">SUM(SUMIFS('caseload data'!S:S,'caseload data'!$D:$D,"TPO",'caseload data'!$C:$C,'community caseload'!$B$85,'caseload data'!$B:$B,{"licence","community"}))</f>
        <v>0</v>
      </c>
      <c r="R89" s="98" cm="1">
        <f t="array" ref="R89">SUM(SUMIFS('caseload data'!T:T,'caseload data'!$D:$D,"TPO",'caseload data'!$C:$C,'community caseload'!$B$85,'caseload data'!$B:$B,{"licence","community"}))</f>
        <v>0</v>
      </c>
      <c r="T89" s="101" t="s">
        <v>1173</v>
      </c>
      <c r="U89" s="98" cm="1">
        <f t="array" ref="U89">SUM(SUMIFS('caseload data'!E:E,'caseload data'!$D:$D,"TPO",'caseload data'!$C:$C,'community caseload'!$T$85,'caseload data'!$B:$B,{"licence","community"}))</f>
        <v>0</v>
      </c>
      <c r="V89" s="98" cm="1">
        <f t="array" ref="V89">SUM(SUMIFS('caseload data'!F:F,'caseload data'!$D:$D,"TPO",'caseload data'!$C:$C,'community caseload'!$T$85,'caseload data'!$B:$B,{"licence","community"}))</f>
        <v>0</v>
      </c>
      <c r="W89" s="98" cm="1">
        <f t="array" ref="W89">SUM(SUMIFS('caseload data'!G:G,'caseload data'!$D:$D,"TPO",'caseload data'!$C:$C,'community caseload'!$T$85,'caseload data'!$B:$B,{"licence","community"}))</f>
        <v>0</v>
      </c>
      <c r="X89" s="98" cm="1">
        <f t="array" ref="X89">SUM(SUMIFS('caseload data'!H:H,'caseload data'!$D:$D,"TPO",'caseload data'!$C:$C,'community caseload'!$T$85,'caseload data'!$B:$B,{"licence","community"}))</f>
        <v>0</v>
      </c>
      <c r="Y89" s="98" cm="1">
        <f t="array" ref="Y89">SUM(SUMIFS('caseload data'!I:I,'caseload data'!$D:$D,"TPO",'caseload data'!$C:$C,'community caseload'!$T$85,'caseload data'!$B:$B,{"licence","community"}))</f>
        <v>0</v>
      </c>
      <c r="Z89" s="98" cm="1">
        <f t="array" ref="Z89">SUM(SUMIFS('caseload data'!J:J,'caseload data'!$D:$D,"TPO",'caseload data'!$C:$C,'community caseload'!$T$85,'caseload data'!$B:$B,{"licence","community"}))</f>
        <v>0</v>
      </c>
      <c r="AA89" s="98" cm="1">
        <f t="array" ref="AA89">SUM(SUMIFS('caseload data'!K:K,'caseload data'!$D:$D,"TPO",'caseload data'!$C:$C,'community caseload'!$T$85,'caseload data'!$B:$B,{"licence","community"}))</f>
        <v>0</v>
      </c>
      <c r="AB89" s="98" cm="1">
        <f t="array" ref="AB89">SUM(SUMIFS('caseload data'!L:L,'caseload data'!$D:$D,"TPO",'caseload data'!$C:$C,'community caseload'!$T$85,'caseload data'!$B:$B,{"licence","community"}))</f>
        <v>0</v>
      </c>
      <c r="AC89" s="98" cm="1">
        <f t="array" ref="AC89">SUM(SUMIFS('caseload data'!M:M,'caseload data'!$D:$D,"TPO",'caseload data'!$C:$C,'community caseload'!$T$85,'caseload data'!$B:$B,{"licence","community"}))</f>
        <v>0</v>
      </c>
      <c r="AD89" s="98" cm="1">
        <f t="array" ref="AD89">SUM(SUMIFS('caseload data'!N:N,'caseload data'!$D:$D,"TPO",'caseload data'!$C:$C,'community caseload'!$T$85,'caseload data'!$B:$B,{"licence","community"}))</f>
        <v>0</v>
      </c>
      <c r="AE89" s="98" cm="1">
        <f t="array" ref="AE89">SUM(SUMIFS('caseload data'!O:O,'caseload data'!$D:$D,"TPO",'caseload data'!$C:$C,'community caseload'!$T$85,'caseload data'!$B:$B,{"licence","community"}))</f>
        <v>0</v>
      </c>
      <c r="AF89" s="98" cm="1">
        <f t="array" ref="AF89">SUM(SUMIFS('caseload data'!P:P,'caseload data'!$D:$D,"TPO",'caseload data'!$C:$C,'community caseload'!$T$85,'caseload data'!$B:$B,{"licence","community"}))</f>
        <v>0</v>
      </c>
      <c r="AG89" s="98" cm="1">
        <f t="array" ref="AG89">SUM(SUMIFS('caseload data'!Q:Q,'caseload data'!$D:$D,"TPO",'caseload data'!$C:$C,'community caseload'!$T$85,'caseload data'!$B:$B,{"licence","community"}))</f>
        <v>0</v>
      </c>
      <c r="AH89" s="98" cm="1">
        <f t="array" ref="AH89">SUM(SUMIFS('caseload data'!R:R,'caseload data'!$D:$D,"TPO",'caseload data'!$C:$C,'community caseload'!$T$85,'caseload data'!$B:$B,{"licence","community"}))</f>
        <v>0</v>
      </c>
      <c r="AI89" s="98" cm="1">
        <f t="array" ref="AI89">SUM(SUMIFS('caseload data'!S:S,'caseload data'!$D:$D,"TPO",'caseload data'!$C:$C,'community caseload'!$T$85,'caseload data'!$B:$B,{"licence","community"}))</f>
        <v>0</v>
      </c>
      <c r="AJ89" s="98" cm="1">
        <f t="array" ref="AJ89">SUM(SUMIFS('caseload data'!T:T,'caseload data'!$D:$D,"TPO",'caseload data'!$C:$C,'community caseload'!$T$85,'caseload data'!$B:$B,{"licence","community"}))</f>
        <v>0</v>
      </c>
    </row>
    <row r="90" spans="2:36" x14ac:dyDescent="0.15">
      <c r="B90" s="102" t="s">
        <v>1174</v>
      </c>
      <c r="C90" s="98" cm="1">
        <f t="array" ref="C90">SUM(SUMIFS('caseload data'!E:E,'caseload data'!$D:$D,"SPO",'caseload data'!$C:$C,'community caseload'!$B$85,'caseload data'!$B:$B,{"licence","community"}))</f>
        <v>0</v>
      </c>
      <c r="D90" s="98" cm="1">
        <f t="array" ref="D90">SUM(SUMIFS('caseload data'!F:F,'caseload data'!$D:$D,"SPO",'caseload data'!$C:$C,'community caseload'!$B$85,'caseload data'!$B:$B,{"licence","community"}))</f>
        <v>0</v>
      </c>
      <c r="E90" s="98" cm="1">
        <f t="array" ref="E90">SUM(SUMIFS('caseload data'!G:G,'caseload data'!$D:$D,"SPO",'caseload data'!$C:$C,'community caseload'!$B$85,'caseload data'!$B:$B,{"licence","community"}))</f>
        <v>0</v>
      </c>
      <c r="F90" s="98" cm="1">
        <f t="array" ref="F90">SUM(SUMIFS('caseload data'!H:H,'caseload data'!$D:$D,"SPO",'caseload data'!$C:$C,'community caseload'!$B$85,'caseload data'!$B:$B,{"licence","community"}))</f>
        <v>0</v>
      </c>
      <c r="G90" s="98" cm="1">
        <f t="array" ref="G90">SUM(SUMIFS('caseload data'!I:I,'caseload data'!$D:$D,"SPO",'caseload data'!$C:$C,'community caseload'!$B$85,'caseload data'!$B:$B,{"licence","community"}))</f>
        <v>0</v>
      </c>
      <c r="H90" s="98" cm="1">
        <f t="array" ref="H90">SUM(SUMIFS('caseload data'!J:J,'caseload data'!$D:$D,"SPO",'caseload data'!$C:$C,'community caseload'!$B$85,'caseload data'!$B:$B,{"licence","community"}))</f>
        <v>0</v>
      </c>
      <c r="I90" s="98" cm="1">
        <f t="array" ref="I90">SUM(SUMIFS('caseload data'!K:K,'caseload data'!$D:$D,"SPO",'caseload data'!$C:$C,'community caseload'!$B$85,'caseload data'!$B:$B,{"licence","community"}))</f>
        <v>0</v>
      </c>
      <c r="J90" s="98" cm="1">
        <f t="array" ref="J90">SUM(SUMIFS('caseload data'!L:L,'caseload data'!$D:$D,"SPO",'caseload data'!$C:$C,'community caseload'!$B$85,'caseload data'!$B:$B,{"licence","community"}))</f>
        <v>0</v>
      </c>
      <c r="K90" s="98" cm="1">
        <f t="array" ref="K90">SUM(SUMIFS('caseload data'!M:M,'caseload data'!$D:$D,"SPO",'caseload data'!$C:$C,'community caseload'!$B$85,'caseload data'!$B:$B,{"licence","community"}))</f>
        <v>0</v>
      </c>
      <c r="L90" s="98" cm="1">
        <f t="array" ref="L90">SUM(SUMIFS('caseload data'!N:N,'caseload data'!$D:$D,"SPO",'caseload data'!$C:$C,'community caseload'!$B$85,'caseload data'!$B:$B,{"licence","community"}))</f>
        <v>0</v>
      </c>
      <c r="M90" s="98" cm="1">
        <f t="array" ref="M90">SUM(SUMIFS('caseload data'!O:O,'caseload data'!$D:$D,"SPO",'caseload data'!$C:$C,'community caseload'!$B$85,'caseload data'!$B:$B,{"licence","community"}))</f>
        <v>0</v>
      </c>
      <c r="N90" s="98" cm="1">
        <f t="array" ref="N90">SUM(SUMIFS('caseload data'!P:P,'caseload data'!$D:$D,"SPO",'caseload data'!$C:$C,'community caseload'!$B$85,'caseload data'!$B:$B,{"licence","community"}))</f>
        <v>0</v>
      </c>
      <c r="O90" s="98" cm="1">
        <f t="array" ref="O90">SUM(SUMIFS('caseload data'!Q:Q,'caseload data'!$D:$D,"SPO",'caseload data'!$C:$C,'community caseload'!$B$85,'caseload data'!$B:$B,{"licence","community"}))</f>
        <v>0</v>
      </c>
      <c r="P90" s="98" cm="1">
        <f t="array" ref="P90">SUM(SUMIFS('caseload data'!R:R,'caseload data'!$D:$D,"SPO",'caseload data'!$C:$C,'community caseload'!$B$85,'caseload data'!$B:$B,{"licence","community"}))</f>
        <v>0</v>
      </c>
      <c r="Q90" s="98" cm="1">
        <f t="array" ref="Q90">SUM(SUMIFS('caseload data'!S:S,'caseload data'!$D:$D,"SPO",'caseload data'!$C:$C,'community caseload'!$B$85,'caseload data'!$B:$B,{"licence","community"}))</f>
        <v>0</v>
      </c>
      <c r="R90" s="98" cm="1">
        <f t="array" ref="R90">SUM(SUMIFS('caseload data'!T:T,'caseload data'!$D:$D,"SPO",'caseload data'!$C:$C,'community caseload'!$B$85,'caseload data'!$B:$B,{"licence","community"}))</f>
        <v>0</v>
      </c>
      <c r="T90" s="102" t="s">
        <v>1174</v>
      </c>
      <c r="U90" s="98" cm="1">
        <f t="array" ref="U90">SUM(SUMIFS('caseload data'!E:E,'caseload data'!$D:$D,"SPO",'caseload data'!$C:$C,'community caseload'!$T$85,'caseload data'!$B:$B,{"licence","community"}))</f>
        <v>0</v>
      </c>
      <c r="V90" s="98" cm="1">
        <f t="array" ref="V90">SUM(SUMIFS('caseload data'!F:F,'caseload data'!$D:$D,"SPO",'caseload data'!$C:$C,'community caseload'!$T$85,'caseload data'!$B:$B,{"licence","community"}))</f>
        <v>0</v>
      </c>
      <c r="W90" s="98" cm="1">
        <f t="array" ref="W90">SUM(SUMIFS('caseload data'!G:G,'caseload data'!$D:$D,"SPO",'caseload data'!$C:$C,'community caseload'!$T$85,'caseload data'!$B:$B,{"licence","community"}))</f>
        <v>0</v>
      </c>
      <c r="X90" s="98" cm="1">
        <f t="array" ref="X90">SUM(SUMIFS('caseload data'!H:H,'caseload data'!$D:$D,"SPO",'caseload data'!$C:$C,'community caseload'!$T$85,'caseload data'!$B:$B,{"licence","community"}))</f>
        <v>0</v>
      </c>
      <c r="Y90" s="98" cm="1">
        <f t="array" ref="Y90">SUM(SUMIFS('caseload data'!I:I,'caseload data'!$D:$D,"SPO",'caseload data'!$C:$C,'community caseload'!$T$85,'caseload data'!$B:$B,{"licence","community"}))</f>
        <v>0</v>
      </c>
      <c r="Z90" s="98" cm="1">
        <f t="array" ref="Z90">SUM(SUMIFS('caseload data'!J:J,'caseload data'!$D:$D,"SPO",'caseload data'!$C:$C,'community caseload'!$T$85,'caseload data'!$B:$B,{"licence","community"}))</f>
        <v>0</v>
      </c>
      <c r="AA90" s="98" cm="1">
        <f t="array" ref="AA90">SUM(SUMIFS('caseload data'!K:K,'caseload data'!$D:$D,"SPO",'caseload data'!$C:$C,'community caseload'!$T$85,'caseload data'!$B:$B,{"licence","community"}))</f>
        <v>0</v>
      </c>
      <c r="AB90" s="98" cm="1">
        <f t="array" ref="AB90">SUM(SUMIFS('caseload data'!L:L,'caseload data'!$D:$D,"SPO",'caseload data'!$C:$C,'community caseload'!$T$85,'caseload data'!$B:$B,{"licence","community"}))</f>
        <v>0</v>
      </c>
      <c r="AC90" s="98" cm="1">
        <f t="array" ref="AC90">SUM(SUMIFS('caseload data'!M:M,'caseload data'!$D:$D,"SPO",'caseload data'!$C:$C,'community caseload'!$T$85,'caseload data'!$B:$B,{"licence","community"}))</f>
        <v>0</v>
      </c>
      <c r="AD90" s="98" cm="1">
        <f t="array" ref="AD90">SUM(SUMIFS('caseload data'!N:N,'caseload data'!$D:$D,"SPO",'caseload data'!$C:$C,'community caseload'!$T$85,'caseload data'!$B:$B,{"licence","community"}))</f>
        <v>0</v>
      </c>
      <c r="AE90" s="98" cm="1">
        <f t="array" ref="AE90">SUM(SUMIFS('caseload data'!O:O,'caseload data'!$D:$D,"SPO",'caseload data'!$C:$C,'community caseload'!$T$85,'caseload data'!$B:$B,{"licence","community"}))</f>
        <v>0</v>
      </c>
      <c r="AF90" s="98" cm="1">
        <f t="array" ref="AF90">SUM(SUMIFS('caseload data'!P:P,'caseload data'!$D:$D,"SPO",'caseload data'!$C:$C,'community caseload'!$T$85,'caseload data'!$B:$B,{"licence","community"}))</f>
        <v>0</v>
      </c>
      <c r="AG90" s="98" cm="1">
        <f t="array" ref="AG90">SUM(SUMIFS('caseload data'!Q:Q,'caseload data'!$D:$D,"SPO",'caseload data'!$C:$C,'community caseload'!$T$85,'caseload data'!$B:$B,{"licence","community"}))</f>
        <v>0</v>
      </c>
      <c r="AH90" s="98" cm="1">
        <f t="array" ref="AH90">SUM(SUMIFS('caseload data'!R:R,'caseload data'!$D:$D,"SPO",'caseload data'!$C:$C,'community caseload'!$T$85,'caseload data'!$B:$B,{"licence","community"}))</f>
        <v>0</v>
      </c>
      <c r="AI90" s="98" cm="1">
        <f t="array" ref="AI90">SUM(SUMIFS('caseload data'!S:S,'caseload data'!$D:$D,"SPO",'caseload data'!$C:$C,'community caseload'!$T$85,'caseload data'!$B:$B,{"licence","community"}))</f>
        <v>0</v>
      </c>
      <c r="AJ90" s="98" cm="1">
        <f t="array" ref="AJ90">SUM(SUMIFS('caseload data'!T:T,'caseload data'!$D:$D,"SPO",'caseload data'!$C:$C,'community caseload'!$T$85,'caseload data'!$B:$B,{"licence","community"}))</f>
        <v>0</v>
      </c>
    </row>
    <row r="92" spans="2:36" ht="27.75" customHeight="1" x14ac:dyDescent="0.15">
      <c r="B92" s="302">
        <f>HLOOKUP($B$5,Region_Table,26,0)</f>
        <v>0</v>
      </c>
      <c r="C92" s="459" t="s">
        <v>1309</v>
      </c>
      <c r="D92" s="460"/>
      <c r="E92" s="460"/>
      <c r="F92" s="460"/>
      <c r="G92" s="460"/>
      <c r="H92" s="460"/>
      <c r="I92" s="460"/>
      <c r="J92" s="460"/>
      <c r="K92" s="460"/>
      <c r="L92" s="460"/>
      <c r="M92" s="489"/>
      <c r="N92" s="489"/>
      <c r="O92" s="490"/>
      <c r="P92" s="462" cm="1">
        <f t="array" ref="P92">SUM(SUMIFS('caseload data'!V:V,'caseload data'!B:B,{"licence","community"},'caseload data'!$C:$C,'community caseload'!B92))</f>
        <v>0</v>
      </c>
      <c r="Q92" s="479"/>
      <c r="R92" s="480"/>
      <c r="T92" s="302">
        <f>HLOOKUP($B$5,Region_Table,27,0)</f>
        <v>0</v>
      </c>
      <c r="U92" s="459" t="s">
        <v>1309</v>
      </c>
      <c r="V92" s="460"/>
      <c r="W92" s="460"/>
      <c r="X92" s="460"/>
      <c r="Y92" s="460"/>
      <c r="Z92" s="460"/>
      <c r="AA92" s="460"/>
      <c r="AB92" s="460"/>
      <c r="AC92" s="460"/>
      <c r="AD92" s="460"/>
      <c r="AE92" s="489"/>
      <c r="AF92" s="489"/>
      <c r="AG92" s="490"/>
      <c r="AH92" s="462" cm="1">
        <f t="array" ref="AH92">SUM(SUMIFS('caseload data'!V:V,'caseload data'!B:B,{"licence","community"},'caseload data'!$C:$C,'community caseload'!T92))</f>
        <v>0</v>
      </c>
      <c r="AI92" s="479"/>
      <c r="AJ92" s="480"/>
    </row>
    <row r="93" spans="2:36" x14ac:dyDescent="0.15">
      <c r="B93" s="99" t="s">
        <v>1170</v>
      </c>
      <c r="C93" s="40" t="s">
        <v>1022</v>
      </c>
      <c r="D93" s="40" t="s">
        <v>1023</v>
      </c>
      <c r="E93" s="40" t="s">
        <v>1024</v>
      </c>
      <c r="F93" s="40" t="s">
        <v>1025</v>
      </c>
      <c r="G93" s="40" t="s">
        <v>1026</v>
      </c>
      <c r="H93" s="40" t="s">
        <v>1027</v>
      </c>
      <c r="I93" s="40" t="s">
        <v>1028</v>
      </c>
      <c r="J93" s="40" t="s">
        <v>1029</v>
      </c>
      <c r="K93" s="40" t="s">
        <v>1030</v>
      </c>
      <c r="L93" s="40" t="s">
        <v>1031</v>
      </c>
      <c r="M93" s="40" t="s">
        <v>1032</v>
      </c>
      <c r="N93" s="40" t="s">
        <v>1033</v>
      </c>
      <c r="O93" s="40" t="s">
        <v>1034</v>
      </c>
      <c r="P93" s="40" t="s">
        <v>1035</v>
      </c>
      <c r="Q93" s="40" t="s">
        <v>1036</v>
      </c>
      <c r="R93" s="40" t="s">
        <v>1037</v>
      </c>
      <c r="T93" s="99" t="s">
        <v>1170</v>
      </c>
      <c r="U93" s="40" t="s">
        <v>1022</v>
      </c>
      <c r="V93" s="40" t="s">
        <v>1023</v>
      </c>
      <c r="W93" s="40" t="s">
        <v>1024</v>
      </c>
      <c r="X93" s="40" t="s">
        <v>1025</v>
      </c>
      <c r="Y93" s="40" t="s">
        <v>1026</v>
      </c>
      <c r="Z93" s="40" t="s">
        <v>1027</v>
      </c>
      <c r="AA93" s="40" t="s">
        <v>1028</v>
      </c>
      <c r="AB93" s="40" t="s">
        <v>1029</v>
      </c>
      <c r="AC93" s="40" t="s">
        <v>1030</v>
      </c>
      <c r="AD93" s="40" t="s">
        <v>1031</v>
      </c>
      <c r="AE93" s="40" t="s">
        <v>1032</v>
      </c>
      <c r="AF93" s="40" t="s">
        <v>1033</v>
      </c>
      <c r="AG93" s="40" t="s">
        <v>1034</v>
      </c>
      <c r="AH93" s="40" t="s">
        <v>1035</v>
      </c>
      <c r="AI93" s="40" t="s">
        <v>1036</v>
      </c>
      <c r="AJ93" s="40" t="s">
        <v>1037</v>
      </c>
    </row>
    <row r="94" spans="2:36" x14ac:dyDescent="0.15">
      <c r="B94" s="100" t="s">
        <v>1166</v>
      </c>
      <c r="C94" s="98" cm="1">
        <f t="array" ref="C94">SUM(SUMIFS('caseload data'!E:E,'caseload data'!$D:$D,"PO",'caseload data'!$C:$C,'community caseload'!$B$92,'caseload data'!$B:$B,{"licence","community"}))</f>
        <v>0</v>
      </c>
      <c r="D94" s="98" cm="1">
        <f t="array" ref="D94">SUM(SUMIFS('caseload data'!F:F,'caseload data'!$D:$D,"PO",'caseload data'!$C:$C,'community caseload'!$B$92,'caseload data'!$B:$B,{"licence","community"}))</f>
        <v>0</v>
      </c>
      <c r="E94" s="98" cm="1">
        <f t="array" ref="E94">SUM(SUMIFS('caseload data'!G:G,'caseload data'!$D:$D,"PO",'caseload data'!$C:$C,'community caseload'!$B$92,'caseload data'!$B:$B,{"licence","community"}))</f>
        <v>0</v>
      </c>
      <c r="F94" s="98" cm="1">
        <f t="array" ref="F94">SUM(SUMIFS('caseload data'!H:H,'caseload data'!$D:$D,"PO",'caseload data'!$C:$C,'community caseload'!$B$92,'caseload data'!$B:$B,{"licence","community"}))</f>
        <v>0</v>
      </c>
      <c r="G94" s="98" cm="1">
        <f t="array" ref="G94">SUM(SUMIFS('caseload data'!I:I,'caseload data'!$D:$D,"PO",'caseload data'!$C:$C,'community caseload'!$B$92,'caseload data'!$B:$B,{"licence","community"}))</f>
        <v>0</v>
      </c>
      <c r="H94" s="98" cm="1">
        <f t="array" ref="H94">SUM(SUMIFS('caseload data'!J:J,'caseload data'!$D:$D,"PO",'caseload data'!$C:$C,'community caseload'!$B$92,'caseload data'!$B:$B,{"licence","community"}))</f>
        <v>0</v>
      </c>
      <c r="I94" s="98" cm="1">
        <f t="array" ref="I94">SUM(SUMIFS('caseload data'!K:K,'caseload data'!$D:$D,"PO",'caseload data'!$C:$C,'community caseload'!$B$92,'caseload data'!$B:$B,{"licence","community"}))</f>
        <v>0</v>
      </c>
      <c r="J94" s="98" cm="1">
        <f t="array" ref="J94">SUM(SUMIFS('caseload data'!L:L,'caseload data'!$D:$D,"PO",'caseload data'!$C:$C,'community caseload'!$B$92,'caseload data'!$B:$B,{"licence","community"}))</f>
        <v>0</v>
      </c>
      <c r="K94" s="98" cm="1">
        <f t="array" ref="K94">SUM(SUMIFS('caseload data'!M:M,'caseload data'!$D:$D,"PO",'caseload data'!$C:$C,'community caseload'!$B$92,'caseload data'!$B:$B,{"licence","community"}))</f>
        <v>0</v>
      </c>
      <c r="L94" s="98" cm="1">
        <f t="array" ref="L94">SUM(SUMIFS('caseload data'!N:N,'caseload data'!$D:$D,"PO",'caseload data'!$C:$C,'community caseload'!$B$92,'caseload data'!$B:$B,{"licence","community"}))</f>
        <v>0</v>
      </c>
      <c r="M94" s="98" cm="1">
        <f t="array" ref="M94">SUM(SUMIFS('caseload data'!O:O,'caseload data'!$D:$D,"PO",'caseload data'!$C:$C,'community caseload'!$B$92,'caseload data'!$B:$B,{"licence","community"}))</f>
        <v>0</v>
      </c>
      <c r="N94" s="98" cm="1">
        <f t="array" ref="N94">SUM(SUMIFS('caseload data'!P:P,'caseload data'!$D:$D,"PO",'caseload data'!$C:$C,'community caseload'!$B$92,'caseload data'!$B:$B,{"licence","community"}))</f>
        <v>0</v>
      </c>
      <c r="O94" s="98" cm="1">
        <f t="array" ref="O94">SUM(SUMIFS('caseload data'!Q:Q,'caseload data'!$D:$D,"PO",'caseload data'!$C:$C,'community caseload'!$B$92,'caseload data'!$B:$B,{"licence","community"}))</f>
        <v>0</v>
      </c>
      <c r="P94" s="98" cm="1">
        <f t="array" ref="P94">SUM(SUMIFS('caseload data'!R:R,'caseload data'!$D:$D,"PO",'caseload data'!$C:$C,'community caseload'!$B$92,'caseload data'!$B:$B,{"licence","community"}))</f>
        <v>0</v>
      </c>
      <c r="Q94" s="98" cm="1">
        <f t="array" ref="Q94">SUM(SUMIFS('caseload data'!S:S,'caseload data'!$D:$D,"PO",'caseload data'!$C:$C,'community caseload'!$B$92,'caseload data'!$B:$B,{"licence","community"}))</f>
        <v>0</v>
      </c>
      <c r="R94" s="98" cm="1">
        <f t="array" ref="R94">SUM(SUMIFS('caseload data'!T:T,'caseload data'!$D:$D,"PO",'caseload data'!$C:$C,'community caseload'!$B$92,'caseload data'!$B:$B,{"licence","community"}))</f>
        <v>0</v>
      </c>
      <c r="T94" s="100" t="s">
        <v>1166</v>
      </c>
      <c r="U94" s="98" cm="1">
        <f t="array" ref="U94">SUM(SUMIFS('caseload data'!E:E,'caseload data'!$D:$D,"PO",'caseload data'!$C:$C,'community caseload'!$T$92,'caseload data'!$B:$B,{"licence","community"}))</f>
        <v>0</v>
      </c>
      <c r="V94" s="98" cm="1">
        <f t="array" ref="V94">SUM(SUMIFS('caseload data'!F:F,'caseload data'!$D:$D,"PO",'caseload data'!$C:$C,'community caseload'!$T$92,'caseload data'!$B:$B,{"licence","community"}))</f>
        <v>0</v>
      </c>
      <c r="W94" s="98" cm="1">
        <f t="array" ref="W94">SUM(SUMIFS('caseload data'!G:G,'caseload data'!$D:$D,"PO",'caseload data'!$C:$C,'community caseload'!$T$92,'caseload data'!$B:$B,{"licence","community"}))</f>
        <v>0</v>
      </c>
      <c r="X94" s="98" cm="1">
        <f t="array" ref="X94">SUM(SUMIFS('caseload data'!H:H,'caseload data'!$D:$D,"PO",'caseload data'!$C:$C,'community caseload'!$T$92,'caseload data'!$B:$B,{"licence","community"}))</f>
        <v>0</v>
      </c>
      <c r="Y94" s="98" cm="1">
        <f t="array" ref="Y94">SUM(SUMIFS('caseload data'!I:I,'caseload data'!$D:$D,"PO",'caseload data'!$C:$C,'community caseload'!$T$92,'caseload data'!$B:$B,{"licence","community"}))</f>
        <v>0</v>
      </c>
      <c r="Z94" s="98" cm="1">
        <f t="array" ref="Z94">SUM(SUMIFS('caseload data'!J:J,'caseload data'!$D:$D,"PO",'caseload data'!$C:$C,'community caseload'!$T$92,'caseload data'!$B:$B,{"licence","community"}))</f>
        <v>0</v>
      </c>
      <c r="AA94" s="98" cm="1">
        <f t="array" ref="AA94">SUM(SUMIFS('caseload data'!K:K,'caseload data'!$D:$D,"PO",'caseload data'!$C:$C,'community caseload'!$T$92,'caseload data'!$B:$B,{"licence","community"}))</f>
        <v>0</v>
      </c>
      <c r="AB94" s="98" cm="1">
        <f t="array" ref="AB94">SUM(SUMIFS('caseload data'!L:L,'caseload data'!$D:$D,"PO",'caseload data'!$C:$C,'community caseload'!$T$92,'caseload data'!$B:$B,{"licence","community"}))</f>
        <v>0</v>
      </c>
      <c r="AC94" s="98" cm="1">
        <f t="array" ref="AC94">SUM(SUMIFS('caseload data'!M:M,'caseload data'!$D:$D,"PO",'caseload data'!$C:$C,'community caseload'!$T$92,'caseload data'!$B:$B,{"licence","community"}))</f>
        <v>0</v>
      </c>
      <c r="AD94" s="98" cm="1">
        <f t="array" ref="AD94">SUM(SUMIFS('caseload data'!N:N,'caseload data'!$D:$D,"PO",'caseload data'!$C:$C,'community caseload'!$T$92,'caseload data'!$B:$B,{"licence","community"}))</f>
        <v>0</v>
      </c>
      <c r="AE94" s="98" cm="1">
        <f t="array" ref="AE94">SUM(SUMIFS('caseload data'!O:O,'caseload data'!$D:$D,"PO",'caseload data'!$C:$C,'community caseload'!$T$92,'caseload data'!$B:$B,{"licence","community"}))</f>
        <v>0</v>
      </c>
      <c r="AF94" s="98" cm="1">
        <f t="array" ref="AF94">SUM(SUMIFS('caseload data'!P:P,'caseload data'!$D:$D,"PO",'caseload data'!$C:$C,'community caseload'!$T$92,'caseload data'!$B:$B,{"licence","community"}))</f>
        <v>0</v>
      </c>
      <c r="AG94" s="98" cm="1">
        <f t="array" ref="AG94">SUM(SUMIFS('caseload data'!Q:Q,'caseload data'!$D:$D,"PO",'caseload data'!$C:$C,'community caseload'!$T$92,'caseload data'!$B:$B,{"licence","community"}))</f>
        <v>0</v>
      </c>
      <c r="AH94" s="98" cm="1">
        <f t="array" ref="AH94">SUM(SUMIFS('caseload data'!R:R,'caseload data'!$D:$D,"PO",'caseload data'!$C:$C,'community caseload'!$T$92,'caseload data'!$B:$B,{"licence","community"}))</f>
        <v>0</v>
      </c>
      <c r="AI94" s="98" cm="1">
        <f t="array" ref="AI94">SUM(SUMIFS('caseload data'!S:S,'caseload data'!$D:$D,"PO",'caseload data'!$C:$C,'community caseload'!$T$92,'caseload data'!$B:$B,{"licence","community"}))</f>
        <v>0</v>
      </c>
      <c r="AJ94" s="98" cm="1">
        <f t="array" ref="AJ94">SUM(SUMIFS('caseload data'!T:T,'caseload data'!$D:$D,"PO",'caseload data'!$C:$C,'community caseload'!$T$92,'caseload data'!$B:$B,{"licence","community"}))</f>
        <v>0</v>
      </c>
    </row>
    <row r="95" spans="2:36" x14ac:dyDescent="0.15">
      <c r="B95" s="101" t="s">
        <v>1172</v>
      </c>
      <c r="C95" s="98" cm="1">
        <f t="array" ref="C95">SUM(SUMIFS('caseload data'!E:E,'caseload data'!$D:$D,"PSO",'caseload data'!$C:$C,'community caseload'!$B$92,'caseload data'!$B:$B,{"licence","community"}))</f>
        <v>0</v>
      </c>
      <c r="D95" s="98" cm="1">
        <f t="array" ref="D95">SUM(SUMIFS('caseload data'!F:F,'caseload data'!$D:$D,"PSO",'caseload data'!$C:$C,'community caseload'!$B$92,'caseload data'!$B:$B,{"licence","community"}))</f>
        <v>0</v>
      </c>
      <c r="E95" s="98" cm="1">
        <f t="array" ref="E95">SUM(SUMIFS('caseload data'!G:G,'caseload data'!$D:$D,"PSO",'caseload data'!$C:$C,'community caseload'!$B$92,'caseload data'!$B:$B,{"licence","community"}))</f>
        <v>0</v>
      </c>
      <c r="F95" s="98" cm="1">
        <f t="array" ref="F95">SUM(SUMIFS('caseload data'!H:H,'caseload data'!$D:$D,"PSO",'caseload data'!$C:$C,'community caseload'!$B$92,'caseload data'!$B:$B,{"licence","community"}))</f>
        <v>0</v>
      </c>
      <c r="G95" s="98" cm="1">
        <f t="array" ref="G95">SUM(SUMIFS('caseload data'!I:I,'caseload data'!$D:$D,"PSO",'caseload data'!$C:$C,'community caseload'!$B$92,'caseload data'!$B:$B,{"licence","community"}))</f>
        <v>0</v>
      </c>
      <c r="H95" s="98" cm="1">
        <f t="array" ref="H95">SUM(SUMIFS('caseload data'!J:J,'caseload data'!$D:$D,"PSO",'caseload data'!$C:$C,'community caseload'!$B$92,'caseload data'!$B:$B,{"licence","community"}))</f>
        <v>0</v>
      </c>
      <c r="I95" s="98" cm="1">
        <f t="array" ref="I95">SUM(SUMIFS('caseload data'!K:K,'caseload data'!$D:$D,"PSO",'caseload data'!$C:$C,'community caseload'!$B$92,'caseload data'!$B:$B,{"licence","community"}))</f>
        <v>0</v>
      </c>
      <c r="J95" s="98" cm="1">
        <f t="array" ref="J95">SUM(SUMIFS('caseload data'!L:L,'caseload data'!$D:$D,"PSO",'caseload data'!$C:$C,'community caseload'!$B$92,'caseload data'!$B:$B,{"licence","community"}))</f>
        <v>0</v>
      </c>
      <c r="K95" s="98" cm="1">
        <f t="array" ref="K95">SUM(SUMIFS('caseload data'!M:M,'caseload data'!$D:$D,"PSO",'caseload data'!$C:$C,'community caseload'!$B$92,'caseload data'!$B:$B,{"licence","community"}))</f>
        <v>0</v>
      </c>
      <c r="L95" s="98" cm="1">
        <f t="array" ref="L95">SUM(SUMIFS('caseload data'!N:N,'caseload data'!$D:$D,"PSO",'caseload data'!$C:$C,'community caseload'!$B$92,'caseload data'!$B:$B,{"licence","community"}))</f>
        <v>0</v>
      </c>
      <c r="M95" s="98" cm="1">
        <f t="array" ref="M95">SUM(SUMIFS('caseload data'!O:O,'caseload data'!$D:$D,"PSO",'caseload data'!$C:$C,'community caseload'!$B$92,'caseload data'!$B:$B,{"licence","community"}))</f>
        <v>0</v>
      </c>
      <c r="N95" s="98" cm="1">
        <f t="array" ref="N95">SUM(SUMIFS('caseload data'!P:P,'caseload data'!$D:$D,"PSO",'caseload data'!$C:$C,'community caseload'!$B$92,'caseload data'!$B:$B,{"licence","community"}))</f>
        <v>0</v>
      </c>
      <c r="O95" s="98" cm="1">
        <f t="array" ref="O95">SUM(SUMIFS('caseload data'!Q:Q,'caseload data'!$D:$D,"PSO",'caseload data'!$C:$C,'community caseload'!$B$92,'caseload data'!$B:$B,{"licence","community"}))</f>
        <v>0</v>
      </c>
      <c r="P95" s="98" cm="1">
        <f t="array" ref="P95">SUM(SUMIFS('caseload data'!R:R,'caseload data'!$D:$D,"PSO",'caseload data'!$C:$C,'community caseload'!$B$92,'caseload data'!$B:$B,{"licence","community"}))</f>
        <v>0</v>
      </c>
      <c r="Q95" s="98" cm="1">
        <f t="array" ref="Q95">SUM(SUMIFS('caseload data'!S:S,'caseload data'!$D:$D,"PSO",'caseload data'!$C:$C,'community caseload'!$B$92,'caseload data'!$B:$B,{"licence","community"}))</f>
        <v>0</v>
      </c>
      <c r="R95" s="98" cm="1">
        <f t="array" ref="R95">SUM(SUMIFS('caseload data'!T:T,'caseload data'!$D:$D,"PSO",'caseload data'!$C:$C,'community caseload'!$B$92,'caseload data'!$B:$B,{"licence","community"}))</f>
        <v>0</v>
      </c>
      <c r="T95" s="101" t="s">
        <v>1172</v>
      </c>
      <c r="U95" s="98" cm="1">
        <f t="array" ref="U95">SUM(SUMIFS('caseload data'!E:E,'caseload data'!$D:$D,"PSO",'caseload data'!$C:$C,'community caseload'!$T$92,'caseload data'!$B:$B,{"licence","community"}))</f>
        <v>0</v>
      </c>
      <c r="V95" s="98" cm="1">
        <f t="array" ref="V95">SUM(SUMIFS('caseload data'!F:F,'caseload data'!$D:$D,"PSO",'caseload data'!$C:$C,'community caseload'!$T$92,'caseload data'!$B:$B,{"licence","community"}))</f>
        <v>0</v>
      </c>
      <c r="W95" s="98" cm="1">
        <f t="array" ref="W95">SUM(SUMIFS('caseload data'!G:G,'caseload data'!$D:$D,"PSO",'caseload data'!$C:$C,'community caseload'!$T$92,'caseload data'!$B:$B,{"licence","community"}))</f>
        <v>0</v>
      </c>
      <c r="X95" s="98" cm="1">
        <f t="array" ref="X95">SUM(SUMIFS('caseload data'!H:H,'caseload data'!$D:$D,"PSO",'caseload data'!$C:$C,'community caseload'!$T$92,'caseload data'!$B:$B,{"licence","community"}))</f>
        <v>0</v>
      </c>
      <c r="Y95" s="98" cm="1">
        <f t="array" ref="Y95">SUM(SUMIFS('caseload data'!I:I,'caseload data'!$D:$D,"PSO",'caseload data'!$C:$C,'community caseload'!$T$92,'caseload data'!$B:$B,{"licence","community"}))</f>
        <v>0</v>
      </c>
      <c r="Z95" s="98" cm="1">
        <f t="array" ref="Z95">SUM(SUMIFS('caseload data'!J:J,'caseload data'!$D:$D,"PSO",'caseload data'!$C:$C,'community caseload'!$T$92,'caseload data'!$B:$B,{"licence","community"}))</f>
        <v>0</v>
      </c>
      <c r="AA95" s="98" cm="1">
        <f t="array" ref="AA95">SUM(SUMIFS('caseload data'!K:K,'caseload data'!$D:$D,"PSO",'caseload data'!$C:$C,'community caseload'!$T$92,'caseload data'!$B:$B,{"licence","community"}))</f>
        <v>0</v>
      </c>
      <c r="AB95" s="98" cm="1">
        <f t="array" ref="AB95">SUM(SUMIFS('caseload data'!L:L,'caseload data'!$D:$D,"PSO",'caseload data'!$C:$C,'community caseload'!$T$92,'caseload data'!$B:$B,{"licence","community"}))</f>
        <v>0</v>
      </c>
      <c r="AC95" s="98" cm="1">
        <f t="array" ref="AC95">SUM(SUMIFS('caseload data'!M:M,'caseload data'!$D:$D,"PSO",'caseload data'!$C:$C,'community caseload'!$T$92,'caseload data'!$B:$B,{"licence","community"}))</f>
        <v>0</v>
      </c>
      <c r="AD95" s="98" cm="1">
        <f t="array" ref="AD95">SUM(SUMIFS('caseload data'!N:N,'caseload data'!$D:$D,"PSO",'caseload data'!$C:$C,'community caseload'!$T$92,'caseload data'!$B:$B,{"licence","community"}))</f>
        <v>0</v>
      </c>
      <c r="AE95" s="98" cm="1">
        <f t="array" ref="AE95">SUM(SUMIFS('caseload data'!O:O,'caseload data'!$D:$D,"PSO",'caseload data'!$C:$C,'community caseload'!$T$92,'caseload data'!$B:$B,{"licence","community"}))</f>
        <v>0</v>
      </c>
      <c r="AF95" s="98" cm="1">
        <f t="array" ref="AF95">SUM(SUMIFS('caseload data'!P:P,'caseload data'!$D:$D,"PSO",'caseload data'!$C:$C,'community caseload'!$T$92,'caseload data'!$B:$B,{"licence","community"}))</f>
        <v>0</v>
      </c>
      <c r="AG95" s="98" cm="1">
        <f t="array" ref="AG95">SUM(SUMIFS('caseload data'!Q:Q,'caseload data'!$D:$D,"PSO",'caseload data'!$C:$C,'community caseload'!$T$92,'caseload data'!$B:$B,{"licence","community"}))</f>
        <v>0</v>
      </c>
      <c r="AH95" s="98" cm="1">
        <f t="array" ref="AH95">SUM(SUMIFS('caseload data'!R:R,'caseload data'!$D:$D,"PSO",'caseload data'!$C:$C,'community caseload'!$T$92,'caseload data'!$B:$B,{"licence","community"}))</f>
        <v>0</v>
      </c>
      <c r="AI95" s="98" cm="1">
        <f t="array" ref="AI95">SUM(SUMIFS('caseload data'!S:S,'caseload data'!$D:$D,"PSO",'caseload data'!$C:$C,'community caseload'!$T$92,'caseload data'!$B:$B,{"licence","community"}))</f>
        <v>0</v>
      </c>
      <c r="AJ95" s="98" cm="1">
        <f t="array" ref="AJ95">SUM(SUMIFS('caseload data'!T:T,'caseload data'!$D:$D,"PSO",'caseload data'!$C:$C,'community caseload'!$T$92,'caseload data'!$B:$B,{"licence","community"}))</f>
        <v>0</v>
      </c>
    </row>
    <row r="96" spans="2:36" x14ac:dyDescent="0.15">
      <c r="B96" s="101" t="s">
        <v>1173</v>
      </c>
      <c r="C96" s="98" cm="1">
        <f t="array" ref="C96">SUM(SUMIFS('caseload data'!E:E,'caseload data'!$D:$D,"TPO",'caseload data'!$C:$C,'community caseload'!$B$92,'caseload data'!$B:$B,{"licence","community"}))</f>
        <v>0</v>
      </c>
      <c r="D96" s="98" cm="1">
        <f t="array" ref="D96">SUM(SUMIFS('caseload data'!F:F,'caseload data'!$D:$D,"TPO",'caseload data'!$C:$C,'community caseload'!$B$92,'caseload data'!$B:$B,{"licence","community"}))</f>
        <v>0</v>
      </c>
      <c r="E96" s="98" cm="1">
        <f t="array" ref="E96">SUM(SUMIFS('caseload data'!G:G,'caseload data'!$D:$D,"TPO",'caseload data'!$C:$C,'community caseload'!$B$92,'caseload data'!$B:$B,{"licence","community"}))</f>
        <v>0</v>
      </c>
      <c r="F96" s="98" cm="1">
        <f t="array" ref="F96">SUM(SUMIFS('caseload data'!H:H,'caseload data'!$D:$D,"TPO",'caseload data'!$C:$C,'community caseload'!$B$92,'caseload data'!$B:$B,{"licence","community"}))</f>
        <v>0</v>
      </c>
      <c r="G96" s="98" cm="1">
        <f t="array" ref="G96">SUM(SUMIFS('caseload data'!I:I,'caseload data'!$D:$D,"TPO",'caseload data'!$C:$C,'community caseload'!$B$92,'caseload data'!$B:$B,{"licence","community"}))</f>
        <v>0</v>
      </c>
      <c r="H96" s="98" cm="1">
        <f t="array" ref="H96">SUM(SUMIFS('caseload data'!J:J,'caseload data'!$D:$D,"TPO",'caseload data'!$C:$C,'community caseload'!$B$92,'caseload data'!$B:$B,{"licence","community"}))</f>
        <v>0</v>
      </c>
      <c r="I96" s="98" cm="1">
        <f t="array" ref="I96">SUM(SUMIFS('caseload data'!K:K,'caseload data'!$D:$D,"TPO",'caseload data'!$C:$C,'community caseload'!$B$92,'caseload data'!$B:$B,{"licence","community"}))</f>
        <v>0</v>
      </c>
      <c r="J96" s="98" cm="1">
        <f t="array" ref="J96">SUM(SUMIFS('caseload data'!L:L,'caseload data'!$D:$D,"TPO",'caseload data'!$C:$C,'community caseload'!$B$92,'caseload data'!$B:$B,{"licence","community"}))</f>
        <v>0</v>
      </c>
      <c r="K96" s="98" cm="1">
        <f t="array" ref="K96">SUM(SUMIFS('caseload data'!M:M,'caseload data'!$D:$D,"TPO",'caseload data'!$C:$C,'community caseload'!$B$92,'caseload data'!$B:$B,{"licence","community"}))</f>
        <v>0</v>
      </c>
      <c r="L96" s="98" cm="1">
        <f t="array" ref="L96">SUM(SUMIFS('caseload data'!N:N,'caseload data'!$D:$D,"TPO",'caseload data'!$C:$C,'community caseload'!$B$92,'caseload data'!$B:$B,{"licence","community"}))</f>
        <v>0</v>
      </c>
      <c r="M96" s="98" cm="1">
        <f t="array" ref="M96">SUM(SUMIFS('caseload data'!O:O,'caseload data'!$D:$D,"TPO",'caseload data'!$C:$C,'community caseload'!$B$92,'caseload data'!$B:$B,{"licence","community"}))</f>
        <v>0</v>
      </c>
      <c r="N96" s="98" cm="1">
        <f t="array" ref="N96">SUM(SUMIFS('caseload data'!P:P,'caseload data'!$D:$D,"TPO",'caseload data'!$C:$C,'community caseload'!$B$92,'caseload data'!$B:$B,{"licence","community"}))</f>
        <v>0</v>
      </c>
      <c r="O96" s="98" cm="1">
        <f t="array" ref="O96">SUM(SUMIFS('caseload data'!Q:Q,'caseload data'!$D:$D,"TPO",'caseload data'!$C:$C,'community caseload'!$B$92,'caseload data'!$B:$B,{"licence","community"}))</f>
        <v>0</v>
      </c>
      <c r="P96" s="98" cm="1">
        <f t="array" ref="P96">SUM(SUMIFS('caseload data'!R:R,'caseload data'!$D:$D,"TPO",'caseload data'!$C:$C,'community caseload'!$B$92,'caseload data'!$B:$B,{"licence","community"}))</f>
        <v>0</v>
      </c>
      <c r="Q96" s="98" cm="1">
        <f t="array" ref="Q96">SUM(SUMIFS('caseload data'!S:S,'caseload data'!$D:$D,"TPO",'caseload data'!$C:$C,'community caseload'!$B$92,'caseload data'!$B:$B,{"licence","community"}))</f>
        <v>0</v>
      </c>
      <c r="R96" s="98" cm="1">
        <f t="array" ref="R96">SUM(SUMIFS('caseload data'!T:T,'caseload data'!$D:$D,"TPO",'caseload data'!$C:$C,'community caseload'!$B$92,'caseload data'!$B:$B,{"licence","community"}))</f>
        <v>0</v>
      </c>
      <c r="T96" s="101" t="s">
        <v>1173</v>
      </c>
      <c r="U96" s="98" cm="1">
        <f t="array" ref="U96">SUM(SUMIFS('caseload data'!E:E,'caseload data'!$D:$D,"TPO",'caseload data'!$C:$C,'community caseload'!$T$92,'caseload data'!$B:$B,{"licence","community"}))</f>
        <v>0</v>
      </c>
      <c r="V96" s="98" cm="1">
        <f t="array" ref="V96">SUM(SUMIFS('caseload data'!F:F,'caseload data'!$D:$D,"TPO",'caseload data'!$C:$C,'community caseload'!$T$92,'caseload data'!$B:$B,{"licence","community"}))</f>
        <v>0</v>
      </c>
      <c r="W96" s="98" cm="1">
        <f t="array" ref="W96">SUM(SUMIFS('caseload data'!G:G,'caseload data'!$D:$D,"TPO",'caseload data'!$C:$C,'community caseload'!$T$92,'caseload data'!$B:$B,{"licence","community"}))</f>
        <v>0</v>
      </c>
      <c r="X96" s="98" cm="1">
        <f t="array" ref="X96">SUM(SUMIFS('caseload data'!H:H,'caseload data'!$D:$D,"TPO",'caseload data'!$C:$C,'community caseload'!$T$92,'caseload data'!$B:$B,{"licence","community"}))</f>
        <v>0</v>
      </c>
      <c r="Y96" s="98" cm="1">
        <f t="array" ref="Y96">SUM(SUMIFS('caseload data'!I:I,'caseload data'!$D:$D,"TPO",'caseload data'!$C:$C,'community caseload'!$T$92,'caseload data'!$B:$B,{"licence","community"}))</f>
        <v>0</v>
      </c>
      <c r="Z96" s="98" cm="1">
        <f t="array" ref="Z96">SUM(SUMIFS('caseload data'!J:J,'caseload data'!$D:$D,"TPO",'caseload data'!$C:$C,'community caseload'!$T$92,'caseload data'!$B:$B,{"licence","community"}))</f>
        <v>0</v>
      </c>
      <c r="AA96" s="98" cm="1">
        <f t="array" ref="AA96">SUM(SUMIFS('caseload data'!K:K,'caseload data'!$D:$D,"TPO",'caseload data'!$C:$C,'community caseload'!$T$92,'caseload data'!$B:$B,{"licence","community"}))</f>
        <v>0</v>
      </c>
      <c r="AB96" s="98" cm="1">
        <f t="array" ref="AB96">SUM(SUMIFS('caseload data'!L:L,'caseload data'!$D:$D,"TPO",'caseload data'!$C:$C,'community caseload'!$T$92,'caseload data'!$B:$B,{"licence","community"}))</f>
        <v>0</v>
      </c>
      <c r="AC96" s="98" cm="1">
        <f t="array" ref="AC96">SUM(SUMIFS('caseload data'!M:M,'caseload data'!$D:$D,"TPO",'caseload data'!$C:$C,'community caseload'!$T$92,'caseload data'!$B:$B,{"licence","community"}))</f>
        <v>0</v>
      </c>
      <c r="AD96" s="98" cm="1">
        <f t="array" ref="AD96">SUM(SUMIFS('caseload data'!N:N,'caseload data'!$D:$D,"TPO",'caseload data'!$C:$C,'community caseload'!$T$92,'caseload data'!$B:$B,{"licence","community"}))</f>
        <v>0</v>
      </c>
      <c r="AE96" s="98" cm="1">
        <f t="array" ref="AE96">SUM(SUMIFS('caseload data'!O:O,'caseload data'!$D:$D,"TPO",'caseload data'!$C:$C,'community caseload'!$T$92,'caseload data'!$B:$B,{"licence","community"}))</f>
        <v>0</v>
      </c>
      <c r="AF96" s="98" cm="1">
        <f t="array" ref="AF96">SUM(SUMIFS('caseload data'!P:P,'caseload data'!$D:$D,"TPO",'caseload data'!$C:$C,'community caseload'!$T$92,'caseload data'!$B:$B,{"licence","community"}))</f>
        <v>0</v>
      </c>
      <c r="AG96" s="98" cm="1">
        <f t="array" ref="AG96">SUM(SUMIFS('caseload data'!Q:Q,'caseload data'!$D:$D,"TPO",'caseload data'!$C:$C,'community caseload'!$T$92,'caseload data'!$B:$B,{"licence","community"}))</f>
        <v>0</v>
      </c>
      <c r="AH96" s="98" cm="1">
        <f t="array" ref="AH96">SUM(SUMIFS('caseload data'!R:R,'caseload data'!$D:$D,"TPO",'caseload data'!$C:$C,'community caseload'!$T$92,'caseload data'!$B:$B,{"licence","community"}))</f>
        <v>0</v>
      </c>
      <c r="AI96" s="98" cm="1">
        <f t="array" ref="AI96">SUM(SUMIFS('caseload data'!S:S,'caseload data'!$D:$D,"TPO",'caseload data'!$C:$C,'community caseload'!$T$92,'caseload data'!$B:$B,{"licence","community"}))</f>
        <v>0</v>
      </c>
      <c r="AJ96" s="98" cm="1">
        <f t="array" ref="AJ96">SUM(SUMIFS('caseload data'!T:T,'caseload data'!$D:$D,"TPO",'caseload data'!$C:$C,'community caseload'!$T$92,'caseload data'!$B:$B,{"licence","community"}))</f>
        <v>0</v>
      </c>
    </row>
    <row r="97" spans="2:36" x14ac:dyDescent="0.15">
      <c r="B97" s="102" t="s">
        <v>1174</v>
      </c>
      <c r="C97" s="98" cm="1">
        <f t="array" ref="C97">SUM(SUMIFS('caseload data'!E:E,'caseload data'!$D:$D,"SPO",'caseload data'!$C:$C,'community caseload'!$B$92,'caseload data'!$B:$B,{"licence","community"}))</f>
        <v>0</v>
      </c>
      <c r="D97" s="98" cm="1">
        <f t="array" ref="D97">SUM(SUMIFS('caseload data'!F:F,'caseload data'!$D:$D,"SPO",'caseload data'!$C:$C,'community caseload'!$B$92,'caseload data'!$B:$B,{"licence","community"}))</f>
        <v>0</v>
      </c>
      <c r="E97" s="98" cm="1">
        <f t="array" ref="E97">SUM(SUMIFS('caseload data'!G:G,'caseload data'!$D:$D,"SPO",'caseload data'!$C:$C,'community caseload'!$B$92,'caseload data'!$B:$B,{"licence","community"}))</f>
        <v>0</v>
      </c>
      <c r="F97" s="98" cm="1">
        <f t="array" ref="F97">SUM(SUMIFS('caseload data'!H:H,'caseload data'!$D:$D,"SPO",'caseload data'!$C:$C,'community caseload'!$B$92,'caseload data'!$B:$B,{"licence","community"}))</f>
        <v>0</v>
      </c>
      <c r="G97" s="98" cm="1">
        <f t="array" ref="G97">SUM(SUMIFS('caseload data'!I:I,'caseload data'!$D:$D,"SPO",'caseload data'!$C:$C,'community caseload'!$B$92,'caseload data'!$B:$B,{"licence","community"}))</f>
        <v>0</v>
      </c>
      <c r="H97" s="98" cm="1">
        <f t="array" ref="H97">SUM(SUMIFS('caseload data'!J:J,'caseload data'!$D:$D,"SPO",'caseload data'!$C:$C,'community caseload'!$B$92,'caseload data'!$B:$B,{"licence","community"}))</f>
        <v>0</v>
      </c>
      <c r="I97" s="98" cm="1">
        <f t="array" ref="I97">SUM(SUMIFS('caseload data'!K:K,'caseload data'!$D:$D,"SPO",'caseload data'!$C:$C,'community caseload'!$B$92,'caseload data'!$B:$B,{"licence","community"}))</f>
        <v>0</v>
      </c>
      <c r="J97" s="98" cm="1">
        <f t="array" ref="J97">SUM(SUMIFS('caseload data'!L:L,'caseload data'!$D:$D,"SPO",'caseload data'!$C:$C,'community caseload'!$B$92,'caseload data'!$B:$B,{"licence","community"}))</f>
        <v>0</v>
      </c>
      <c r="K97" s="98" cm="1">
        <f t="array" ref="K97">SUM(SUMIFS('caseload data'!M:M,'caseload data'!$D:$D,"SPO",'caseload data'!$C:$C,'community caseload'!$B$92,'caseload data'!$B:$B,{"licence","community"}))</f>
        <v>0</v>
      </c>
      <c r="L97" s="98" cm="1">
        <f t="array" ref="L97">SUM(SUMIFS('caseload data'!N:N,'caseload data'!$D:$D,"SPO",'caseload data'!$C:$C,'community caseload'!$B$92,'caseload data'!$B:$B,{"licence","community"}))</f>
        <v>0</v>
      </c>
      <c r="M97" s="98" cm="1">
        <f t="array" ref="M97">SUM(SUMIFS('caseload data'!O:O,'caseload data'!$D:$D,"SPO",'caseload data'!$C:$C,'community caseload'!$B$92,'caseload data'!$B:$B,{"licence","community"}))</f>
        <v>0</v>
      </c>
      <c r="N97" s="98" cm="1">
        <f t="array" ref="N97">SUM(SUMIFS('caseload data'!P:P,'caseload data'!$D:$D,"SPO",'caseload data'!$C:$C,'community caseload'!$B$92,'caseload data'!$B:$B,{"licence","community"}))</f>
        <v>0</v>
      </c>
      <c r="O97" s="98" cm="1">
        <f t="array" ref="O97">SUM(SUMIFS('caseload data'!Q:Q,'caseload data'!$D:$D,"SPO",'caseload data'!$C:$C,'community caseload'!$B$92,'caseload data'!$B:$B,{"licence","community"}))</f>
        <v>0</v>
      </c>
      <c r="P97" s="98" cm="1">
        <f t="array" ref="P97">SUM(SUMIFS('caseload data'!R:R,'caseload data'!$D:$D,"SPO",'caseload data'!$C:$C,'community caseload'!$B$92,'caseload data'!$B:$B,{"licence","community"}))</f>
        <v>0</v>
      </c>
      <c r="Q97" s="98" cm="1">
        <f t="array" ref="Q97">SUM(SUMIFS('caseload data'!S:S,'caseload data'!$D:$D,"SPO",'caseload data'!$C:$C,'community caseload'!$B$92,'caseload data'!$B:$B,{"licence","community"}))</f>
        <v>0</v>
      </c>
      <c r="R97" s="98" cm="1">
        <f t="array" ref="R97">SUM(SUMIFS('caseload data'!T:T,'caseload data'!$D:$D,"SPO",'caseload data'!$C:$C,'community caseload'!$B$92,'caseload data'!$B:$B,{"licence","community"}))</f>
        <v>0</v>
      </c>
      <c r="T97" s="102" t="s">
        <v>1174</v>
      </c>
      <c r="U97" s="98" cm="1">
        <f t="array" ref="U97">SUM(SUMIFS('caseload data'!E:E,'caseload data'!$D:$D,"SPO",'caseload data'!$C:$C,'community caseload'!$T$92,'caseload data'!$B:$B,{"licence","community"}))</f>
        <v>0</v>
      </c>
      <c r="V97" s="98" cm="1">
        <f t="array" ref="V97">SUM(SUMIFS('caseload data'!F:F,'caseload data'!$D:$D,"SPO",'caseload data'!$C:$C,'community caseload'!$T$92,'caseload data'!$B:$B,{"licence","community"}))</f>
        <v>0</v>
      </c>
      <c r="W97" s="98" cm="1">
        <f t="array" ref="W97">SUM(SUMIFS('caseload data'!G:G,'caseload data'!$D:$D,"SPO",'caseload data'!$C:$C,'community caseload'!$T$92,'caseload data'!$B:$B,{"licence","community"}))</f>
        <v>0</v>
      </c>
      <c r="X97" s="98" cm="1">
        <f t="array" ref="X97">SUM(SUMIFS('caseload data'!H:H,'caseload data'!$D:$D,"SPO",'caseload data'!$C:$C,'community caseload'!$T$92,'caseload data'!$B:$B,{"licence","community"}))</f>
        <v>0</v>
      </c>
      <c r="Y97" s="98" cm="1">
        <f t="array" ref="Y97">SUM(SUMIFS('caseload data'!I:I,'caseload data'!$D:$D,"SPO",'caseload data'!$C:$C,'community caseload'!$T$92,'caseload data'!$B:$B,{"licence","community"}))</f>
        <v>0</v>
      </c>
      <c r="Z97" s="98" cm="1">
        <f t="array" ref="Z97">SUM(SUMIFS('caseload data'!J:J,'caseload data'!$D:$D,"SPO",'caseload data'!$C:$C,'community caseload'!$T$92,'caseload data'!$B:$B,{"licence","community"}))</f>
        <v>0</v>
      </c>
      <c r="AA97" s="98" cm="1">
        <f t="array" ref="AA97">SUM(SUMIFS('caseload data'!K:K,'caseload data'!$D:$D,"SPO",'caseload data'!$C:$C,'community caseload'!$T$92,'caseload data'!$B:$B,{"licence","community"}))</f>
        <v>0</v>
      </c>
      <c r="AB97" s="98" cm="1">
        <f t="array" ref="AB97">SUM(SUMIFS('caseload data'!L:L,'caseload data'!$D:$D,"SPO",'caseload data'!$C:$C,'community caseload'!$T$92,'caseload data'!$B:$B,{"licence","community"}))</f>
        <v>0</v>
      </c>
      <c r="AC97" s="98" cm="1">
        <f t="array" ref="AC97">SUM(SUMIFS('caseload data'!M:M,'caseload data'!$D:$D,"SPO",'caseload data'!$C:$C,'community caseload'!$T$92,'caseload data'!$B:$B,{"licence","community"}))</f>
        <v>0</v>
      </c>
      <c r="AD97" s="98" cm="1">
        <f t="array" ref="AD97">SUM(SUMIFS('caseload data'!N:N,'caseload data'!$D:$D,"SPO",'caseload data'!$C:$C,'community caseload'!$T$92,'caseload data'!$B:$B,{"licence","community"}))</f>
        <v>0</v>
      </c>
      <c r="AE97" s="98" cm="1">
        <f t="array" ref="AE97">SUM(SUMIFS('caseload data'!O:O,'caseload data'!$D:$D,"SPO",'caseload data'!$C:$C,'community caseload'!$T$92,'caseload data'!$B:$B,{"licence","community"}))</f>
        <v>0</v>
      </c>
      <c r="AF97" s="98" cm="1">
        <f t="array" ref="AF97">SUM(SUMIFS('caseload data'!P:P,'caseload data'!$D:$D,"SPO",'caseload data'!$C:$C,'community caseload'!$T$92,'caseload data'!$B:$B,{"licence","community"}))</f>
        <v>0</v>
      </c>
      <c r="AG97" s="98" cm="1">
        <f t="array" ref="AG97">SUM(SUMIFS('caseload data'!Q:Q,'caseload data'!$D:$D,"SPO",'caseload data'!$C:$C,'community caseload'!$T$92,'caseload data'!$B:$B,{"licence","community"}))</f>
        <v>0</v>
      </c>
      <c r="AH97" s="98" cm="1">
        <f t="array" ref="AH97">SUM(SUMIFS('caseload data'!R:R,'caseload data'!$D:$D,"SPO",'caseload data'!$C:$C,'community caseload'!$T$92,'caseload data'!$B:$B,{"licence","community"}))</f>
        <v>0</v>
      </c>
      <c r="AI97" s="98" cm="1">
        <f t="array" ref="AI97">SUM(SUMIFS('caseload data'!S:S,'caseload data'!$D:$D,"SPO",'caseload data'!$C:$C,'community caseload'!$T$92,'caseload data'!$B:$B,{"licence","community"}))</f>
        <v>0</v>
      </c>
      <c r="AJ97" s="98" cm="1">
        <f t="array" ref="AJ97">SUM(SUMIFS('caseload data'!T:T,'caseload data'!$D:$D,"SPO",'caseload data'!$C:$C,'community caseload'!$T$92,'caseload data'!$B:$B,{"licence","community"}))</f>
        <v>0</v>
      </c>
    </row>
    <row r="99" spans="2:36" ht="24.75" customHeight="1" x14ac:dyDescent="0.15">
      <c r="B99" s="302">
        <f>HLOOKUP($B$5,Region_Table,28,0)</f>
        <v>0</v>
      </c>
      <c r="C99" s="459" t="s">
        <v>1309</v>
      </c>
      <c r="D99" s="460"/>
      <c r="E99" s="460"/>
      <c r="F99" s="460"/>
      <c r="G99" s="460"/>
      <c r="H99" s="460"/>
      <c r="I99" s="460"/>
      <c r="J99" s="460"/>
      <c r="K99" s="460"/>
      <c r="L99" s="460"/>
      <c r="M99" s="489"/>
      <c r="N99" s="489"/>
      <c r="O99" s="490"/>
      <c r="P99" s="462" cm="1">
        <f t="array" ref="P99">SUM(SUMIFS('caseload data'!V:V,'caseload data'!B:B,{"licence","community"},'caseload data'!$C:$C,'community caseload'!B99))</f>
        <v>0</v>
      </c>
      <c r="Q99" s="479"/>
      <c r="R99" s="480"/>
    </row>
    <row r="100" spans="2:36" x14ac:dyDescent="0.15">
      <c r="B100" s="304" t="s">
        <v>1170</v>
      </c>
      <c r="C100" s="40" t="s">
        <v>1022</v>
      </c>
      <c r="D100" s="40" t="s">
        <v>1023</v>
      </c>
      <c r="E100" s="40" t="s">
        <v>1024</v>
      </c>
      <c r="F100" s="40" t="s">
        <v>1025</v>
      </c>
      <c r="G100" s="40" t="s">
        <v>1026</v>
      </c>
      <c r="H100" s="40" t="s">
        <v>1027</v>
      </c>
      <c r="I100" s="40" t="s">
        <v>1028</v>
      </c>
      <c r="J100" s="40" t="s">
        <v>1029</v>
      </c>
      <c r="K100" s="40" t="s">
        <v>1030</v>
      </c>
      <c r="L100" s="40" t="s">
        <v>1031</v>
      </c>
      <c r="M100" s="40" t="s">
        <v>1032</v>
      </c>
      <c r="N100" s="40" t="s">
        <v>1033</v>
      </c>
      <c r="O100" s="40" t="s">
        <v>1034</v>
      </c>
      <c r="P100" s="40" t="s">
        <v>1035</v>
      </c>
      <c r="Q100" s="40" t="s">
        <v>1036</v>
      </c>
      <c r="R100" s="40" t="s">
        <v>1037</v>
      </c>
    </row>
    <row r="101" spans="2:36" x14ac:dyDescent="0.15">
      <c r="B101" s="100" t="s">
        <v>1166</v>
      </c>
      <c r="C101" s="98" cm="1">
        <f t="array" ref="C101">SUM(SUMIFS('caseload data'!E:E,'caseload data'!$D:$D,"PO",'caseload data'!$C:$C,'community caseload'!$B$99,'caseload data'!$B:$B,{"licence","community"}))</f>
        <v>0</v>
      </c>
      <c r="D101" s="98" cm="1">
        <f t="array" ref="D101">SUM(SUMIFS('caseload data'!F:F,'caseload data'!$D:$D,"PO",'caseload data'!$C:$C,'community caseload'!$B$99,'caseload data'!$B:$B,{"licence","community"}))</f>
        <v>0</v>
      </c>
      <c r="E101" s="98" cm="1">
        <f t="array" ref="E101">SUM(SUMIFS('caseload data'!G:G,'caseload data'!$D:$D,"PO",'caseload data'!$C:$C,'community caseload'!$B$99,'caseload data'!$B:$B,{"licence","community"}))</f>
        <v>0</v>
      </c>
      <c r="F101" s="98" cm="1">
        <f t="array" ref="F101">SUM(SUMIFS('caseload data'!H:H,'caseload data'!$D:$D,"PO",'caseload data'!$C:$C,'community caseload'!$B$99,'caseload data'!$B:$B,{"licence","community"}))</f>
        <v>0</v>
      </c>
      <c r="G101" s="98" cm="1">
        <f t="array" ref="G101">SUM(SUMIFS('caseload data'!I:I,'caseload data'!$D:$D,"PO",'caseload data'!$C:$C,'community caseload'!$B$99,'caseload data'!$B:$B,{"licence","community"}))</f>
        <v>0</v>
      </c>
      <c r="H101" s="98" cm="1">
        <f t="array" ref="H101">SUM(SUMIFS('caseload data'!J:J,'caseload data'!$D:$D,"PO",'caseload data'!$C:$C,'community caseload'!$B$99,'caseload data'!$B:$B,{"licence","community"}))</f>
        <v>0</v>
      </c>
      <c r="I101" s="98" cm="1">
        <f t="array" ref="I101">SUM(SUMIFS('caseload data'!K:K,'caseload data'!$D:$D,"PO",'caseload data'!$C:$C,'community caseload'!$B$99,'caseload data'!$B:$B,{"licence","community"}))</f>
        <v>0</v>
      </c>
      <c r="J101" s="98" cm="1">
        <f t="array" ref="J101">SUM(SUMIFS('caseload data'!L:L,'caseload data'!$D:$D,"PO",'caseload data'!$C:$C,'community caseload'!$B$99,'caseload data'!$B:$B,{"licence","community"}))</f>
        <v>0</v>
      </c>
      <c r="K101" s="98" cm="1">
        <f t="array" ref="K101">SUM(SUMIFS('caseload data'!M:M,'caseload data'!$D:$D,"PO",'caseload data'!$C:$C,'community caseload'!$B$99,'caseload data'!$B:$B,{"licence","community"}))</f>
        <v>0</v>
      </c>
      <c r="L101" s="98" cm="1">
        <f t="array" ref="L101">SUM(SUMIFS('caseload data'!N:N,'caseload data'!$D:$D,"PO",'caseload data'!$C:$C,'community caseload'!$B$99,'caseload data'!$B:$B,{"licence","community"}))</f>
        <v>0</v>
      </c>
      <c r="M101" s="98" cm="1">
        <f t="array" ref="M101">SUM(SUMIFS('caseload data'!O:O,'caseload data'!$D:$D,"PO",'caseload data'!$C:$C,'community caseload'!$B$99,'caseload data'!$B:$B,{"licence","community"}))</f>
        <v>0</v>
      </c>
      <c r="N101" s="98" cm="1">
        <f t="array" ref="N101">SUM(SUMIFS('caseload data'!P:P,'caseload data'!$D:$D,"PO",'caseload data'!$C:$C,'community caseload'!$B$99,'caseload data'!$B:$B,{"licence","community"}))</f>
        <v>0</v>
      </c>
      <c r="O101" s="98" cm="1">
        <f t="array" ref="O101">SUM(SUMIFS('caseload data'!Q:Q,'caseload data'!$D:$D,"PO",'caseload data'!$C:$C,'community caseload'!$B$99,'caseload data'!$B:$B,{"licence","community"}))</f>
        <v>0</v>
      </c>
      <c r="P101" s="98" cm="1">
        <f t="array" ref="P101">SUM(SUMIFS('caseload data'!R:R,'caseload data'!$D:$D,"PO",'caseload data'!$C:$C,'community caseload'!$B$99,'caseload data'!$B:$B,{"licence","community"}))</f>
        <v>0</v>
      </c>
      <c r="Q101" s="98" cm="1">
        <f t="array" ref="Q101">SUM(SUMIFS('caseload data'!S:S,'caseload data'!$D:$D,"PO",'caseload data'!$C:$C,'community caseload'!$B$99,'caseload data'!$B:$B,{"licence","community"}))</f>
        <v>0</v>
      </c>
      <c r="R101" s="98" cm="1">
        <f t="array" ref="R101">SUM(SUMIFS('caseload data'!T:T,'caseload data'!$D:$D,"PO",'caseload data'!$C:$C,'community caseload'!$B$99,'caseload data'!$B:$B,{"licence","community"}))</f>
        <v>0</v>
      </c>
    </row>
    <row r="102" spans="2:36" x14ac:dyDescent="0.15">
      <c r="B102" s="101" t="s">
        <v>1172</v>
      </c>
      <c r="C102" s="98" cm="1">
        <f t="array" ref="C102">SUM(SUMIFS('caseload data'!E:E,'caseload data'!$D:$D,"PSO",'caseload data'!$C:$C,'community caseload'!$B$99,'caseload data'!$B:$B,{"licence","community"}))</f>
        <v>0</v>
      </c>
      <c r="D102" s="98" cm="1">
        <f t="array" ref="D102">SUM(SUMIFS('caseload data'!F:F,'caseload data'!$D:$D,"PSO",'caseload data'!$C:$C,'community caseload'!$B$99,'caseload data'!$B:$B,{"licence","community"}))</f>
        <v>0</v>
      </c>
      <c r="E102" s="98" cm="1">
        <f t="array" ref="E102">SUM(SUMIFS('caseload data'!G:G,'caseload data'!$D:$D,"PSO",'caseload data'!$C:$C,'community caseload'!$B$99,'caseload data'!$B:$B,{"licence","community"}))</f>
        <v>0</v>
      </c>
      <c r="F102" s="98" cm="1">
        <f t="array" ref="F102">SUM(SUMIFS('caseload data'!H:H,'caseload data'!$D:$D,"PSO",'caseload data'!$C:$C,'community caseload'!$B$99,'caseload data'!$B:$B,{"licence","community"}))</f>
        <v>0</v>
      </c>
      <c r="G102" s="98" cm="1">
        <f t="array" ref="G102">SUM(SUMIFS('caseload data'!I:I,'caseload data'!$D:$D,"PSO",'caseload data'!$C:$C,'community caseload'!$B$99,'caseload data'!$B:$B,{"licence","community"}))</f>
        <v>0</v>
      </c>
      <c r="H102" s="98" cm="1">
        <f t="array" ref="H102">SUM(SUMIFS('caseload data'!J:J,'caseload data'!$D:$D,"PSO",'caseload data'!$C:$C,'community caseload'!$B$99,'caseload data'!$B:$B,{"licence","community"}))</f>
        <v>0</v>
      </c>
      <c r="I102" s="98" cm="1">
        <f t="array" ref="I102">SUM(SUMIFS('caseload data'!K:K,'caseload data'!$D:$D,"PSO",'caseload data'!$C:$C,'community caseload'!$B$99,'caseload data'!$B:$B,{"licence","community"}))</f>
        <v>0</v>
      </c>
      <c r="J102" s="98" cm="1">
        <f t="array" ref="J102">SUM(SUMIFS('caseload data'!L:L,'caseload data'!$D:$D,"PSO",'caseload data'!$C:$C,'community caseload'!$B$99,'caseload data'!$B:$B,{"licence","community"}))</f>
        <v>0</v>
      </c>
      <c r="K102" s="98" cm="1">
        <f t="array" ref="K102">SUM(SUMIFS('caseload data'!M:M,'caseload data'!$D:$D,"PSO",'caseload data'!$C:$C,'community caseload'!$B$99,'caseload data'!$B:$B,{"licence","community"}))</f>
        <v>0</v>
      </c>
      <c r="L102" s="98" cm="1">
        <f t="array" ref="L102">SUM(SUMIFS('caseload data'!N:N,'caseload data'!$D:$D,"PSO",'caseload data'!$C:$C,'community caseload'!$B$99,'caseload data'!$B:$B,{"licence","community"}))</f>
        <v>0</v>
      </c>
      <c r="M102" s="98" cm="1">
        <f t="array" ref="M102">SUM(SUMIFS('caseload data'!O:O,'caseload data'!$D:$D,"PSO",'caseload data'!$C:$C,'community caseload'!$B$99,'caseload data'!$B:$B,{"licence","community"}))</f>
        <v>0</v>
      </c>
      <c r="N102" s="98" cm="1">
        <f t="array" ref="N102">SUM(SUMIFS('caseload data'!P:P,'caseload data'!$D:$D,"PSO",'caseload data'!$C:$C,'community caseload'!$B$99,'caseload data'!$B:$B,{"licence","community"}))</f>
        <v>0</v>
      </c>
      <c r="O102" s="98" cm="1">
        <f t="array" ref="O102">SUM(SUMIFS('caseload data'!Q:Q,'caseload data'!$D:$D,"PSO",'caseload data'!$C:$C,'community caseload'!$B$99,'caseload data'!$B:$B,{"licence","community"}))</f>
        <v>0</v>
      </c>
      <c r="P102" s="98" cm="1">
        <f t="array" ref="P102">SUM(SUMIFS('caseload data'!R:R,'caseload data'!$D:$D,"PSO",'caseload data'!$C:$C,'community caseload'!$B$99,'caseload data'!$B:$B,{"licence","community"}))</f>
        <v>0</v>
      </c>
      <c r="Q102" s="98" cm="1">
        <f t="array" ref="Q102">SUM(SUMIFS('caseload data'!S:S,'caseload data'!$D:$D,"PSO",'caseload data'!$C:$C,'community caseload'!$B$99,'caseload data'!$B:$B,{"licence","community"}))</f>
        <v>0</v>
      </c>
      <c r="R102" s="98" cm="1">
        <f t="array" ref="R102">SUM(SUMIFS('caseload data'!T:T,'caseload data'!$D:$D,"PSO",'caseload data'!$C:$C,'community caseload'!$B$99,'caseload data'!$B:$B,{"licence","community"}))</f>
        <v>0</v>
      </c>
    </row>
    <row r="103" spans="2:36" x14ac:dyDescent="0.15">
      <c r="B103" s="101" t="s">
        <v>1173</v>
      </c>
      <c r="C103" s="98" cm="1">
        <f t="array" ref="C103">SUM(SUMIFS('caseload data'!E:E,'caseload data'!$D:$D,"TPO",'caseload data'!$C:$C,'community caseload'!$B$99,'caseload data'!$B:$B,{"licence","community"}))</f>
        <v>0</v>
      </c>
      <c r="D103" s="98" cm="1">
        <f t="array" ref="D103">SUM(SUMIFS('caseload data'!F:F,'caseload data'!$D:$D,"TPO",'caseload data'!$C:$C,'community caseload'!$B$99,'caseload data'!$B:$B,{"licence","community"}))</f>
        <v>0</v>
      </c>
      <c r="E103" s="98" cm="1">
        <f t="array" ref="E103">SUM(SUMIFS('caseload data'!G:G,'caseload data'!$D:$D,"TPO",'caseload data'!$C:$C,'community caseload'!$B$99,'caseload data'!$B:$B,{"licence","community"}))</f>
        <v>0</v>
      </c>
      <c r="F103" s="98" cm="1">
        <f t="array" ref="F103">SUM(SUMIFS('caseload data'!H:H,'caseload data'!$D:$D,"TPO",'caseload data'!$C:$C,'community caseload'!$B$99,'caseload data'!$B:$B,{"licence","community"}))</f>
        <v>0</v>
      </c>
      <c r="G103" s="98" cm="1">
        <f t="array" ref="G103">SUM(SUMIFS('caseload data'!I:I,'caseload data'!$D:$D,"TPO",'caseload data'!$C:$C,'community caseload'!$B$99,'caseload data'!$B:$B,{"licence","community"}))</f>
        <v>0</v>
      </c>
      <c r="H103" s="98" cm="1">
        <f t="array" ref="H103">SUM(SUMIFS('caseload data'!J:J,'caseload data'!$D:$D,"TPO",'caseload data'!$C:$C,'community caseload'!$B$99,'caseload data'!$B:$B,{"licence","community"}))</f>
        <v>0</v>
      </c>
      <c r="I103" s="98" cm="1">
        <f t="array" ref="I103">SUM(SUMIFS('caseload data'!K:K,'caseload data'!$D:$D,"TPO",'caseload data'!$C:$C,'community caseload'!$B$99,'caseload data'!$B:$B,{"licence","community"}))</f>
        <v>0</v>
      </c>
      <c r="J103" s="98" cm="1">
        <f t="array" ref="J103">SUM(SUMIFS('caseload data'!L:L,'caseload data'!$D:$D,"TPO",'caseload data'!$C:$C,'community caseload'!$B$99,'caseload data'!$B:$B,{"licence","community"}))</f>
        <v>0</v>
      </c>
      <c r="K103" s="98" cm="1">
        <f t="array" ref="K103">SUM(SUMIFS('caseload data'!M:M,'caseload data'!$D:$D,"TPO",'caseload data'!$C:$C,'community caseload'!$B$99,'caseload data'!$B:$B,{"licence","community"}))</f>
        <v>0</v>
      </c>
      <c r="L103" s="98" cm="1">
        <f t="array" ref="L103">SUM(SUMIFS('caseload data'!N:N,'caseload data'!$D:$D,"TPO",'caseload data'!$C:$C,'community caseload'!$B$99,'caseload data'!$B:$B,{"licence","community"}))</f>
        <v>0</v>
      </c>
      <c r="M103" s="98" cm="1">
        <f t="array" ref="M103">SUM(SUMIFS('caseload data'!O:O,'caseload data'!$D:$D,"TPO",'caseload data'!$C:$C,'community caseload'!$B$99,'caseload data'!$B:$B,{"licence","community"}))</f>
        <v>0</v>
      </c>
      <c r="N103" s="98" cm="1">
        <f t="array" ref="N103">SUM(SUMIFS('caseload data'!P:P,'caseload data'!$D:$D,"TPO",'caseload data'!$C:$C,'community caseload'!$B$99,'caseload data'!$B:$B,{"licence","community"}))</f>
        <v>0</v>
      </c>
      <c r="O103" s="98" cm="1">
        <f t="array" ref="O103">SUM(SUMIFS('caseload data'!Q:Q,'caseload data'!$D:$D,"TPO",'caseload data'!$C:$C,'community caseload'!$B$99,'caseload data'!$B:$B,{"licence","community"}))</f>
        <v>0</v>
      </c>
      <c r="P103" s="98" cm="1">
        <f t="array" ref="P103">SUM(SUMIFS('caseload data'!R:R,'caseload data'!$D:$D,"TPO",'caseload data'!$C:$C,'community caseload'!$B$99,'caseload data'!$B:$B,{"licence","community"}))</f>
        <v>0</v>
      </c>
      <c r="Q103" s="98" cm="1">
        <f t="array" ref="Q103">SUM(SUMIFS('caseload data'!S:S,'caseload data'!$D:$D,"TPO",'caseload data'!$C:$C,'community caseload'!$B$99,'caseload data'!$B:$B,{"licence","community"}))</f>
        <v>0</v>
      </c>
      <c r="R103" s="98" cm="1">
        <f t="array" ref="R103">SUM(SUMIFS('caseload data'!T:T,'caseload data'!$D:$D,"TPO",'caseload data'!$C:$C,'community caseload'!$B$99,'caseload data'!$B:$B,{"licence","community"}))</f>
        <v>0</v>
      </c>
    </row>
    <row r="104" spans="2:36" x14ac:dyDescent="0.15">
      <c r="B104" s="102" t="s">
        <v>1174</v>
      </c>
      <c r="C104" s="98" cm="1">
        <f t="array" ref="C104">SUM(SUMIFS('caseload data'!E:E,'caseload data'!$D:$D,"SPO",'caseload data'!$C:$C,'community caseload'!$B$99,'caseload data'!$B:$B,{"licence","community"}))</f>
        <v>0</v>
      </c>
      <c r="D104" s="98" cm="1">
        <f t="array" ref="D104">SUM(SUMIFS('caseload data'!F:F,'caseload data'!$D:$D,"SPO",'caseload data'!$C:$C,'community caseload'!$B$99,'caseload data'!$B:$B,{"licence","community"}))</f>
        <v>0</v>
      </c>
      <c r="E104" s="98" cm="1">
        <f t="array" ref="E104">SUM(SUMIFS('caseload data'!G:G,'caseload data'!$D:$D,"SPO",'caseload data'!$C:$C,'community caseload'!$B$99,'caseload data'!$B:$B,{"licence","community"}))</f>
        <v>0</v>
      </c>
      <c r="F104" s="98" cm="1">
        <f t="array" ref="F104">SUM(SUMIFS('caseload data'!H:H,'caseload data'!$D:$D,"SPO",'caseload data'!$C:$C,'community caseload'!$B$99,'caseload data'!$B:$B,{"licence","community"}))</f>
        <v>0</v>
      </c>
      <c r="G104" s="98" cm="1">
        <f t="array" ref="G104">SUM(SUMIFS('caseload data'!I:I,'caseload data'!$D:$D,"SPO",'caseload data'!$C:$C,'community caseload'!$B$99,'caseload data'!$B:$B,{"licence","community"}))</f>
        <v>0</v>
      </c>
      <c r="H104" s="98" cm="1">
        <f t="array" ref="H104">SUM(SUMIFS('caseload data'!J:J,'caseload data'!$D:$D,"SPO",'caseload data'!$C:$C,'community caseload'!$B$99,'caseload data'!$B:$B,{"licence","community"}))</f>
        <v>0</v>
      </c>
      <c r="I104" s="98" cm="1">
        <f t="array" ref="I104">SUM(SUMIFS('caseload data'!K:K,'caseload data'!$D:$D,"SPO",'caseload data'!$C:$C,'community caseload'!$B$99,'caseload data'!$B:$B,{"licence","community"}))</f>
        <v>0</v>
      </c>
      <c r="J104" s="98" cm="1">
        <f t="array" ref="J104">SUM(SUMIFS('caseload data'!L:L,'caseload data'!$D:$D,"SPO",'caseload data'!$C:$C,'community caseload'!$B$99,'caseload data'!$B:$B,{"licence","community"}))</f>
        <v>0</v>
      </c>
      <c r="K104" s="98" cm="1">
        <f t="array" ref="K104">SUM(SUMIFS('caseload data'!M:M,'caseload data'!$D:$D,"SPO",'caseload data'!$C:$C,'community caseload'!$B$99,'caseload data'!$B:$B,{"licence","community"}))</f>
        <v>0</v>
      </c>
      <c r="L104" s="98" cm="1">
        <f t="array" ref="L104">SUM(SUMIFS('caseload data'!N:N,'caseload data'!$D:$D,"SPO",'caseload data'!$C:$C,'community caseload'!$B$99,'caseload data'!$B:$B,{"licence","community"}))</f>
        <v>0</v>
      </c>
      <c r="M104" s="98" cm="1">
        <f t="array" ref="M104">SUM(SUMIFS('caseload data'!O:O,'caseload data'!$D:$D,"SPO",'caseload data'!$C:$C,'community caseload'!$B$99,'caseload data'!$B:$B,{"licence","community"}))</f>
        <v>0</v>
      </c>
      <c r="N104" s="98" cm="1">
        <f t="array" ref="N104">SUM(SUMIFS('caseload data'!P:P,'caseload data'!$D:$D,"SPO",'caseload data'!$C:$C,'community caseload'!$B$99,'caseload data'!$B:$B,{"licence","community"}))</f>
        <v>0</v>
      </c>
      <c r="O104" s="98" cm="1">
        <f t="array" ref="O104">SUM(SUMIFS('caseload data'!Q:Q,'caseload data'!$D:$D,"SPO",'caseload data'!$C:$C,'community caseload'!$B$99,'caseload data'!$B:$B,{"licence","community"}))</f>
        <v>0</v>
      </c>
      <c r="P104" s="98" cm="1">
        <f t="array" ref="P104">SUM(SUMIFS('caseload data'!R:R,'caseload data'!$D:$D,"SPO",'caseload data'!$C:$C,'community caseload'!$B$99,'caseload data'!$B:$B,{"licence","community"}))</f>
        <v>0</v>
      </c>
      <c r="Q104" s="98" cm="1">
        <f t="array" ref="Q104">SUM(SUMIFS('caseload data'!S:S,'caseload data'!$D:$D,"SPO",'caseload data'!$C:$C,'community caseload'!$B$99,'caseload data'!$B:$B,{"licence","community"}))</f>
        <v>0</v>
      </c>
      <c r="R104" s="98" cm="1">
        <f t="array" ref="R104">SUM(SUMIFS('caseload data'!T:T,'caseload data'!$D:$D,"SPO",'caseload data'!$C:$C,'community caseload'!$B$99,'caseload data'!$B:$B,{"licence","community"}))</f>
        <v>0</v>
      </c>
    </row>
  </sheetData>
  <mergeCells count="56">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 ref="C71:O71"/>
    <mergeCell ref="P71:R71"/>
    <mergeCell ref="C64:O64"/>
    <mergeCell ref="P64:R64"/>
    <mergeCell ref="U64:AG64"/>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P36:R36"/>
    <mergeCell ref="U36:AG36"/>
    <mergeCell ref="AH36:AJ36"/>
    <mergeCell ref="A1:AJ1"/>
    <mergeCell ref="A2:AJ2"/>
    <mergeCell ref="P29:R29"/>
    <mergeCell ref="U29:AG29"/>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topLeftCell="A19" zoomScale="70" zoomScaleNormal="70" workbookViewId="0">
      <selection activeCell="I5" sqref="I5"/>
    </sheetView>
  </sheetViews>
  <sheetFormatPr baseColWidth="10" defaultColWidth="9.1640625" defaultRowHeight="14" x14ac:dyDescent="0.15"/>
  <cols>
    <col min="1" max="1" width="2.5" customWidth="1"/>
    <col min="2" max="2" width="36.1640625" customWidth="1"/>
    <col min="20" max="20" width="33" customWidth="1"/>
  </cols>
  <sheetData>
    <row r="1" spans="1:50" ht="72" customHeight="1" x14ac:dyDescent="0.15">
      <c r="A1" s="483" t="s">
        <v>1311</v>
      </c>
      <c r="B1" s="483"/>
      <c r="C1" s="483"/>
      <c r="D1" s="483"/>
      <c r="E1" s="483"/>
      <c r="F1" s="483"/>
      <c r="G1" s="483"/>
      <c r="H1" s="483"/>
      <c r="I1" s="483"/>
      <c r="J1" s="483"/>
      <c r="K1" s="483"/>
      <c r="L1" s="483"/>
      <c r="M1" s="483"/>
      <c r="N1" s="483"/>
      <c r="O1" s="483"/>
      <c r="P1" s="483"/>
      <c r="Q1" s="483"/>
      <c r="R1" s="483"/>
      <c r="S1" s="483"/>
      <c r="T1" s="483"/>
      <c r="U1" s="483"/>
      <c r="V1" s="483"/>
      <c r="W1" s="483"/>
      <c r="X1" s="483"/>
      <c r="Y1" s="483"/>
      <c r="Z1" s="483"/>
      <c r="AA1" s="483"/>
      <c r="AB1" s="483"/>
      <c r="AC1" s="483"/>
      <c r="AD1" s="483"/>
      <c r="AE1" s="483"/>
      <c r="AF1" s="483"/>
      <c r="AG1" s="483"/>
      <c r="AH1" s="483"/>
      <c r="AI1" s="483"/>
      <c r="AJ1" s="483"/>
      <c r="AK1" s="273"/>
      <c r="AL1" s="273"/>
      <c r="AM1" s="273"/>
      <c r="AN1" s="273"/>
      <c r="AO1" s="273"/>
      <c r="AP1" s="273"/>
      <c r="AQ1" s="273"/>
      <c r="AR1" s="273"/>
      <c r="AS1" s="273"/>
      <c r="AT1" s="273"/>
      <c r="AU1" s="273"/>
      <c r="AV1" s="273"/>
      <c r="AW1" s="273"/>
      <c r="AX1" s="273"/>
    </row>
    <row r="2" spans="1:50" ht="66" customHeight="1" x14ac:dyDescent="0.15">
      <c r="A2" s="492"/>
      <c r="B2" s="492"/>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E2" s="492"/>
      <c r="AF2" s="492"/>
      <c r="AG2" s="492"/>
      <c r="AH2" s="492"/>
      <c r="AI2" s="492"/>
      <c r="AJ2" s="492"/>
      <c r="AK2" s="492"/>
      <c r="AL2" s="492"/>
      <c r="AM2" s="492"/>
      <c r="AN2" s="492"/>
      <c r="AO2" s="492"/>
      <c r="AP2" s="492"/>
      <c r="AQ2" s="492"/>
      <c r="AR2" s="492"/>
      <c r="AS2" s="492"/>
      <c r="AT2" s="492"/>
      <c r="AU2" s="492"/>
      <c r="AV2" s="492"/>
      <c r="AW2" s="492"/>
      <c r="AX2" s="492"/>
    </row>
    <row r="3" spans="1:50" s="51" customFormat="1" ht="16" x14ac:dyDescent="0.15">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row>
    <row r="4" spans="1:50" x14ac:dyDescent="0.15">
      <c r="B4" s="151" t="s">
        <v>1312</v>
      </c>
    </row>
    <row r="5" spans="1:50" ht="27.75" customHeight="1" x14ac:dyDescent="0.15">
      <c r="B5" s="251" t="s">
        <v>27</v>
      </c>
      <c r="P5" s="42"/>
    </row>
    <row r="6" spans="1:50" x14ac:dyDescent="0.15">
      <c r="B6" s="49"/>
    </row>
    <row r="8" spans="1:50" ht="25.5" customHeight="1" x14ac:dyDescent="0.15">
      <c r="B8" s="302" t="str">
        <f>HLOOKUP($B$5,Region_Table,2,0)</f>
        <v>Barking and Dagenham and Havering</v>
      </c>
      <c r="C8" s="459" t="s">
        <v>1313</v>
      </c>
      <c r="D8" s="460"/>
      <c r="E8" s="460"/>
      <c r="F8" s="460"/>
      <c r="G8" s="460"/>
      <c r="H8" s="460"/>
      <c r="I8" s="460"/>
      <c r="J8" s="460"/>
      <c r="K8" s="460"/>
      <c r="L8" s="460"/>
      <c r="M8" s="489"/>
      <c r="N8" s="489"/>
      <c r="O8" s="490"/>
      <c r="P8" s="462">
        <f>SUM(SUMIFS('caseload data'!V:V,'caseload data'!B:B,{"licence","community"},'caseload data'!C:C,B8))</f>
        <v>0</v>
      </c>
      <c r="Q8" s="479"/>
      <c r="R8" s="480"/>
      <c r="S8" s="68"/>
      <c r="T8" s="302" t="str">
        <f>HLOOKUP($B$5,Region_Table,3,0)</f>
        <v>Brent - N07</v>
      </c>
      <c r="U8" s="459" t="s">
        <v>1313</v>
      </c>
      <c r="V8" s="460"/>
      <c r="W8" s="460"/>
      <c r="X8" s="460"/>
      <c r="Y8" s="460"/>
      <c r="Z8" s="460"/>
      <c r="AA8" s="460"/>
      <c r="AB8" s="460"/>
      <c r="AC8" s="460"/>
      <c r="AD8" s="460"/>
      <c r="AE8" s="489"/>
      <c r="AF8" s="489"/>
      <c r="AG8" s="490"/>
      <c r="AH8" s="462">
        <f>SUM(SUMIFS('caseload data'!V:V,'caseload data'!B:B,{"licence","community"},'caseload data'!C:C,T8))</f>
        <v>0</v>
      </c>
      <c r="AI8" s="479"/>
      <c r="AJ8" s="480"/>
    </row>
    <row r="9" spans="1:50" x14ac:dyDescent="0.15">
      <c r="B9" s="99" t="s">
        <v>1170</v>
      </c>
      <c r="C9" s="40" t="s">
        <v>1022</v>
      </c>
      <c r="D9" s="40" t="s">
        <v>1023</v>
      </c>
      <c r="E9" s="40" t="s">
        <v>1024</v>
      </c>
      <c r="F9" s="40" t="s">
        <v>1025</v>
      </c>
      <c r="G9" s="40" t="s">
        <v>1026</v>
      </c>
      <c r="H9" s="40" t="s">
        <v>1027</v>
      </c>
      <c r="I9" s="40" t="s">
        <v>1028</v>
      </c>
      <c r="J9" s="40" t="s">
        <v>1029</v>
      </c>
      <c r="K9" s="40" t="s">
        <v>1030</v>
      </c>
      <c r="L9" s="40" t="s">
        <v>1031</v>
      </c>
      <c r="M9" s="40" t="s">
        <v>1032</v>
      </c>
      <c r="N9" s="40" t="s">
        <v>1033</v>
      </c>
      <c r="O9" s="40" t="s">
        <v>1034</v>
      </c>
      <c r="P9" s="40" t="s">
        <v>1035</v>
      </c>
      <c r="Q9" s="40" t="s">
        <v>1036</v>
      </c>
      <c r="R9" s="40" t="s">
        <v>1037</v>
      </c>
      <c r="S9" s="68"/>
      <c r="T9" s="99" t="s">
        <v>1170</v>
      </c>
      <c r="U9" s="40" t="s">
        <v>1022</v>
      </c>
      <c r="V9" s="40" t="s">
        <v>1023</v>
      </c>
      <c r="W9" s="40" t="s">
        <v>1024</v>
      </c>
      <c r="X9" s="40" t="s">
        <v>1025</v>
      </c>
      <c r="Y9" s="40" t="s">
        <v>1026</v>
      </c>
      <c r="Z9" s="40" t="s">
        <v>1027</v>
      </c>
      <c r="AA9" s="40" t="s">
        <v>1028</v>
      </c>
      <c r="AB9" s="40" t="s">
        <v>1029</v>
      </c>
      <c r="AC9" s="40" t="s">
        <v>1030</v>
      </c>
      <c r="AD9" s="40" t="s">
        <v>1031</v>
      </c>
      <c r="AE9" s="40" t="s">
        <v>1032</v>
      </c>
      <c r="AF9" s="40" t="s">
        <v>1033</v>
      </c>
      <c r="AG9" s="40" t="s">
        <v>1034</v>
      </c>
      <c r="AH9" s="40" t="s">
        <v>1035</v>
      </c>
      <c r="AI9" s="40" t="s">
        <v>1036</v>
      </c>
      <c r="AJ9" s="40" t="s">
        <v>1037</v>
      </c>
    </row>
    <row r="10" spans="1:50" x14ac:dyDescent="0.15">
      <c r="B10" s="100" t="s">
        <v>1166</v>
      </c>
      <c r="C10" s="175" t="str">
        <f>IFERROR(SUM(SUMIFS('caseload data'!E:E,'caseload data'!$C:$C,'community %'!$B$8,'caseload data'!$D:$D,"PO",'caseload data'!$B:$B,{"licence","community"}))/SUM(SUMIFS('caseload data'!E:E,'caseload data'!$B:$B,{"licence","community"},'caseload data'!$C:$C,'community %'!$B$8)),"")</f>
        <v/>
      </c>
      <c r="D10" s="175" t="str">
        <f>IFERROR(SUM(SUMIFS('caseload data'!F:F,'caseload data'!$C:$C,'community %'!$B$8,'caseload data'!$D:$D,"PO",'caseload data'!$B:$B,{"licence","community"}))/SUM(SUMIFS('caseload data'!F:F,'caseload data'!$B:$B,{"licence","community"},'caseload data'!$C:$C,'community %'!$B$8)),"")</f>
        <v/>
      </c>
      <c r="E10" s="175" t="str">
        <f>IFERROR(SUM(SUMIFS('caseload data'!G:G,'caseload data'!$C:$C,'community %'!$B$8,'caseload data'!$D:$D,"PO",'caseload data'!$B:$B,{"licence","community"}))/SUM(SUMIFS('caseload data'!G:G,'caseload data'!$B:$B,{"licence","community"},'caseload data'!$C:$C,'community %'!$B$8)),"")</f>
        <v/>
      </c>
      <c r="F10" s="175" t="str">
        <f>IFERROR(SUM(SUMIFS('caseload data'!H:H,'caseload data'!$C:$C,'community %'!$B$8,'caseload data'!$D:$D,"PO",'caseload data'!$B:$B,{"licence","community"}))/SUM(SUMIFS('caseload data'!H:H,'caseload data'!$B:$B,{"licence","community"},'caseload data'!$C:$C,'community %'!$B$8)),"")</f>
        <v/>
      </c>
      <c r="G10" s="175" t="str">
        <f>IFERROR(SUM(SUMIFS('caseload data'!I:I,'caseload data'!$C:$C,'community %'!$B$8,'caseload data'!$D:$D,"PO",'caseload data'!$B:$B,{"licence","community"}))/SUM(SUMIFS('caseload data'!I:I,'caseload data'!$B:$B,{"licence","community"},'caseload data'!$C:$C,'community %'!$B$8)),"")</f>
        <v/>
      </c>
      <c r="H10" s="175" t="str">
        <f>IFERROR(SUM(SUMIFS('caseload data'!J:J,'caseload data'!$C:$C,'community %'!$B$8,'caseload data'!$D:$D,"PO",'caseload data'!$B:$B,{"licence","community"}))/SUM(SUMIFS('caseload data'!J:J,'caseload data'!$B:$B,{"licence","community"},'caseload data'!$C:$C,'community %'!$B$8)),"")</f>
        <v/>
      </c>
      <c r="I10" s="175" t="str">
        <f>IFERROR(SUM(SUMIFS('caseload data'!K:K,'caseload data'!$C:$C,'community %'!$B$8,'caseload data'!$D:$D,"PO",'caseload data'!$B:$B,{"licence","community"}))/SUM(SUMIFS('caseload data'!K:K,'caseload data'!$B:$B,{"licence","community"},'caseload data'!$C:$C,'community %'!$B$8)),"")</f>
        <v/>
      </c>
      <c r="J10" s="175" t="str">
        <f>IFERROR(SUM(SUMIFS('caseload data'!L:L,'caseload data'!$C:$C,'community %'!$B$8,'caseload data'!$D:$D,"PO",'caseload data'!$B:$B,{"licence","community"}))/SUM(SUMIFS('caseload data'!L:L,'caseload data'!$B:$B,{"licence","community"},'caseload data'!$C:$C,'community %'!$B$8)),"")</f>
        <v/>
      </c>
      <c r="K10" s="175" t="str">
        <f>IFERROR(SUM(SUMIFS('caseload data'!M:M,'caseload data'!$C:$C,'community %'!$B$8,'caseload data'!$D:$D,"PO",'caseload data'!$B:$B,{"licence","community"}))/SUM(SUMIFS('caseload data'!M:M,'caseload data'!$B:$B,{"licence","community"},'caseload data'!$C:$C,'community %'!$B$8)),"")</f>
        <v/>
      </c>
      <c r="L10" s="175" t="str">
        <f>IFERROR(SUM(SUMIFS('caseload data'!N:N,'caseload data'!$C:$C,'community %'!$B$8,'caseload data'!$D:$D,"PO",'caseload data'!$B:$B,{"licence","community"}))/SUM(SUMIFS('caseload data'!N:N,'caseload data'!$B:$B,{"licence","community"},'caseload data'!$C:$C,'community %'!$B$8)),"")</f>
        <v/>
      </c>
      <c r="M10" s="175" t="str">
        <f>IFERROR(SUM(SUMIFS('caseload data'!O:O,'caseload data'!$C:$C,'community %'!$B$8,'caseload data'!$D:$D,"PO",'caseload data'!$B:$B,{"licence","community"}))/SUM(SUMIFS('caseload data'!O:O,'caseload data'!$B:$B,{"licence","community"},'caseload data'!$C:$C,'community %'!$B$8)),"")</f>
        <v/>
      </c>
      <c r="N10" s="175" t="str">
        <f>IFERROR(SUM(SUMIFS('caseload data'!P:P,'caseload data'!$C:$C,'community %'!$B$8,'caseload data'!$D:$D,"PO",'caseload data'!$B:$B,{"licence","community"}))/SUM(SUMIFS('caseload data'!P:P,'caseload data'!$B:$B,{"licence","community"},'caseload data'!$C:$C,'community %'!$B$8)),"")</f>
        <v/>
      </c>
      <c r="O10" s="175" t="str">
        <f>IFERROR(SUM(SUMIFS('caseload data'!Q:Q,'caseload data'!$C:$C,'community %'!$B$8,'caseload data'!$D:$D,"PO",'caseload data'!$B:$B,{"licence","community"}))/SUM(SUMIFS('caseload data'!Q:Q,'caseload data'!$B:$B,{"licence","community"},'caseload data'!$C:$C,'community %'!$B$8)),"")</f>
        <v/>
      </c>
      <c r="P10" s="175" t="str">
        <f>IFERROR(SUM(SUMIFS('caseload data'!R:R,'caseload data'!$C:$C,'community %'!$B$8,'caseload data'!$D:$D,"PO",'caseload data'!$B:$B,{"licence","community"}))/SUM(SUMIFS('caseload data'!R:R,'caseload data'!$B:$B,{"licence","community"},'caseload data'!$C:$C,'community %'!$B$8)),"")</f>
        <v/>
      </c>
      <c r="Q10" s="175" t="str">
        <f>IFERROR(SUM(SUMIFS('caseload data'!S:S,'caseload data'!$C:$C,'community %'!$B$8,'caseload data'!$D:$D,"PO",'caseload data'!$B:$B,{"licence","community"}))/SUM(SUMIFS('caseload data'!S:S,'caseload data'!$B:$B,{"licence","community"},'caseload data'!$C:$C,'community %'!$B$8)),"")</f>
        <v/>
      </c>
      <c r="R10" s="175" t="str">
        <f>IFERROR(SUM(SUMIFS('caseload data'!T:T,'caseload data'!$C:$C,'community %'!$B$8,'caseload data'!$D:$D,"PO",'caseload data'!$B:$B,{"licence","community"}))/SUM(SUMIFS('caseload data'!T:T,'caseload data'!$B:$B,{"licence","community"},'caseload data'!$C:$C,'community %'!$B$8)),"")</f>
        <v/>
      </c>
      <c r="S10" s="68"/>
      <c r="T10" s="100" t="s">
        <v>1166</v>
      </c>
      <c r="U10" s="175" t="str">
        <f>IFERROR(SUM(SUMIFS('caseload data'!E:E,'caseload data'!$C:$C,'community %'!$T$8,'caseload data'!$D:$D,"PO",'caseload data'!$B:$B,{"licence","community"}))/SUM(SUMIFS('caseload data'!E:E,'caseload data'!$B:$B,{"licence","community"},'caseload data'!$C:$C,'community %'!$T$8)),"")</f>
        <v/>
      </c>
      <c r="V10" s="175" t="str">
        <f>IFERROR(SUM(SUMIFS('caseload data'!F:F,'caseload data'!$C:$C,'community %'!$T$8,'caseload data'!$D:$D,"PO",'caseload data'!$B:$B,{"licence","community"}))/SUM(SUMIFS('caseload data'!F:F,'caseload data'!$B:$B,{"licence","community"},'caseload data'!$C:$C,'community %'!$T$8)),"")</f>
        <v/>
      </c>
      <c r="W10" s="175" t="str">
        <f>IFERROR(SUM(SUMIFS('caseload data'!G:G,'caseload data'!$C:$C,'community %'!$T$8,'caseload data'!$D:$D,"PO",'caseload data'!$B:$B,{"licence","community"}))/SUM(SUMIFS('caseload data'!G:G,'caseload data'!$B:$B,{"licence","community"},'caseload data'!$C:$C,'community %'!$T$8)),"")</f>
        <v/>
      </c>
      <c r="X10" s="175" t="str">
        <f>IFERROR(SUM(SUMIFS('caseload data'!H:H,'caseload data'!$C:$C,'community %'!$T$8,'caseload data'!$D:$D,"PO",'caseload data'!$B:$B,{"licence","community"}))/SUM(SUMIFS('caseload data'!H:H,'caseload data'!$B:$B,{"licence","community"},'caseload data'!$C:$C,'community %'!$T$8)),"")</f>
        <v/>
      </c>
      <c r="Y10" s="175" t="str">
        <f>IFERROR(SUM(SUMIFS('caseload data'!I:I,'caseload data'!$C:$C,'community %'!$T$8,'caseload data'!$D:$D,"PO",'caseload data'!$B:$B,{"licence","community"}))/SUM(SUMIFS('caseload data'!I:I,'caseload data'!$B:$B,{"licence","community"},'caseload data'!$C:$C,'community %'!$T$8)),"")</f>
        <v/>
      </c>
      <c r="Z10" s="175" t="str">
        <f>IFERROR(SUM(SUMIFS('caseload data'!J:J,'caseload data'!$C:$C,'community %'!$T$8,'caseload data'!$D:$D,"PO",'caseload data'!$B:$B,{"licence","community"}))/SUM(SUMIFS('caseload data'!J:J,'caseload data'!$B:$B,{"licence","community"},'caseload data'!$C:$C,'community %'!$T$8)),"")</f>
        <v/>
      </c>
      <c r="AA10" s="175" t="str">
        <f>IFERROR(SUM(SUMIFS('caseload data'!K:K,'caseload data'!$C:$C,'community %'!$T$8,'caseload data'!$D:$D,"PO",'caseload data'!$B:$B,{"licence","community"}))/SUM(SUMIFS('caseload data'!K:K,'caseload data'!$B:$B,{"licence","community"},'caseload data'!$C:$C,'community %'!$T$8)),"")</f>
        <v/>
      </c>
      <c r="AB10" s="175" t="str">
        <f>IFERROR(SUM(SUMIFS('caseload data'!L:L,'caseload data'!$C:$C,'community %'!$T$8,'caseload data'!$D:$D,"PO",'caseload data'!$B:$B,{"licence","community"}))/SUM(SUMIFS('caseload data'!L:L,'caseload data'!$B:$B,{"licence","community"},'caseload data'!$C:$C,'community %'!$T$8)),"")</f>
        <v/>
      </c>
      <c r="AC10" s="175" t="str">
        <f>IFERROR(SUM(SUMIFS('caseload data'!M:M,'caseload data'!$C:$C,'community %'!$T$8,'caseload data'!$D:$D,"PO",'caseload data'!$B:$B,{"licence","community"}))/SUM(SUMIFS('caseload data'!M:M,'caseload data'!$B:$B,{"licence","community"},'caseload data'!$C:$C,'community %'!$T$8)),"")</f>
        <v/>
      </c>
      <c r="AD10" s="175" t="str">
        <f>IFERROR(SUM(SUMIFS('caseload data'!N:N,'caseload data'!$C:$C,'community %'!$T$8,'caseload data'!$D:$D,"PO",'caseload data'!$B:$B,{"licence","community"}))/SUM(SUMIFS('caseload data'!N:N,'caseload data'!$B:$B,{"licence","community"},'caseload data'!$C:$C,'community %'!$T$8)),"")</f>
        <v/>
      </c>
      <c r="AE10" s="175" t="str">
        <f>IFERROR(SUM(SUMIFS('caseload data'!O:O,'caseload data'!$C:$C,'community %'!$T$8,'caseload data'!$D:$D,"PO",'caseload data'!$B:$B,{"licence","community"}))/SUM(SUMIFS('caseload data'!O:O,'caseload data'!$B:$B,{"licence","community"},'caseload data'!$C:$C,'community %'!$T$8)),"")</f>
        <v/>
      </c>
      <c r="AF10" s="175" t="str">
        <f>IFERROR(SUM(SUMIFS('caseload data'!P:P,'caseload data'!$C:$C,'community %'!$T$8,'caseload data'!$D:$D,"PO",'caseload data'!$B:$B,{"licence","community"}))/SUM(SUMIFS('caseload data'!P:P,'caseload data'!$B:$B,{"licence","community"},'caseload data'!$C:$C,'community %'!$T$8)),"")</f>
        <v/>
      </c>
      <c r="AG10" s="175" t="str">
        <f>IFERROR(SUM(SUMIFS('caseload data'!Q:Q,'caseload data'!$C:$C,'community %'!$T$8,'caseload data'!$D:$D,"PO",'caseload data'!$B:$B,{"licence","community"}))/SUM(SUMIFS('caseload data'!Q:Q,'caseload data'!$B:$B,{"licence","community"},'caseload data'!$C:$C,'community %'!$T$8)),"")</f>
        <v/>
      </c>
      <c r="AH10" s="175" t="str">
        <f>IFERROR(SUM(SUMIFS('caseload data'!R:R,'caseload data'!$C:$C,'community %'!$T$8,'caseload data'!$D:$D,"PO",'caseload data'!$B:$B,{"licence","community"}))/SUM(SUMIFS('caseload data'!R:R,'caseload data'!$B:$B,{"licence","community"},'caseload data'!$C:$C,'community %'!$T$8)),"")</f>
        <v/>
      </c>
      <c r="AI10" s="175" t="str">
        <f>IFERROR(SUM(SUMIFS('caseload data'!S:S,'caseload data'!$C:$C,'community %'!$T$8,'caseload data'!$D:$D,"PO",'caseload data'!$B:$B,{"licence","community"}))/SUM(SUMIFS('caseload data'!S:S,'caseload data'!$B:$B,{"licence","community"},'caseload data'!$C:$C,'community %'!$T$8)),"")</f>
        <v/>
      </c>
      <c r="AJ10" s="175" t="str">
        <f>IFERROR(SUM(SUMIFS('caseload data'!T:T,'caseload data'!$C:$C,'community %'!$T$8,'caseload data'!$D:$D,"PO",'caseload data'!$B:$B,{"licence","community"}))/SUM(SUMIFS('caseload data'!T:T,'caseload data'!$B:$B,{"licence","community"},'caseload data'!$C:$C,'community %'!$T$8)),"")</f>
        <v/>
      </c>
    </row>
    <row r="11" spans="1:50" x14ac:dyDescent="0.15">
      <c r="B11" s="101" t="s">
        <v>1172</v>
      </c>
      <c r="C11" s="175" t="str">
        <f>IFERROR(SUM(SUMIFS('caseload data'!E:E,'caseload data'!$C:$C,'community %'!$B$8,'caseload data'!$D:$D,"PSO",'caseload data'!$B:$B,{"licence","community"}))/SUM(SUMIFS('caseload data'!E:E,'caseload data'!$B:$B,{"licence","community"},'caseload data'!$C:$C,'community %'!$B$8)),"")</f>
        <v/>
      </c>
      <c r="D11" s="175" t="str">
        <f>IFERROR(SUM(SUMIFS('caseload data'!F:F,'caseload data'!$C:$C,'community %'!$B$8,'caseload data'!$D:$D,"PSO",'caseload data'!$B:$B,{"licence","community"}))/SUM(SUMIFS('caseload data'!F:F,'caseload data'!$B:$B,{"licence","community"},'caseload data'!$C:$C,'community %'!$B$8)),"")</f>
        <v/>
      </c>
      <c r="E11" s="175" t="str">
        <f>IFERROR(SUM(SUMIFS('caseload data'!G:G,'caseload data'!$C:$C,'community %'!$B$8,'caseload data'!$D:$D,"PSO",'caseload data'!$B:$B,{"licence","community"}))/SUM(SUMIFS('caseload data'!G:G,'caseload data'!$B:$B,{"licence","community"},'caseload data'!$C:$C,'community %'!$B$8)),"")</f>
        <v/>
      </c>
      <c r="F11" s="175" t="str">
        <f>IFERROR(SUM(SUMIFS('caseload data'!H:H,'caseload data'!$C:$C,'community %'!$B$8,'caseload data'!$D:$D,"PSO",'caseload data'!$B:$B,{"licence","community"}))/SUM(SUMIFS('caseload data'!H:H,'caseload data'!$B:$B,{"licence","community"},'caseload data'!$C:$C,'community %'!$B$8)),"")</f>
        <v/>
      </c>
      <c r="G11" s="175" t="str">
        <f>IFERROR(SUM(SUMIFS('caseload data'!I:I,'caseload data'!$C:$C,'community %'!$B$8,'caseload data'!$D:$D,"PSO",'caseload data'!$B:$B,{"licence","community"}))/SUM(SUMIFS('caseload data'!I:I,'caseload data'!$B:$B,{"licence","community"},'caseload data'!$C:$C,'community %'!$B$8)),"")</f>
        <v/>
      </c>
      <c r="H11" s="175" t="str">
        <f>IFERROR(SUM(SUMIFS('caseload data'!J:J,'caseload data'!$C:$C,'community %'!$B$8,'caseload data'!$D:$D,"PSO",'caseload data'!$B:$B,{"licence","community"}))/SUM(SUMIFS('caseload data'!J:J,'caseload data'!$B:$B,{"licence","community"},'caseload data'!$C:$C,'community %'!$B$8)),"")</f>
        <v/>
      </c>
      <c r="I11" s="175" t="str">
        <f>IFERROR(SUM(SUMIFS('caseload data'!K:K,'caseload data'!$C:$C,'community %'!$B$8,'caseload data'!$D:$D,"PSO",'caseload data'!$B:$B,{"licence","community"}))/SUM(SUMIFS('caseload data'!K:K,'caseload data'!$B:$B,{"licence","community"},'caseload data'!$C:$C,'community %'!$B$8)),"")</f>
        <v/>
      </c>
      <c r="J11" s="175" t="str">
        <f>IFERROR(SUM(SUMIFS('caseload data'!L:L,'caseload data'!$C:$C,'community %'!$B$8,'caseload data'!$D:$D,"PSO",'caseload data'!$B:$B,{"licence","community"}))/SUM(SUMIFS('caseload data'!L:L,'caseload data'!$B:$B,{"licence","community"},'caseload data'!$C:$C,'community %'!$B$8)),"")</f>
        <v/>
      </c>
      <c r="K11" s="175" t="str">
        <f>IFERROR(SUM(SUMIFS('caseload data'!M:M,'caseload data'!$C:$C,'community %'!$B$8,'caseload data'!$D:$D,"PSO",'caseload data'!$B:$B,{"licence","community"}))/SUM(SUMIFS('caseload data'!M:M,'caseload data'!$B:$B,{"licence","community"},'caseload data'!$C:$C,'community %'!$B$8)),"")</f>
        <v/>
      </c>
      <c r="L11" s="175" t="str">
        <f>IFERROR(SUM(SUMIFS('caseload data'!N:N,'caseload data'!$C:$C,'community %'!$B$8,'caseload data'!$D:$D,"PSO",'caseload data'!$B:$B,{"licence","community"}))/SUM(SUMIFS('caseload data'!N:N,'caseload data'!$B:$B,{"licence","community"},'caseload data'!$C:$C,'community %'!$B$8)),"")</f>
        <v/>
      </c>
      <c r="M11" s="175" t="str">
        <f>IFERROR(SUM(SUMIFS('caseload data'!O:O,'caseload data'!$C:$C,'community %'!$B$8,'caseload data'!$D:$D,"PSO",'caseload data'!$B:$B,{"licence","community"}))/SUM(SUMIFS('caseload data'!O:O,'caseload data'!$B:$B,{"licence","community"},'caseload data'!$C:$C,'community %'!$B$8)),"")</f>
        <v/>
      </c>
      <c r="N11" s="175" t="str">
        <f>IFERROR(SUM(SUMIFS('caseload data'!P:P,'caseload data'!$C:$C,'community %'!$B$8,'caseload data'!$D:$D,"PSO",'caseload data'!$B:$B,{"licence","community"}))/SUM(SUMIFS('caseload data'!P:P,'caseload data'!$B:$B,{"licence","community"},'caseload data'!$C:$C,'community %'!$B$8)),"")</f>
        <v/>
      </c>
      <c r="O11" s="175" t="str">
        <f>IFERROR(SUM(SUMIFS('caseload data'!Q:Q,'caseload data'!$C:$C,'community %'!$B$8,'caseload data'!$D:$D,"PSO",'caseload data'!$B:$B,{"licence","community"}))/SUM(SUMIFS('caseload data'!Q:Q,'caseload data'!$B:$B,{"licence","community"},'caseload data'!$C:$C,'community %'!$B$8)),"")</f>
        <v/>
      </c>
      <c r="P11" s="175" t="str">
        <f>IFERROR(SUM(SUMIFS('caseload data'!R:R,'caseload data'!$C:$C,'community %'!$B$8,'caseload data'!$D:$D,"PSO",'caseload data'!$B:$B,{"licence","community"}))/SUM(SUMIFS('caseload data'!R:R,'caseload data'!$B:$B,{"licence","community"},'caseload data'!$C:$C,'community %'!$B$8)),"")</f>
        <v/>
      </c>
      <c r="Q11" s="175" t="str">
        <f>IFERROR(SUM(SUMIFS('caseload data'!S:S,'caseload data'!$C:$C,'community %'!$B$8,'caseload data'!$D:$D,"PSO",'caseload data'!$B:$B,{"licence","community"}))/SUM(SUMIFS('caseload data'!S:S,'caseload data'!$B:$B,{"licence","community"},'caseload data'!$C:$C,'community %'!$B$8)),"")</f>
        <v/>
      </c>
      <c r="R11" s="175" t="str">
        <f>IFERROR(SUM(SUMIFS('caseload data'!T:T,'caseload data'!$C:$C,'community %'!$B$8,'caseload data'!$D:$D,"PSO",'caseload data'!$B:$B,{"licence","community"}))/SUM(SUMIFS('caseload data'!T:T,'caseload data'!$B:$B,{"licence","community"},'caseload data'!$C:$C,'community %'!$B$8)),"")</f>
        <v/>
      </c>
      <c r="S11" s="68"/>
      <c r="T11" s="101" t="s">
        <v>1172</v>
      </c>
      <c r="U11" s="175" t="str">
        <f>IFERROR(SUM(SUMIFS('caseload data'!E:E,'caseload data'!$C:$C,'community %'!$T$8,'caseload data'!$D:$D,"PSO",'caseload data'!$B:$B,{"licence","community"}))/SUM(SUMIFS('caseload data'!E:E,'caseload data'!$B:$B,{"licence","community"},'caseload data'!$C:$C,'community %'!$T$8)),"")</f>
        <v/>
      </c>
      <c r="V11" s="175" t="str">
        <f>IFERROR(SUM(SUMIFS('caseload data'!F:F,'caseload data'!$C:$C,'community %'!$T$8,'caseload data'!$D:$D,"PSO",'caseload data'!$B:$B,{"licence","community"}))/SUM(SUMIFS('caseload data'!F:F,'caseload data'!$B:$B,{"licence","community"},'caseload data'!$C:$C,'community %'!$T$8)),"")</f>
        <v/>
      </c>
      <c r="W11" s="175" t="str">
        <f>IFERROR(SUM(SUMIFS('caseload data'!G:G,'caseload data'!$C:$C,'community %'!$T$8,'caseload data'!$D:$D,"PSO",'caseload data'!$B:$B,{"licence","community"}))/SUM(SUMIFS('caseload data'!G:G,'caseload data'!$B:$B,{"licence","community"},'caseload data'!$C:$C,'community %'!$T$8)),"")</f>
        <v/>
      </c>
      <c r="X11" s="175" t="str">
        <f>IFERROR(SUM(SUMIFS('caseload data'!H:H,'caseload data'!$C:$C,'community %'!$T$8,'caseload data'!$D:$D,"PSO",'caseload data'!$B:$B,{"licence","community"}))/SUM(SUMIFS('caseload data'!H:H,'caseload data'!$B:$B,{"licence","community"},'caseload data'!$C:$C,'community %'!$T$8)),"")</f>
        <v/>
      </c>
      <c r="Y11" s="175" t="str">
        <f>IFERROR(SUM(SUMIFS('caseload data'!I:I,'caseload data'!$C:$C,'community %'!$T$8,'caseload data'!$D:$D,"PSO",'caseload data'!$B:$B,{"licence","community"}))/SUM(SUMIFS('caseload data'!I:I,'caseload data'!$B:$B,{"licence","community"},'caseload data'!$C:$C,'community %'!$T$8)),"")</f>
        <v/>
      </c>
      <c r="Z11" s="175" t="str">
        <f>IFERROR(SUM(SUMIFS('caseload data'!J:J,'caseload data'!$C:$C,'community %'!$T$8,'caseload data'!$D:$D,"PSO",'caseload data'!$B:$B,{"licence","community"}))/SUM(SUMIFS('caseload data'!J:J,'caseload data'!$B:$B,{"licence","community"},'caseload data'!$C:$C,'community %'!$T$8)),"")</f>
        <v/>
      </c>
      <c r="AA11" s="175" t="str">
        <f>IFERROR(SUM(SUMIFS('caseload data'!K:K,'caseload data'!$C:$C,'community %'!$T$8,'caseload data'!$D:$D,"PSO",'caseload data'!$B:$B,{"licence","community"}))/SUM(SUMIFS('caseload data'!K:K,'caseload data'!$B:$B,{"licence","community"},'caseload data'!$C:$C,'community %'!$T$8)),"")</f>
        <v/>
      </c>
      <c r="AB11" s="175" t="str">
        <f>IFERROR(SUM(SUMIFS('caseload data'!L:L,'caseload data'!$C:$C,'community %'!$T$8,'caseload data'!$D:$D,"PSO",'caseload data'!$B:$B,{"licence","community"}))/SUM(SUMIFS('caseload data'!L:L,'caseload data'!$B:$B,{"licence","community"},'caseload data'!$C:$C,'community %'!$T$8)),"")</f>
        <v/>
      </c>
      <c r="AC11" s="175" t="str">
        <f>IFERROR(SUM(SUMIFS('caseload data'!M:M,'caseload data'!$C:$C,'community %'!$T$8,'caseload data'!$D:$D,"PSO",'caseload data'!$B:$B,{"licence","community"}))/SUM(SUMIFS('caseload data'!M:M,'caseload data'!$B:$B,{"licence","community"},'caseload data'!$C:$C,'community %'!$T$8)),"")</f>
        <v/>
      </c>
      <c r="AD11" s="175" t="str">
        <f>IFERROR(SUM(SUMIFS('caseload data'!N:N,'caseload data'!$C:$C,'community %'!$T$8,'caseload data'!$D:$D,"PSO",'caseload data'!$B:$B,{"licence","community"}))/SUM(SUMIFS('caseload data'!N:N,'caseload data'!$B:$B,{"licence","community"},'caseload data'!$C:$C,'community %'!$T$8)),"")</f>
        <v/>
      </c>
      <c r="AE11" s="175" t="str">
        <f>IFERROR(SUM(SUMIFS('caseload data'!O:O,'caseload data'!$C:$C,'community %'!$T$8,'caseload data'!$D:$D,"PSO",'caseload data'!$B:$B,{"licence","community"}))/SUM(SUMIFS('caseload data'!O:O,'caseload data'!$B:$B,{"licence","community"},'caseload data'!$C:$C,'community %'!$T$8)),"")</f>
        <v/>
      </c>
      <c r="AF11" s="175" t="str">
        <f>IFERROR(SUM(SUMIFS('caseload data'!P:P,'caseload data'!$C:$C,'community %'!$T$8,'caseload data'!$D:$D,"PSO",'caseload data'!$B:$B,{"licence","community"}))/SUM(SUMIFS('caseload data'!P:P,'caseload data'!$B:$B,{"licence","community"},'caseload data'!$C:$C,'community %'!$T$8)),"")</f>
        <v/>
      </c>
      <c r="AG11" s="175" t="str">
        <f>IFERROR(SUM(SUMIFS('caseload data'!Q:Q,'caseload data'!$C:$C,'community %'!$T$8,'caseload data'!$D:$D,"PSO",'caseload data'!$B:$B,{"licence","community"}))/SUM(SUMIFS('caseload data'!Q:Q,'caseload data'!$B:$B,{"licence","community"},'caseload data'!$C:$C,'community %'!$T$8)),"")</f>
        <v/>
      </c>
      <c r="AH11" s="175" t="str">
        <f>IFERROR(SUM(SUMIFS('caseload data'!R:R,'caseload data'!$C:$C,'community %'!$T$8,'caseload data'!$D:$D,"PSO",'caseload data'!$B:$B,{"licence","community"}))/SUM(SUMIFS('caseload data'!R:R,'caseload data'!$B:$B,{"licence","community"},'caseload data'!$C:$C,'community %'!$T$8)),"")</f>
        <v/>
      </c>
      <c r="AI11" s="175" t="str">
        <f>IFERROR(SUM(SUMIFS('caseload data'!S:S,'caseload data'!$C:$C,'community %'!$T$8,'caseload data'!$D:$D,"PSO",'caseload data'!$B:$B,{"licence","community"}))/SUM(SUMIFS('caseload data'!S:S,'caseload data'!$B:$B,{"licence","community"},'caseload data'!$C:$C,'community %'!$T$8)),"")</f>
        <v/>
      </c>
      <c r="AJ11" s="175" t="str">
        <f>IFERROR(SUM(SUMIFS('caseload data'!T:T,'caseload data'!$C:$C,'community %'!$T$8,'caseload data'!$D:$D,"PSO",'caseload data'!$B:$B,{"licence","community"}))/SUM(SUMIFS('caseload data'!T:T,'caseload data'!$B:$B,{"licence","community"},'caseload data'!$C:$C,'community %'!$T$8)),"")</f>
        <v/>
      </c>
    </row>
    <row r="12" spans="1:50" x14ac:dyDescent="0.15">
      <c r="B12" s="101" t="s">
        <v>1173</v>
      </c>
      <c r="C12" s="175" t="str">
        <f>IFERROR(SUM(SUMIFS('caseload data'!E:E,'caseload data'!$C:$C,'community %'!$B$8,'caseload data'!$D:$D,"TPO",'caseload data'!$B:$B,{"licence","community"}))/SUM(SUMIFS('caseload data'!E:E,'caseload data'!$B:$B,{"licence","community"},'caseload data'!$C:$C,'community %'!$B$8)),"")</f>
        <v/>
      </c>
      <c r="D12" s="175" t="str">
        <f>IFERROR(SUM(SUMIFS('caseload data'!F:F,'caseload data'!$C:$C,'community %'!$B$8,'caseload data'!$D:$D,"TPO",'caseload data'!$B:$B,{"licence","community"}))/SUM(SUMIFS('caseload data'!F:F,'caseload data'!$B:$B,{"licence","community"},'caseload data'!$C:$C,'community %'!$B$8)),"")</f>
        <v/>
      </c>
      <c r="E12" s="175" t="str">
        <f>IFERROR(SUM(SUMIFS('caseload data'!G:G,'caseload data'!$C:$C,'community %'!$B$8,'caseload data'!$D:$D,"TPO",'caseload data'!$B:$B,{"licence","community"}))/SUM(SUMIFS('caseload data'!G:G,'caseload data'!$B:$B,{"licence","community"},'caseload data'!$C:$C,'community %'!$B$8)),"")</f>
        <v/>
      </c>
      <c r="F12" s="175" t="str">
        <f>IFERROR(SUM(SUMIFS('caseload data'!H:H,'caseload data'!$C:$C,'community %'!$B$8,'caseload data'!$D:$D,"TPO",'caseload data'!$B:$B,{"licence","community"}))/SUM(SUMIFS('caseload data'!H:H,'caseload data'!$B:$B,{"licence","community"},'caseload data'!$C:$C,'community %'!$B$8)),"")</f>
        <v/>
      </c>
      <c r="G12" s="175" t="str">
        <f>IFERROR(SUM(SUMIFS('caseload data'!I:I,'caseload data'!$C:$C,'community %'!$B$8,'caseload data'!$D:$D,"TPO",'caseload data'!$B:$B,{"licence","community"}))/SUM(SUMIFS('caseload data'!I:I,'caseload data'!$B:$B,{"licence","community"},'caseload data'!$C:$C,'community %'!$B$8)),"")</f>
        <v/>
      </c>
      <c r="H12" s="175" t="str">
        <f>IFERROR(SUM(SUMIFS('caseload data'!J:J,'caseload data'!$C:$C,'community %'!$B$8,'caseload data'!$D:$D,"TPO",'caseload data'!$B:$B,{"licence","community"}))/SUM(SUMIFS('caseload data'!J:J,'caseload data'!$B:$B,{"licence","community"},'caseload data'!$C:$C,'community %'!$B$8)),"")</f>
        <v/>
      </c>
      <c r="I12" s="175" t="str">
        <f>IFERROR(SUM(SUMIFS('caseload data'!K:K,'caseload data'!$C:$C,'community %'!$B$8,'caseload data'!$D:$D,"TPO",'caseload data'!$B:$B,{"licence","community"}))/SUM(SUMIFS('caseload data'!K:K,'caseload data'!$B:$B,{"licence","community"},'caseload data'!$C:$C,'community %'!$B$8)),"")</f>
        <v/>
      </c>
      <c r="J12" s="175" t="str">
        <f>IFERROR(SUM(SUMIFS('caseload data'!L:L,'caseload data'!$C:$C,'community %'!$B$8,'caseload data'!$D:$D,"TPO",'caseload data'!$B:$B,{"licence","community"}))/SUM(SUMIFS('caseload data'!L:L,'caseload data'!$B:$B,{"licence","community"},'caseload data'!$C:$C,'community %'!$B$8)),"")</f>
        <v/>
      </c>
      <c r="K12" s="175" t="str">
        <f>IFERROR(SUM(SUMIFS('caseload data'!M:M,'caseload data'!$C:$C,'community %'!$B$8,'caseload data'!$D:$D,"TPO",'caseload data'!$B:$B,{"licence","community"}))/SUM(SUMIFS('caseload data'!M:M,'caseload data'!$B:$B,{"licence","community"},'caseload data'!$C:$C,'community %'!$B$8)),"")</f>
        <v/>
      </c>
      <c r="L12" s="175" t="str">
        <f>IFERROR(SUM(SUMIFS('caseload data'!N:N,'caseload data'!$C:$C,'community %'!$B$8,'caseload data'!$D:$D,"TPO",'caseload data'!$B:$B,{"licence","community"}))/SUM(SUMIFS('caseload data'!N:N,'caseload data'!$B:$B,{"licence","community"},'caseload data'!$C:$C,'community %'!$B$8)),"")</f>
        <v/>
      </c>
      <c r="M12" s="175" t="str">
        <f>IFERROR(SUM(SUMIFS('caseload data'!O:O,'caseload data'!$C:$C,'community %'!$B$8,'caseload data'!$D:$D,"TPO",'caseload data'!$B:$B,{"licence","community"}))/SUM(SUMIFS('caseload data'!O:O,'caseload data'!$B:$B,{"licence","community"},'caseload data'!$C:$C,'community %'!$B$8)),"")</f>
        <v/>
      </c>
      <c r="N12" s="175" t="str">
        <f>IFERROR(SUM(SUMIFS('caseload data'!P:P,'caseload data'!$C:$C,'community %'!$B$8,'caseload data'!$D:$D,"TPO",'caseload data'!$B:$B,{"licence","community"}))/SUM(SUMIFS('caseload data'!P:P,'caseload data'!$B:$B,{"licence","community"},'caseload data'!$C:$C,'community %'!$B$8)),"")</f>
        <v/>
      </c>
      <c r="O12" s="175" t="str">
        <f>IFERROR(SUM(SUMIFS('caseload data'!Q:Q,'caseload data'!$C:$C,'community %'!$B$8,'caseload data'!$D:$D,"TPO",'caseload data'!$B:$B,{"licence","community"}))/SUM(SUMIFS('caseload data'!Q:Q,'caseload data'!$B:$B,{"licence","community"},'caseload data'!$C:$C,'community %'!$B$8)),"")</f>
        <v/>
      </c>
      <c r="P12" s="175" t="str">
        <f>IFERROR(SUM(SUMIFS('caseload data'!R:R,'caseload data'!$C:$C,'community %'!$B$8,'caseload data'!$D:$D,"TPO",'caseload data'!$B:$B,{"licence","community"}))/SUM(SUMIFS('caseload data'!R:R,'caseload data'!$B:$B,{"licence","community"},'caseload data'!$C:$C,'community %'!$B$8)),"")</f>
        <v/>
      </c>
      <c r="Q12" s="175" t="str">
        <f>IFERROR(SUM(SUMIFS('caseload data'!S:S,'caseload data'!$C:$C,'community %'!$B$8,'caseload data'!$D:$D,"TPO",'caseload data'!$B:$B,{"licence","community"}))/SUM(SUMIFS('caseload data'!S:S,'caseload data'!$B:$B,{"licence","community"},'caseload data'!$C:$C,'community %'!$B$8)),"")</f>
        <v/>
      </c>
      <c r="R12" s="175" t="str">
        <f>IFERROR(SUM(SUMIFS('caseload data'!T:T,'caseload data'!$C:$C,'community %'!$B$8,'caseload data'!$D:$D,"TPO",'caseload data'!$B:$B,{"licence","community"}))/SUM(SUMIFS('caseload data'!T:T,'caseload data'!$B:$B,{"licence","community"},'caseload data'!$C:$C,'community %'!$B$8)),"")</f>
        <v/>
      </c>
      <c r="S12" s="68"/>
      <c r="T12" s="101" t="s">
        <v>1173</v>
      </c>
      <c r="U12" s="175" t="str">
        <f>IFERROR(SUM(SUMIFS('caseload data'!E:E,'caseload data'!$C:$C,'community %'!$T$8,'caseload data'!$D:$D,"TPO",'caseload data'!$B:$B,{"licence","community"}))/SUM(SUMIFS('caseload data'!E:E,'caseload data'!$B:$B,{"licence","community"},'caseload data'!$C:$C,'community %'!$T$8)),"")</f>
        <v/>
      </c>
      <c r="V12" s="175" t="str">
        <f>IFERROR(SUM(SUMIFS('caseload data'!F:F,'caseload data'!$C:$C,'community %'!$T$8,'caseload data'!$D:$D,"TPO",'caseload data'!$B:$B,{"licence","community"}))/SUM(SUMIFS('caseload data'!F:F,'caseload data'!$B:$B,{"licence","community"},'caseload data'!$C:$C,'community %'!$T$8)),"")</f>
        <v/>
      </c>
      <c r="W12" s="175" t="str">
        <f>IFERROR(SUM(SUMIFS('caseload data'!G:G,'caseload data'!$C:$C,'community %'!$T$8,'caseload data'!$D:$D,"TPO",'caseload data'!$B:$B,{"licence","community"}))/SUM(SUMIFS('caseload data'!G:G,'caseload data'!$B:$B,{"licence","community"},'caseload data'!$C:$C,'community %'!$T$8)),"")</f>
        <v/>
      </c>
      <c r="X12" s="175" t="str">
        <f>IFERROR(SUM(SUMIFS('caseload data'!H:H,'caseload data'!$C:$C,'community %'!$T$8,'caseload data'!$D:$D,"TPO",'caseload data'!$B:$B,{"licence","community"}))/SUM(SUMIFS('caseload data'!H:H,'caseload data'!$B:$B,{"licence","community"},'caseload data'!$C:$C,'community %'!$T$8)),"")</f>
        <v/>
      </c>
      <c r="Y12" s="175" t="str">
        <f>IFERROR(SUM(SUMIFS('caseload data'!I:I,'caseload data'!$C:$C,'community %'!$T$8,'caseload data'!$D:$D,"TPO",'caseload data'!$B:$B,{"licence","community"}))/SUM(SUMIFS('caseload data'!I:I,'caseload data'!$B:$B,{"licence","community"},'caseload data'!$C:$C,'community %'!$T$8)),"")</f>
        <v/>
      </c>
      <c r="Z12" s="175" t="str">
        <f>IFERROR(SUM(SUMIFS('caseload data'!J:J,'caseload data'!$C:$C,'community %'!$T$8,'caseload data'!$D:$D,"TPO",'caseload data'!$B:$B,{"licence","community"}))/SUM(SUMIFS('caseload data'!J:J,'caseload data'!$B:$B,{"licence","community"},'caseload data'!$C:$C,'community %'!$T$8)),"")</f>
        <v/>
      </c>
      <c r="AA12" s="175" t="str">
        <f>IFERROR(SUM(SUMIFS('caseload data'!K:K,'caseload data'!$C:$C,'community %'!$T$8,'caseload data'!$D:$D,"TPO",'caseload data'!$B:$B,{"licence","community"}))/SUM(SUMIFS('caseload data'!K:K,'caseload data'!$B:$B,{"licence","community"},'caseload data'!$C:$C,'community %'!$T$8)),"")</f>
        <v/>
      </c>
      <c r="AB12" s="175" t="str">
        <f>IFERROR(SUM(SUMIFS('caseload data'!L:L,'caseload data'!$C:$C,'community %'!$T$8,'caseload data'!$D:$D,"TPO",'caseload data'!$B:$B,{"licence","community"}))/SUM(SUMIFS('caseload data'!L:L,'caseload data'!$B:$B,{"licence","community"},'caseload data'!$C:$C,'community %'!$T$8)),"")</f>
        <v/>
      </c>
      <c r="AC12" s="175" t="str">
        <f>IFERROR(SUM(SUMIFS('caseload data'!M:M,'caseload data'!$C:$C,'community %'!$T$8,'caseload data'!$D:$D,"TPO",'caseload data'!$B:$B,{"licence","community"}))/SUM(SUMIFS('caseload data'!M:M,'caseload data'!$B:$B,{"licence","community"},'caseload data'!$C:$C,'community %'!$T$8)),"")</f>
        <v/>
      </c>
      <c r="AD12" s="175" t="str">
        <f>IFERROR(SUM(SUMIFS('caseload data'!N:N,'caseload data'!$C:$C,'community %'!$T$8,'caseload data'!$D:$D,"TPO",'caseload data'!$B:$B,{"licence","community"}))/SUM(SUMIFS('caseload data'!N:N,'caseload data'!$B:$B,{"licence","community"},'caseload data'!$C:$C,'community %'!$T$8)),"")</f>
        <v/>
      </c>
      <c r="AE12" s="175" t="str">
        <f>IFERROR(SUM(SUMIFS('caseload data'!O:O,'caseload data'!$C:$C,'community %'!$T$8,'caseload data'!$D:$D,"TPO",'caseload data'!$B:$B,{"licence","community"}))/SUM(SUMIFS('caseload data'!O:O,'caseload data'!$B:$B,{"licence","community"},'caseload data'!$C:$C,'community %'!$T$8)),"")</f>
        <v/>
      </c>
      <c r="AF12" s="175" t="str">
        <f>IFERROR(SUM(SUMIFS('caseload data'!P:P,'caseload data'!$C:$C,'community %'!$T$8,'caseload data'!$D:$D,"TPO",'caseload data'!$B:$B,{"licence","community"}))/SUM(SUMIFS('caseload data'!P:P,'caseload data'!$B:$B,{"licence","community"},'caseload data'!$C:$C,'community %'!$T$8)),"")</f>
        <v/>
      </c>
      <c r="AG12" s="175" t="str">
        <f>IFERROR(SUM(SUMIFS('caseload data'!Q:Q,'caseload data'!$C:$C,'community %'!$T$8,'caseload data'!$D:$D,"TPO",'caseload data'!$B:$B,{"licence","community"}))/SUM(SUMIFS('caseload data'!Q:Q,'caseload data'!$B:$B,{"licence","community"},'caseload data'!$C:$C,'community %'!$T$8)),"")</f>
        <v/>
      </c>
      <c r="AH12" s="175" t="str">
        <f>IFERROR(SUM(SUMIFS('caseload data'!R:R,'caseload data'!$C:$C,'community %'!$T$8,'caseload data'!$D:$D,"TPO",'caseload data'!$B:$B,{"licence","community"}))/SUM(SUMIFS('caseload data'!R:R,'caseload data'!$B:$B,{"licence","community"},'caseload data'!$C:$C,'community %'!$T$8)),"")</f>
        <v/>
      </c>
      <c r="AI12" s="175" t="str">
        <f>IFERROR(SUM(SUMIFS('caseload data'!S:S,'caseload data'!$C:$C,'community %'!$T$8,'caseload data'!$D:$D,"TPO",'caseload data'!$B:$B,{"licence","community"}))/SUM(SUMIFS('caseload data'!S:S,'caseload data'!$B:$B,{"licence","community"},'caseload data'!$C:$C,'community %'!$T$8)),"")</f>
        <v/>
      </c>
      <c r="AJ12" s="175" t="str">
        <f>IFERROR(SUM(SUMIFS('caseload data'!T:T,'caseload data'!$C:$C,'community %'!$T$8,'caseload data'!$D:$D,"TPO",'caseload data'!$B:$B,{"licence","community"}))/SUM(SUMIFS('caseload data'!T:T,'caseload data'!$B:$B,{"licence","community"},'caseload data'!$C:$C,'community %'!$T$8)),"")</f>
        <v/>
      </c>
    </row>
    <row r="13" spans="1:50" x14ac:dyDescent="0.15">
      <c r="B13" s="102" t="s">
        <v>1174</v>
      </c>
      <c r="C13" s="175" t="str">
        <f>IFERROR(SUM(SUMIFS('caseload data'!E:E,'caseload data'!$C:$C,'community %'!$B$8,'caseload data'!$D:$D,"SPO",'caseload data'!$B:$B,{"licence","community"}))/SUM(SUMIFS('caseload data'!E:E,'caseload data'!$B:$B,{"licence","community"},'caseload data'!$C:$C,'community %'!$B$8)),"")</f>
        <v/>
      </c>
      <c r="D13" s="175" t="str">
        <f>IFERROR(SUM(SUMIFS('caseload data'!F:F,'caseload data'!$C:$C,'community %'!$B$8,'caseload data'!$D:$D,"SPO",'caseload data'!$B:$B,{"licence","community"}))/SUM(SUMIFS('caseload data'!F:F,'caseload data'!$B:$B,{"licence","community"},'caseload data'!$C:$C,'community %'!$B$8)),"")</f>
        <v/>
      </c>
      <c r="E13" s="175" t="str">
        <f>IFERROR(SUM(SUMIFS('caseload data'!G:G,'caseload data'!$C:$C,'community %'!$B$8,'caseload data'!$D:$D,"SPO",'caseload data'!$B:$B,{"licence","community"}))/SUM(SUMIFS('caseload data'!G:G,'caseload data'!$B:$B,{"licence","community"},'caseload data'!$C:$C,'community %'!$B$8)),"")</f>
        <v/>
      </c>
      <c r="F13" s="175" t="str">
        <f>IFERROR(SUM(SUMIFS('caseload data'!H:H,'caseload data'!$C:$C,'community %'!$B$8,'caseload data'!$D:$D,"SPO",'caseload data'!$B:$B,{"licence","community"}))/SUM(SUMIFS('caseload data'!H:H,'caseload data'!$B:$B,{"licence","community"},'caseload data'!$C:$C,'community %'!$B$8)),"")</f>
        <v/>
      </c>
      <c r="G13" s="175" t="str">
        <f>IFERROR(SUM(SUMIFS('caseload data'!I:I,'caseload data'!$C:$C,'community %'!$B$8,'caseload data'!$D:$D,"SPO",'caseload data'!$B:$B,{"licence","community"}))/SUM(SUMIFS('caseload data'!I:I,'caseload data'!$B:$B,{"licence","community"},'caseload data'!$C:$C,'community %'!$B$8)),"")</f>
        <v/>
      </c>
      <c r="H13" s="175" t="str">
        <f>IFERROR(SUM(SUMIFS('caseload data'!J:J,'caseload data'!$C:$C,'community %'!$B$8,'caseload data'!$D:$D,"SPO",'caseload data'!$B:$B,{"licence","community"}))/SUM(SUMIFS('caseload data'!J:J,'caseload data'!$B:$B,{"licence","community"},'caseload data'!$C:$C,'community %'!$B$8)),"")</f>
        <v/>
      </c>
      <c r="I13" s="175" t="str">
        <f>IFERROR(SUM(SUMIFS('caseload data'!K:K,'caseload data'!$C:$C,'community %'!$B$8,'caseload data'!$D:$D,"SPO",'caseload data'!$B:$B,{"licence","community"}))/SUM(SUMIFS('caseload data'!K:K,'caseload data'!$B:$B,{"licence","community"},'caseload data'!$C:$C,'community %'!$B$8)),"")</f>
        <v/>
      </c>
      <c r="J13" s="175" t="str">
        <f>IFERROR(SUM(SUMIFS('caseload data'!L:L,'caseload data'!$C:$C,'community %'!$B$8,'caseload data'!$D:$D,"SPO",'caseload data'!$B:$B,{"licence","community"}))/SUM(SUMIFS('caseload data'!L:L,'caseload data'!$B:$B,{"licence","community"},'caseload data'!$C:$C,'community %'!$B$8)),"")</f>
        <v/>
      </c>
      <c r="K13" s="175" t="str">
        <f>IFERROR(SUM(SUMIFS('caseload data'!M:M,'caseload data'!$C:$C,'community %'!$B$8,'caseload data'!$D:$D,"SPO",'caseload data'!$B:$B,{"licence","community"}))/SUM(SUMIFS('caseload data'!M:M,'caseload data'!$B:$B,{"licence","community"},'caseload data'!$C:$C,'community %'!$B$8)),"")</f>
        <v/>
      </c>
      <c r="L13" s="175" t="str">
        <f>IFERROR(SUM(SUMIFS('caseload data'!N:N,'caseload data'!$C:$C,'community %'!$B$8,'caseload data'!$D:$D,"SPO",'caseload data'!$B:$B,{"licence","community"}))/SUM(SUMIFS('caseload data'!N:N,'caseload data'!$B:$B,{"licence","community"},'caseload data'!$C:$C,'community %'!$B$8)),"")</f>
        <v/>
      </c>
      <c r="M13" s="175" t="str">
        <f>IFERROR(SUM(SUMIFS('caseload data'!O:O,'caseload data'!$C:$C,'community %'!$B$8,'caseload data'!$D:$D,"SPO",'caseload data'!$B:$B,{"licence","community"}))/SUM(SUMIFS('caseload data'!O:O,'caseload data'!$B:$B,{"licence","community"},'caseload data'!$C:$C,'community %'!$B$8)),"")</f>
        <v/>
      </c>
      <c r="N13" s="175" t="str">
        <f>IFERROR(SUM(SUMIFS('caseload data'!P:P,'caseload data'!$C:$C,'community %'!$B$8,'caseload data'!$D:$D,"SPO",'caseload data'!$B:$B,{"licence","community"}))/SUM(SUMIFS('caseload data'!P:P,'caseload data'!$B:$B,{"licence","community"},'caseload data'!$C:$C,'community %'!$B$8)),"")</f>
        <v/>
      </c>
      <c r="O13" s="175" t="str">
        <f>IFERROR(SUM(SUMIFS('caseload data'!Q:Q,'caseload data'!$C:$C,'community %'!$B$8,'caseload data'!$D:$D,"SPO",'caseload data'!$B:$B,{"licence","community"}))/SUM(SUMIFS('caseload data'!Q:Q,'caseload data'!$B:$B,{"licence","community"},'caseload data'!$C:$C,'community %'!$B$8)),"")</f>
        <v/>
      </c>
      <c r="P13" s="175" t="str">
        <f>IFERROR(SUM(SUMIFS('caseload data'!R:R,'caseload data'!$C:$C,'community %'!$B$8,'caseload data'!$D:$D,"SPO",'caseload data'!$B:$B,{"licence","community"}))/SUM(SUMIFS('caseload data'!R:R,'caseload data'!$B:$B,{"licence","community"},'caseload data'!$C:$C,'community %'!$B$8)),"")</f>
        <v/>
      </c>
      <c r="Q13" s="175" t="str">
        <f>IFERROR(SUM(SUMIFS('caseload data'!S:S,'caseload data'!$C:$C,'community %'!$B$8,'caseload data'!$D:$D,"SPO",'caseload data'!$B:$B,{"licence","community"}))/SUM(SUMIFS('caseload data'!S:S,'caseload data'!$B:$B,{"licence","community"},'caseload data'!$C:$C,'community %'!$B$8)),"")</f>
        <v/>
      </c>
      <c r="R13" s="175" t="str">
        <f>IFERROR(SUM(SUMIFS('caseload data'!T:T,'caseload data'!$C:$C,'community %'!$B$8,'caseload data'!$D:$D,"SPO",'caseload data'!$B:$B,{"licence","community"}))/SUM(SUMIFS('caseload data'!T:T,'caseload data'!$B:$B,{"licence","community"},'caseload data'!$C:$C,'community %'!$B$8)),"")</f>
        <v/>
      </c>
      <c r="S13" s="68"/>
      <c r="T13" s="102" t="s">
        <v>1174</v>
      </c>
      <c r="U13" s="175" t="str">
        <f>IFERROR(SUM(SUMIFS('caseload data'!E:E,'caseload data'!$C:$C,'community %'!$T$8,'caseload data'!$D:$D,"SPO",'caseload data'!$B:$B,{"licence","community"}))/SUM(SUMIFS('caseload data'!E:E,'caseload data'!$B:$B,{"licence","community"},'caseload data'!$C:$C,'community %'!$T$8)),"")</f>
        <v/>
      </c>
      <c r="V13" s="175" t="str">
        <f>IFERROR(SUM(SUMIFS('caseload data'!F:F,'caseload data'!$C:$C,'community %'!$T$8,'caseload data'!$D:$D,"SPO",'caseload data'!$B:$B,{"licence","community"}))/SUM(SUMIFS('caseload data'!F:F,'caseload data'!$B:$B,{"licence","community"},'caseload data'!$C:$C,'community %'!$T$8)),"")</f>
        <v/>
      </c>
      <c r="W13" s="175" t="str">
        <f>IFERROR(SUM(SUMIFS('caseload data'!G:G,'caseload data'!$C:$C,'community %'!$T$8,'caseload data'!$D:$D,"SPO",'caseload data'!$B:$B,{"licence","community"}))/SUM(SUMIFS('caseload data'!G:G,'caseload data'!$B:$B,{"licence","community"},'caseload data'!$C:$C,'community %'!$T$8)),"")</f>
        <v/>
      </c>
      <c r="X13" s="175" t="str">
        <f>IFERROR(SUM(SUMIFS('caseload data'!H:H,'caseload data'!$C:$C,'community %'!$T$8,'caseload data'!$D:$D,"SPO",'caseload data'!$B:$B,{"licence","community"}))/SUM(SUMIFS('caseload data'!H:H,'caseload data'!$B:$B,{"licence","community"},'caseload data'!$C:$C,'community %'!$T$8)),"")</f>
        <v/>
      </c>
      <c r="Y13" s="175" t="str">
        <f>IFERROR(SUM(SUMIFS('caseload data'!I:I,'caseload data'!$C:$C,'community %'!$T$8,'caseload data'!$D:$D,"SPO",'caseload data'!$B:$B,{"licence","community"}))/SUM(SUMIFS('caseload data'!I:I,'caseload data'!$B:$B,{"licence","community"},'caseload data'!$C:$C,'community %'!$T$8)),"")</f>
        <v/>
      </c>
      <c r="Z13" s="175" t="str">
        <f>IFERROR(SUM(SUMIFS('caseload data'!J:J,'caseload data'!$C:$C,'community %'!$T$8,'caseload data'!$D:$D,"SPO",'caseload data'!$B:$B,{"licence","community"}))/SUM(SUMIFS('caseload data'!J:J,'caseload data'!$B:$B,{"licence","community"},'caseload data'!$C:$C,'community %'!$T$8)),"")</f>
        <v/>
      </c>
      <c r="AA13" s="175" t="str">
        <f>IFERROR(SUM(SUMIFS('caseload data'!K:K,'caseload data'!$C:$C,'community %'!$T$8,'caseload data'!$D:$D,"SPO",'caseload data'!$B:$B,{"licence","community"}))/SUM(SUMIFS('caseload data'!K:K,'caseload data'!$B:$B,{"licence","community"},'caseload data'!$C:$C,'community %'!$T$8)),"")</f>
        <v/>
      </c>
      <c r="AB13" s="175" t="str">
        <f>IFERROR(SUM(SUMIFS('caseload data'!L:L,'caseload data'!$C:$C,'community %'!$T$8,'caseload data'!$D:$D,"SPO",'caseload data'!$B:$B,{"licence","community"}))/SUM(SUMIFS('caseload data'!L:L,'caseload data'!$B:$B,{"licence","community"},'caseload data'!$C:$C,'community %'!$T$8)),"")</f>
        <v/>
      </c>
      <c r="AC13" s="175" t="str">
        <f>IFERROR(SUM(SUMIFS('caseload data'!M:M,'caseload data'!$C:$C,'community %'!$T$8,'caseload data'!$D:$D,"SPO",'caseload data'!$B:$B,{"licence","community"}))/SUM(SUMIFS('caseload data'!M:M,'caseload data'!$B:$B,{"licence","community"},'caseload data'!$C:$C,'community %'!$T$8)),"")</f>
        <v/>
      </c>
      <c r="AD13" s="175" t="str">
        <f>IFERROR(SUM(SUMIFS('caseload data'!N:N,'caseload data'!$C:$C,'community %'!$T$8,'caseload data'!$D:$D,"SPO",'caseload data'!$B:$B,{"licence","community"}))/SUM(SUMIFS('caseload data'!N:N,'caseload data'!$B:$B,{"licence","community"},'caseload data'!$C:$C,'community %'!$T$8)),"")</f>
        <v/>
      </c>
      <c r="AE13" s="175" t="str">
        <f>IFERROR(SUM(SUMIFS('caseload data'!O:O,'caseload data'!$C:$C,'community %'!$T$8,'caseload data'!$D:$D,"SPO",'caseload data'!$B:$B,{"licence","community"}))/SUM(SUMIFS('caseload data'!O:O,'caseload data'!$B:$B,{"licence","community"},'caseload data'!$C:$C,'community %'!$T$8)),"")</f>
        <v/>
      </c>
      <c r="AF13" s="175" t="str">
        <f>IFERROR(SUM(SUMIFS('caseload data'!P:P,'caseload data'!$C:$C,'community %'!$T$8,'caseload data'!$D:$D,"SPO",'caseload data'!$B:$B,{"licence","community"}))/SUM(SUMIFS('caseload data'!P:P,'caseload data'!$B:$B,{"licence","community"},'caseload data'!$C:$C,'community %'!$T$8)),"")</f>
        <v/>
      </c>
      <c r="AG13" s="175" t="str">
        <f>IFERROR(SUM(SUMIFS('caseload data'!Q:Q,'caseload data'!$C:$C,'community %'!$T$8,'caseload data'!$D:$D,"SPO",'caseload data'!$B:$B,{"licence","community"}))/SUM(SUMIFS('caseload data'!Q:Q,'caseload data'!$B:$B,{"licence","community"},'caseload data'!$C:$C,'community %'!$T$8)),"")</f>
        <v/>
      </c>
      <c r="AH13" s="175" t="str">
        <f>IFERROR(SUM(SUMIFS('caseload data'!R:R,'caseload data'!$C:$C,'community %'!$T$8,'caseload data'!$D:$D,"SPO",'caseload data'!$B:$B,{"licence","community"}))/SUM(SUMIFS('caseload data'!R:R,'caseload data'!$B:$B,{"licence","community"},'caseload data'!$C:$C,'community %'!$T$8)),"")</f>
        <v/>
      </c>
      <c r="AI13" s="175" t="str">
        <f>IFERROR(SUM(SUMIFS('caseload data'!S:S,'caseload data'!$C:$C,'community %'!$T$8,'caseload data'!$D:$D,"SPO",'caseload data'!$B:$B,{"licence","community"}))/SUM(SUMIFS('caseload data'!S:S,'caseload data'!$B:$B,{"licence","community"},'caseload data'!$C:$C,'community %'!$T$8)),"")</f>
        <v/>
      </c>
      <c r="AJ13" s="175" t="str">
        <f>IFERROR(SUM(SUMIFS('caseload data'!T:T,'caseload data'!$C:$C,'community %'!$T$8,'caseload data'!$D:$D,"SPO",'caseload data'!$B:$B,{"licence","community"}))/SUM(SUMIFS('caseload data'!T:T,'caseload data'!$B:$B,{"licence","community"},'caseload data'!$C:$C,'community %'!$T$8)),"")</f>
        <v/>
      </c>
    </row>
    <row r="14" spans="1:50" x14ac:dyDescent="0.15">
      <c r="B14" s="95"/>
      <c r="C14" s="68"/>
      <c r="D14" s="68"/>
      <c r="E14" s="68"/>
      <c r="F14" s="68"/>
      <c r="G14" s="68"/>
      <c r="H14" s="68"/>
      <c r="I14" s="68"/>
      <c r="J14" s="68"/>
      <c r="K14" s="68"/>
      <c r="L14" s="68"/>
      <c r="M14" s="68"/>
      <c r="N14" s="68"/>
      <c r="O14" s="68"/>
      <c r="P14" s="68"/>
      <c r="Q14" s="68"/>
      <c r="R14" s="68"/>
      <c r="S14" s="68"/>
      <c r="T14" s="95"/>
      <c r="U14" s="68"/>
      <c r="V14" s="68"/>
      <c r="W14" s="68"/>
      <c r="X14" s="68"/>
      <c r="Y14" s="68"/>
      <c r="Z14" s="68"/>
      <c r="AA14" s="68"/>
      <c r="AB14" s="68"/>
      <c r="AC14" s="68"/>
      <c r="AD14" s="68"/>
      <c r="AE14" s="68"/>
      <c r="AF14" s="68"/>
      <c r="AG14" s="68"/>
      <c r="AH14" s="68"/>
      <c r="AI14" s="68"/>
      <c r="AJ14" s="68"/>
    </row>
    <row r="15" spans="1:50" ht="24" customHeight="1" x14ac:dyDescent="0.15">
      <c r="B15" s="302" t="str">
        <f>HLOOKUP($B$5,Region_Table,4,0)</f>
        <v>Camden, Islington</v>
      </c>
      <c r="C15" s="459" t="s">
        <v>1313</v>
      </c>
      <c r="D15" s="460"/>
      <c r="E15" s="460"/>
      <c r="F15" s="460"/>
      <c r="G15" s="460"/>
      <c r="H15" s="460"/>
      <c r="I15" s="460"/>
      <c r="J15" s="460"/>
      <c r="K15" s="460"/>
      <c r="L15" s="460"/>
      <c r="M15" s="489"/>
      <c r="N15" s="489"/>
      <c r="O15" s="490"/>
      <c r="P15" s="462" cm="1">
        <f t="array" ref="P15">SUM(SUMIFS('caseload data'!V:V,'caseload data'!B:B,{"licence","community"},'caseload data'!$C:$C,B15))</f>
        <v>0</v>
      </c>
      <c r="Q15" s="479"/>
      <c r="R15" s="480"/>
      <c r="S15" s="68"/>
      <c r="T15" s="302" t="str">
        <f>HLOOKUP($B$5,Region_Table,5,0)</f>
        <v>Community Integration</v>
      </c>
      <c r="U15" s="459" t="s">
        <v>1313</v>
      </c>
      <c r="V15" s="460"/>
      <c r="W15" s="460"/>
      <c r="X15" s="460"/>
      <c r="Y15" s="460"/>
      <c r="Z15" s="460"/>
      <c r="AA15" s="460"/>
      <c r="AB15" s="460"/>
      <c r="AC15" s="460"/>
      <c r="AD15" s="460"/>
      <c r="AE15" s="489"/>
      <c r="AF15" s="489"/>
      <c r="AG15" s="490"/>
      <c r="AH15" s="462" cm="1">
        <f t="array" ref="AH15">SUM(SUMIFS('caseload data'!V:V,'caseload data'!B:B,{"licence","community"},'caseload data'!$C:$C,T15))</f>
        <v>0</v>
      </c>
      <c r="AI15" s="479"/>
      <c r="AJ15" s="480"/>
    </row>
    <row r="16" spans="1:50" x14ac:dyDescent="0.15">
      <c r="B16" s="99" t="s">
        <v>1170</v>
      </c>
      <c r="C16" s="40" t="s">
        <v>1022</v>
      </c>
      <c r="D16" s="40" t="s">
        <v>1023</v>
      </c>
      <c r="E16" s="40" t="s">
        <v>1024</v>
      </c>
      <c r="F16" s="40" t="s">
        <v>1025</v>
      </c>
      <c r="G16" s="40" t="s">
        <v>1026</v>
      </c>
      <c r="H16" s="40" t="s">
        <v>1027</v>
      </c>
      <c r="I16" s="40" t="s">
        <v>1028</v>
      </c>
      <c r="J16" s="40" t="s">
        <v>1029</v>
      </c>
      <c r="K16" s="40" t="s">
        <v>1030</v>
      </c>
      <c r="L16" s="40" t="s">
        <v>1031</v>
      </c>
      <c r="M16" s="40" t="s">
        <v>1032</v>
      </c>
      <c r="N16" s="40" t="s">
        <v>1033</v>
      </c>
      <c r="O16" s="40" t="s">
        <v>1034</v>
      </c>
      <c r="P16" s="40" t="s">
        <v>1035</v>
      </c>
      <c r="Q16" s="40" t="s">
        <v>1036</v>
      </c>
      <c r="R16" s="40" t="s">
        <v>1037</v>
      </c>
      <c r="S16" s="68"/>
      <c r="T16" s="99" t="s">
        <v>1170</v>
      </c>
      <c r="U16" s="40" t="s">
        <v>1022</v>
      </c>
      <c r="V16" s="40" t="s">
        <v>1023</v>
      </c>
      <c r="W16" s="40" t="s">
        <v>1024</v>
      </c>
      <c r="X16" s="40" t="s">
        <v>1025</v>
      </c>
      <c r="Y16" s="40" t="s">
        <v>1026</v>
      </c>
      <c r="Z16" s="40" t="s">
        <v>1027</v>
      </c>
      <c r="AA16" s="40" t="s">
        <v>1028</v>
      </c>
      <c r="AB16" s="40" t="s">
        <v>1029</v>
      </c>
      <c r="AC16" s="40" t="s">
        <v>1030</v>
      </c>
      <c r="AD16" s="40" t="s">
        <v>1031</v>
      </c>
      <c r="AE16" s="40" t="s">
        <v>1032</v>
      </c>
      <c r="AF16" s="40" t="s">
        <v>1033</v>
      </c>
      <c r="AG16" s="40" t="s">
        <v>1034</v>
      </c>
      <c r="AH16" s="40" t="s">
        <v>1035</v>
      </c>
      <c r="AI16" s="40" t="s">
        <v>1036</v>
      </c>
      <c r="AJ16" s="40" t="s">
        <v>1037</v>
      </c>
    </row>
    <row r="17" spans="2:36" x14ac:dyDescent="0.15">
      <c r="B17" s="100" t="s">
        <v>1166</v>
      </c>
      <c r="C17" s="175" t="str">
        <f>IFERROR(SUM(SUMIFS('caseload data'!E:E,'caseload data'!$C:$C,'community %'!$B$15,'caseload data'!$D:$D,"PO",'caseload data'!$B:$B,{"licence","community"}))/SUM(SUMIFS('caseload data'!E:E,'caseload data'!$B:$B,{"licence","community"},'caseload data'!$C:$C,'community %'!$B$15)),"")</f>
        <v/>
      </c>
      <c r="D17" s="175" t="str">
        <f>IFERROR(SUM(SUMIFS('caseload data'!F:F,'caseload data'!$C:$C,'community %'!$B$15,'caseload data'!$D:$D,"PO",'caseload data'!$B:$B,{"licence","community"}))/SUM(SUMIFS('caseload data'!F:F,'caseload data'!$B:$B,{"licence","community"},'caseload data'!$C:$C,'community %'!$B$15)),"")</f>
        <v/>
      </c>
      <c r="E17" s="175" t="str">
        <f>IFERROR(SUM(SUMIFS('caseload data'!G:G,'caseload data'!$C:$C,'community %'!$B$15,'caseload data'!$D:$D,"PO",'caseload data'!$B:$B,{"licence","community"}))/SUM(SUMIFS('caseload data'!G:G,'caseload data'!$B:$B,{"licence","community"},'caseload data'!$C:$C,'community %'!$B$15)),"")</f>
        <v/>
      </c>
      <c r="F17" s="175" t="str">
        <f>IFERROR(SUM(SUMIFS('caseload data'!H:H,'caseload data'!$C:$C,'community %'!$B$15,'caseload data'!$D:$D,"PO",'caseload data'!$B:$B,{"licence","community"}))/SUM(SUMIFS('caseload data'!H:H,'caseload data'!$B:$B,{"licence","community"},'caseload data'!$C:$C,'community %'!$B$15)),"")</f>
        <v/>
      </c>
      <c r="G17" s="175" t="str">
        <f>IFERROR(SUM(SUMIFS('caseload data'!I:I,'caseload data'!$C:$C,'community %'!$B$15,'caseload data'!$D:$D,"PO",'caseload data'!$B:$B,{"licence","community"}))/SUM(SUMIFS('caseload data'!I:I,'caseload data'!$B:$B,{"licence","community"},'caseload data'!$C:$C,'community %'!$B$15)),"")</f>
        <v/>
      </c>
      <c r="H17" s="175" t="str">
        <f>IFERROR(SUM(SUMIFS('caseload data'!J:J,'caseload data'!$C:$C,'community %'!$B$15,'caseload data'!$D:$D,"PO",'caseload data'!$B:$B,{"licence","community"}))/SUM(SUMIFS('caseload data'!J:J,'caseload data'!$B:$B,{"licence","community"},'caseload data'!$C:$C,'community %'!$B$15)),"")</f>
        <v/>
      </c>
      <c r="I17" s="175" t="str">
        <f>IFERROR(SUM(SUMIFS('caseload data'!K:K,'caseload data'!$C:$C,'community %'!$B$15,'caseload data'!$D:$D,"PO",'caseload data'!$B:$B,{"licence","community"}))/SUM(SUMIFS('caseload data'!K:K,'caseload data'!$B:$B,{"licence","community"},'caseload data'!$C:$C,'community %'!$B$15)),"")</f>
        <v/>
      </c>
      <c r="J17" s="175" t="str">
        <f>IFERROR(SUM(SUMIFS('caseload data'!L:L,'caseload data'!$C:$C,'community %'!$B$15,'caseload data'!$D:$D,"PO",'caseload data'!$B:$B,{"licence","community"}))/SUM(SUMIFS('caseload data'!L:L,'caseload data'!$B:$B,{"licence","community"},'caseload data'!$C:$C,'community %'!$B$15)),"")</f>
        <v/>
      </c>
      <c r="K17" s="175" t="str">
        <f>IFERROR(SUM(SUMIFS('caseload data'!M:M,'caseload data'!$C:$C,'community %'!$B$15,'caseload data'!$D:$D,"PO",'caseload data'!$B:$B,{"licence","community"}))/SUM(SUMIFS('caseload data'!M:M,'caseload data'!$B:$B,{"licence","community"},'caseload data'!$C:$C,'community %'!$B$15)),"")</f>
        <v/>
      </c>
      <c r="L17" s="175" t="str">
        <f>IFERROR(SUM(SUMIFS('caseload data'!N:N,'caseload data'!$C:$C,'community %'!$B$15,'caseload data'!$D:$D,"PO",'caseload data'!$B:$B,{"licence","community"}))/SUM(SUMIFS('caseload data'!N:N,'caseload data'!$B:$B,{"licence","community"},'caseload data'!$C:$C,'community %'!$B$15)),"")</f>
        <v/>
      </c>
      <c r="M17" s="175" t="str">
        <f>IFERROR(SUM(SUMIFS('caseload data'!O:O,'caseload data'!$C:$C,'community %'!$B$15,'caseload data'!$D:$D,"PO",'caseload data'!$B:$B,{"licence","community"}))/SUM(SUMIFS('caseload data'!O:O,'caseload data'!$B:$B,{"licence","community"},'caseload data'!$C:$C,'community %'!$B$15)),"")</f>
        <v/>
      </c>
      <c r="N17" s="175" t="str">
        <f>IFERROR(SUM(SUMIFS('caseload data'!P:P,'caseload data'!$C:$C,'community %'!$B$15,'caseload data'!$D:$D,"PO",'caseload data'!$B:$B,{"licence","community"}))/SUM(SUMIFS('caseload data'!P:P,'caseload data'!$B:$B,{"licence","community"},'caseload data'!$C:$C,'community %'!$B$15)),"")</f>
        <v/>
      </c>
      <c r="O17" s="175" t="str">
        <f>IFERROR(SUM(SUMIFS('caseload data'!Q:Q,'caseload data'!$C:$C,'community %'!$B$15,'caseload data'!$D:$D,"PO",'caseload data'!$B:$B,{"licence","community"}))/SUM(SUMIFS('caseload data'!Q:Q,'caseload data'!$B:$B,{"licence","community"},'caseload data'!$C:$C,'community %'!$B$15)),"")</f>
        <v/>
      </c>
      <c r="P17" s="175" t="str">
        <f>IFERROR(SUM(SUMIFS('caseload data'!R:R,'caseload data'!$C:$C,'community %'!$B$15,'caseload data'!$D:$D,"PO",'caseload data'!$B:$B,{"licence","community"}))/SUM(SUMIFS('caseload data'!R:R,'caseload data'!$B:$B,{"licence","community"},'caseload data'!$C:$C,'community %'!$B$15)),"")</f>
        <v/>
      </c>
      <c r="Q17" s="175" t="str">
        <f>IFERROR(SUM(SUMIFS('caseload data'!S:S,'caseload data'!$C:$C,'community %'!$B$15,'caseload data'!$D:$D,"PO",'caseload data'!$B:$B,{"licence","community"}))/SUM(SUMIFS('caseload data'!S:S,'caseload data'!$B:$B,{"licence","community"},'caseload data'!$C:$C,'community %'!$B$15)),"")</f>
        <v/>
      </c>
      <c r="R17" s="175" t="str">
        <f>IFERROR(SUM(SUMIFS('caseload data'!T:T,'caseload data'!$C:$C,'community %'!$B$15,'caseload data'!$D:$D,"PO",'caseload data'!$B:$B,{"licence","community"}))/SUM(SUMIFS('caseload data'!T:T,'caseload data'!$B:$B,{"licence","community"},'caseload data'!$C:$C,'community %'!$B$15)),"")</f>
        <v/>
      </c>
      <c r="S17" s="68"/>
      <c r="T17" s="100" t="s">
        <v>1166</v>
      </c>
      <c r="U17" s="175" t="str">
        <f>IFERROR(SUM(SUMIFS('caseload data'!E:E,'caseload data'!$C:$C,'community %'!$T$15,'caseload data'!$D:$D,"PO",'caseload data'!$B:$B,{"licence","community"}))/SUM(SUMIFS('caseload data'!E:E,'caseload data'!$B:$B,{"licence","community"},'caseload data'!$C:$C,'community %'!$T$15)),"")</f>
        <v/>
      </c>
      <c r="V17" s="175" t="str">
        <f>IFERROR(SUM(SUMIFS('caseload data'!F:F,'caseload data'!$C:$C,'community %'!$T$15,'caseload data'!$D:$D,"PO",'caseload data'!$B:$B,{"licence","community"}))/SUM(SUMIFS('caseload data'!F:F,'caseload data'!$B:$B,{"licence","community"},'caseload data'!$C:$C,'community %'!$T$15)),"")</f>
        <v/>
      </c>
      <c r="W17" s="175" t="str">
        <f>IFERROR(SUM(SUMIFS('caseload data'!G:G,'caseload data'!$C:$C,'community %'!$T$15,'caseload data'!$D:$D,"PO",'caseload data'!$B:$B,{"licence","community"}))/SUM(SUMIFS('caseload data'!G:G,'caseload data'!$B:$B,{"licence","community"},'caseload data'!$C:$C,'community %'!$T$15)),"")</f>
        <v/>
      </c>
      <c r="X17" s="175" t="str">
        <f>IFERROR(SUM(SUMIFS('caseload data'!H:H,'caseload data'!$C:$C,'community %'!$T$15,'caseload data'!$D:$D,"PO",'caseload data'!$B:$B,{"licence","community"}))/SUM(SUMIFS('caseload data'!H:H,'caseload data'!$B:$B,{"licence","community"},'caseload data'!$C:$C,'community %'!$T$15)),"")</f>
        <v/>
      </c>
      <c r="Y17" s="175" t="str">
        <f>IFERROR(SUM(SUMIFS('caseload data'!I:I,'caseload data'!$C:$C,'community %'!$T$15,'caseload data'!$D:$D,"PO",'caseload data'!$B:$B,{"licence","community"}))/SUM(SUMIFS('caseload data'!I:I,'caseload data'!$B:$B,{"licence","community"},'caseload data'!$C:$C,'community %'!$T$15)),"")</f>
        <v/>
      </c>
      <c r="Z17" s="175" t="str">
        <f>IFERROR(SUM(SUMIFS('caseload data'!J:J,'caseload data'!$C:$C,'community %'!$T$15,'caseload data'!$D:$D,"PO",'caseload data'!$B:$B,{"licence","community"}))/SUM(SUMIFS('caseload data'!J:J,'caseload data'!$B:$B,{"licence","community"},'caseload data'!$C:$C,'community %'!$T$15)),"")</f>
        <v/>
      </c>
      <c r="AA17" s="175" t="str">
        <f>IFERROR(SUM(SUMIFS('caseload data'!K:K,'caseload data'!$C:$C,'community %'!$T$15,'caseload data'!$D:$D,"PO",'caseload data'!$B:$B,{"licence","community"}))/SUM(SUMIFS('caseload data'!K:K,'caseload data'!$B:$B,{"licence","community"},'caseload data'!$C:$C,'community %'!$T$15)),"")</f>
        <v/>
      </c>
      <c r="AB17" s="175" t="str">
        <f>IFERROR(SUM(SUMIFS('caseload data'!L:L,'caseload data'!$C:$C,'community %'!$T$15,'caseload data'!$D:$D,"PO",'caseload data'!$B:$B,{"licence","community"}))/SUM(SUMIFS('caseload data'!L:L,'caseload data'!$B:$B,{"licence","community"},'caseload data'!$C:$C,'community %'!$T$15)),"")</f>
        <v/>
      </c>
      <c r="AC17" s="175" t="str">
        <f>IFERROR(SUM(SUMIFS('caseload data'!M:M,'caseload data'!$C:$C,'community %'!$T$15,'caseload data'!$D:$D,"PO",'caseload data'!$B:$B,{"licence","community"}))/SUM(SUMIFS('caseload data'!M:M,'caseload data'!$B:$B,{"licence","community"},'caseload data'!$C:$C,'community %'!$T$15)),"")</f>
        <v/>
      </c>
      <c r="AD17" s="175" t="str">
        <f>IFERROR(SUM(SUMIFS('caseload data'!N:N,'caseload data'!$C:$C,'community %'!$T$15,'caseload data'!$D:$D,"PO",'caseload data'!$B:$B,{"licence","community"}))/SUM(SUMIFS('caseload data'!N:N,'caseload data'!$B:$B,{"licence","community"},'caseload data'!$C:$C,'community %'!$T$15)),"")</f>
        <v/>
      </c>
      <c r="AE17" s="175" t="str">
        <f>IFERROR(SUM(SUMIFS('caseload data'!O:O,'caseload data'!$C:$C,'community %'!$T$15,'caseload data'!$D:$D,"PO",'caseload data'!$B:$B,{"licence","community"}))/SUM(SUMIFS('caseload data'!O:O,'caseload data'!$B:$B,{"licence","community"},'caseload data'!$C:$C,'community %'!$T$15)),"")</f>
        <v/>
      </c>
      <c r="AF17" s="175" t="str">
        <f>IFERROR(SUM(SUMIFS('caseload data'!P:P,'caseload data'!$C:$C,'community %'!$T$15,'caseload data'!$D:$D,"PO",'caseload data'!$B:$B,{"licence","community"}))/SUM(SUMIFS('caseload data'!P:P,'caseload data'!$B:$B,{"licence","community"},'caseload data'!$C:$C,'community %'!$T$15)),"")</f>
        <v/>
      </c>
      <c r="AG17" s="175" t="str">
        <f>IFERROR(SUM(SUMIFS('caseload data'!Q:Q,'caseload data'!$C:$C,'community %'!$T$15,'caseload data'!$D:$D,"PO",'caseload data'!$B:$B,{"licence","community"}))/SUM(SUMIFS('caseload data'!Q:Q,'caseload data'!$B:$B,{"licence","community"},'caseload data'!$C:$C,'community %'!$T$15)),"")</f>
        <v/>
      </c>
      <c r="AH17" s="175" t="str">
        <f>IFERROR(SUM(SUMIFS('caseload data'!R:R,'caseload data'!$C:$C,'community %'!$T$15,'caseload data'!$D:$D,"PO",'caseload data'!$B:$B,{"licence","community"}))/SUM(SUMIFS('caseload data'!R:R,'caseload data'!$B:$B,{"licence","community"},'caseload data'!$C:$C,'community %'!$T$15)),"")</f>
        <v/>
      </c>
      <c r="AI17" s="175" t="str">
        <f>IFERROR(SUM(SUMIFS('caseload data'!S:S,'caseload data'!$C:$C,'community %'!$T$15,'caseload data'!$D:$D,"PO",'caseload data'!$B:$B,{"licence","community"}))/SUM(SUMIFS('caseload data'!S:S,'caseload data'!$B:$B,{"licence","community"},'caseload data'!$C:$C,'community %'!$T$15)),"")</f>
        <v/>
      </c>
      <c r="AJ17" s="175" t="str">
        <f>IFERROR(SUM(SUMIFS('caseload data'!T:T,'caseload data'!$C:$C,'community %'!$T$15,'caseload data'!$D:$D,"PO",'caseload data'!$B:$B,{"licence","community"}))/SUM(SUMIFS('caseload data'!T:T,'caseload data'!$B:$B,{"licence","community"},'caseload data'!$C:$C,'community %'!$T$15)),"")</f>
        <v/>
      </c>
    </row>
    <row r="18" spans="2:36" x14ac:dyDescent="0.15">
      <c r="B18" s="101" t="s">
        <v>1172</v>
      </c>
      <c r="C18" s="175" t="str">
        <f>IFERROR(SUM(SUMIFS('caseload data'!E:E,'caseload data'!$C:$C,'community %'!$B$15,'caseload data'!$D:$D,"PSO",'caseload data'!$B:$B,{"licence","community"}))/SUM(SUMIFS('caseload data'!E:E,'caseload data'!$B:$B,{"licence","community"},'caseload data'!$C:$C,'community %'!$B$15)),"")</f>
        <v/>
      </c>
      <c r="D18" s="175" t="str">
        <f>IFERROR(SUM(SUMIFS('caseload data'!F:F,'caseload data'!$C:$C,'community %'!$B$15,'caseload data'!$D:$D,"PSO",'caseload data'!$B:$B,{"licence","community"}))/SUM(SUMIFS('caseload data'!F:F,'caseload data'!$B:$B,{"licence","community"},'caseload data'!$C:$C,'community %'!$B$15)),"")</f>
        <v/>
      </c>
      <c r="E18" s="175" t="str">
        <f>IFERROR(SUM(SUMIFS('caseload data'!G:G,'caseload data'!$C:$C,'community %'!$B$15,'caseload data'!$D:$D,"PSO",'caseload data'!$B:$B,{"licence","community"}))/SUM(SUMIFS('caseload data'!G:G,'caseload data'!$B:$B,{"licence","community"},'caseload data'!$C:$C,'community %'!$B$15)),"")</f>
        <v/>
      </c>
      <c r="F18" s="175" t="str">
        <f>IFERROR(SUM(SUMIFS('caseload data'!H:H,'caseload data'!$C:$C,'community %'!$B$15,'caseload data'!$D:$D,"PSO",'caseload data'!$B:$B,{"licence","community"}))/SUM(SUMIFS('caseload data'!H:H,'caseload data'!$B:$B,{"licence","community"},'caseload data'!$C:$C,'community %'!$B$15)),"")</f>
        <v/>
      </c>
      <c r="G18" s="175" t="str">
        <f>IFERROR(SUM(SUMIFS('caseload data'!I:I,'caseload data'!$C:$C,'community %'!$B$15,'caseload data'!$D:$D,"PSO",'caseload data'!$B:$B,{"licence","community"}))/SUM(SUMIFS('caseload data'!I:I,'caseload data'!$B:$B,{"licence","community"},'caseload data'!$C:$C,'community %'!$B$15)),"")</f>
        <v/>
      </c>
      <c r="H18" s="175" t="str">
        <f>IFERROR(SUM(SUMIFS('caseload data'!J:J,'caseload data'!$C:$C,'community %'!$B$15,'caseload data'!$D:$D,"PSO",'caseload data'!$B:$B,{"licence","community"}))/SUM(SUMIFS('caseload data'!J:J,'caseload data'!$B:$B,{"licence","community"},'caseload data'!$C:$C,'community %'!$B$15)),"")</f>
        <v/>
      </c>
      <c r="I18" s="175" t="str">
        <f>IFERROR(SUM(SUMIFS('caseload data'!K:K,'caseload data'!$C:$C,'community %'!$B$15,'caseload data'!$D:$D,"PSO",'caseload data'!$B:$B,{"licence","community"}))/SUM(SUMIFS('caseload data'!K:K,'caseload data'!$B:$B,{"licence","community"},'caseload data'!$C:$C,'community %'!$B$15)),"")</f>
        <v/>
      </c>
      <c r="J18" s="175" t="str">
        <f>IFERROR(SUM(SUMIFS('caseload data'!L:L,'caseload data'!$C:$C,'community %'!$B$15,'caseload data'!$D:$D,"PSO",'caseload data'!$B:$B,{"licence","community"}))/SUM(SUMIFS('caseload data'!L:L,'caseload data'!$B:$B,{"licence","community"},'caseload data'!$C:$C,'community %'!$B$15)),"")</f>
        <v/>
      </c>
      <c r="K18" s="175" t="str">
        <f>IFERROR(SUM(SUMIFS('caseload data'!M:M,'caseload data'!$C:$C,'community %'!$B$15,'caseload data'!$D:$D,"PSO",'caseload data'!$B:$B,{"licence","community"}))/SUM(SUMIFS('caseload data'!M:M,'caseload data'!$B:$B,{"licence","community"},'caseload data'!$C:$C,'community %'!$B$15)),"")</f>
        <v/>
      </c>
      <c r="L18" s="175" t="str">
        <f>IFERROR(SUM(SUMIFS('caseload data'!N:N,'caseload data'!$C:$C,'community %'!$B$15,'caseload data'!$D:$D,"PSO",'caseload data'!$B:$B,{"licence","community"}))/SUM(SUMIFS('caseload data'!N:N,'caseload data'!$B:$B,{"licence","community"},'caseload data'!$C:$C,'community %'!$B$15)),"")</f>
        <v/>
      </c>
      <c r="M18" s="175" t="str">
        <f>IFERROR(SUM(SUMIFS('caseload data'!O:O,'caseload data'!$C:$C,'community %'!$B$15,'caseload data'!$D:$D,"PSO",'caseload data'!$B:$B,{"licence","community"}))/SUM(SUMIFS('caseload data'!O:O,'caseload data'!$B:$B,{"licence","community"},'caseload data'!$C:$C,'community %'!$B$15)),"")</f>
        <v/>
      </c>
      <c r="N18" s="175" t="str">
        <f>IFERROR(SUM(SUMIFS('caseload data'!P:P,'caseload data'!$C:$C,'community %'!$B$15,'caseload data'!$D:$D,"PSO",'caseload data'!$B:$B,{"licence","community"}))/SUM(SUMIFS('caseload data'!P:P,'caseload data'!$B:$B,{"licence","community"},'caseload data'!$C:$C,'community %'!$B$15)),"")</f>
        <v/>
      </c>
      <c r="O18" s="175" t="str">
        <f>IFERROR(SUM(SUMIFS('caseload data'!Q:Q,'caseload data'!$C:$C,'community %'!$B$15,'caseload data'!$D:$D,"PSO",'caseload data'!$B:$B,{"licence","community"}))/SUM(SUMIFS('caseload data'!Q:Q,'caseload data'!$B:$B,{"licence","community"},'caseload data'!$C:$C,'community %'!$B$15)),"")</f>
        <v/>
      </c>
      <c r="P18" s="175" t="str">
        <f>IFERROR(SUM(SUMIFS('caseload data'!R:R,'caseload data'!$C:$C,'community %'!$B$15,'caseload data'!$D:$D,"PSO",'caseload data'!$B:$B,{"licence","community"}))/SUM(SUMIFS('caseload data'!R:R,'caseload data'!$B:$B,{"licence","community"},'caseload data'!$C:$C,'community %'!$B$15)),"")</f>
        <v/>
      </c>
      <c r="Q18" s="175" t="str">
        <f>IFERROR(SUM(SUMIFS('caseload data'!S:S,'caseload data'!$C:$C,'community %'!$B$15,'caseload data'!$D:$D,"PSO",'caseload data'!$B:$B,{"licence","community"}))/SUM(SUMIFS('caseload data'!S:S,'caseload data'!$B:$B,{"licence","community"},'caseload data'!$C:$C,'community %'!$B$15)),"")</f>
        <v/>
      </c>
      <c r="R18" s="175" t="str">
        <f>IFERROR(SUM(SUMIFS('caseload data'!T:T,'caseload data'!$C:$C,'community %'!$B$15,'caseload data'!$D:$D,"PSO",'caseload data'!$B:$B,{"licence","community"}))/SUM(SUMIFS('caseload data'!T:T,'caseload data'!$B:$B,{"licence","community"},'caseload data'!$C:$C,'community %'!$B$15)),"")</f>
        <v/>
      </c>
      <c r="S18" s="68"/>
      <c r="T18" s="101" t="s">
        <v>1172</v>
      </c>
      <c r="U18" s="175" t="str">
        <f>IFERROR(SUM(SUMIFS('caseload data'!E:E,'caseload data'!$C:$C,'community %'!$T$15,'caseload data'!$D:$D,"PSO",'caseload data'!$B:$B,{"licence","community"}))/SUM(SUMIFS('caseload data'!E:E,'caseload data'!$B:$B,{"licence","community"},'caseload data'!$C:$C,'community %'!$T$15)),"")</f>
        <v/>
      </c>
      <c r="V18" s="175" t="str">
        <f>IFERROR(SUM(SUMIFS('caseload data'!F:F,'caseload data'!$C:$C,'community %'!$T$15,'caseload data'!$D:$D,"PSO",'caseload data'!$B:$B,{"licence","community"}))/SUM(SUMIFS('caseload data'!F:F,'caseload data'!$B:$B,{"licence","community"},'caseload data'!$C:$C,'community %'!$T$15)),"")</f>
        <v/>
      </c>
      <c r="W18" s="175" t="str">
        <f>IFERROR(SUM(SUMIFS('caseload data'!G:G,'caseload data'!$C:$C,'community %'!$T$15,'caseload data'!$D:$D,"PSO",'caseload data'!$B:$B,{"licence","community"}))/SUM(SUMIFS('caseload data'!G:G,'caseload data'!$B:$B,{"licence","community"},'caseload data'!$C:$C,'community %'!$T$15)),"")</f>
        <v/>
      </c>
      <c r="X18" s="175" t="str">
        <f>IFERROR(SUM(SUMIFS('caseload data'!H:H,'caseload data'!$C:$C,'community %'!$T$15,'caseload data'!$D:$D,"PSO",'caseload data'!$B:$B,{"licence","community"}))/SUM(SUMIFS('caseload data'!H:H,'caseload data'!$B:$B,{"licence","community"},'caseload data'!$C:$C,'community %'!$T$15)),"")</f>
        <v/>
      </c>
      <c r="Y18" s="175" t="str">
        <f>IFERROR(SUM(SUMIFS('caseload data'!I:I,'caseload data'!$C:$C,'community %'!$T$15,'caseload data'!$D:$D,"PSO",'caseload data'!$B:$B,{"licence","community"}))/SUM(SUMIFS('caseload data'!I:I,'caseload data'!$B:$B,{"licence","community"},'caseload data'!$C:$C,'community %'!$T$15)),"")</f>
        <v/>
      </c>
      <c r="Z18" s="175" t="str">
        <f>IFERROR(SUM(SUMIFS('caseload data'!J:J,'caseload data'!$C:$C,'community %'!$T$15,'caseload data'!$D:$D,"PSO",'caseload data'!$B:$B,{"licence","community"}))/SUM(SUMIFS('caseload data'!J:J,'caseload data'!$B:$B,{"licence","community"},'caseload data'!$C:$C,'community %'!$T$15)),"")</f>
        <v/>
      </c>
      <c r="AA18" s="175" t="str">
        <f>IFERROR(SUM(SUMIFS('caseload data'!K:K,'caseload data'!$C:$C,'community %'!$T$15,'caseload data'!$D:$D,"PSO",'caseload data'!$B:$B,{"licence","community"}))/SUM(SUMIFS('caseload data'!K:K,'caseload data'!$B:$B,{"licence","community"},'caseload data'!$C:$C,'community %'!$T$15)),"")</f>
        <v/>
      </c>
      <c r="AB18" s="175" t="str">
        <f>IFERROR(SUM(SUMIFS('caseload data'!L:L,'caseload data'!$C:$C,'community %'!$T$15,'caseload data'!$D:$D,"PSO",'caseload data'!$B:$B,{"licence","community"}))/SUM(SUMIFS('caseload data'!L:L,'caseload data'!$B:$B,{"licence","community"},'caseload data'!$C:$C,'community %'!$T$15)),"")</f>
        <v/>
      </c>
      <c r="AC18" s="175" t="str">
        <f>IFERROR(SUM(SUMIFS('caseload data'!M:M,'caseload data'!$C:$C,'community %'!$T$15,'caseload data'!$D:$D,"PSO",'caseload data'!$B:$B,{"licence","community"}))/SUM(SUMIFS('caseload data'!M:M,'caseload data'!$B:$B,{"licence","community"},'caseload data'!$C:$C,'community %'!$T$15)),"")</f>
        <v/>
      </c>
      <c r="AD18" s="175" t="str">
        <f>IFERROR(SUM(SUMIFS('caseload data'!N:N,'caseload data'!$C:$C,'community %'!$T$15,'caseload data'!$D:$D,"PSO",'caseload data'!$B:$B,{"licence","community"}))/SUM(SUMIFS('caseload data'!N:N,'caseload data'!$B:$B,{"licence","community"},'caseload data'!$C:$C,'community %'!$T$15)),"")</f>
        <v/>
      </c>
      <c r="AE18" s="175" t="str">
        <f>IFERROR(SUM(SUMIFS('caseload data'!O:O,'caseload data'!$C:$C,'community %'!$T$15,'caseload data'!$D:$D,"PSO",'caseload data'!$B:$B,{"licence","community"}))/SUM(SUMIFS('caseload data'!O:O,'caseload data'!$B:$B,{"licence","community"},'caseload data'!$C:$C,'community %'!$T$15)),"")</f>
        <v/>
      </c>
      <c r="AF18" s="175" t="str">
        <f>IFERROR(SUM(SUMIFS('caseload data'!P:P,'caseload data'!$C:$C,'community %'!$T$15,'caseload data'!$D:$D,"PSO",'caseload data'!$B:$B,{"licence","community"}))/SUM(SUMIFS('caseload data'!P:P,'caseload data'!$B:$B,{"licence","community"},'caseload data'!$C:$C,'community %'!$T$15)),"")</f>
        <v/>
      </c>
      <c r="AG18" s="175" t="str">
        <f>IFERROR(SUM(SUMIFS('caseload data'!Q:Q,'caseload data'!$C:$C,'community %'!$T$15,'caseload data'!$D:$D,"PSO",'caseload data'!$B:$B,{"licence","community"}))/SUM(SUMIFS('caseload data'!Q:Q,'caseload data'!$B:$B,{"licence","community"},'caseload data'!$C:$C,'community %'!$T$15)),"")</f>
        <v/>
      </c>
      <c r="AH18" s="175" t="str">
        <f>IFERROR(SUM(SUMIFS('caseload data'!R:R,'caseload data'!$C:$C,'community %'!$T$15,'caseload data'!$D:$D,"PSO",'caseload data'!$B:$B,{"licence","community"}))/SUM(SUMIFS('caseload data'!R:R,'caseload data'!$B:$B,{"licence","community"},'caseload data'!$C:$C,'community %'!$T$15)),"")</f>
        <v/>
      </c>
      <c r="AI18" s="175" t="str">
        <f>IFERROR(SUM(SUMIFS('caseload data'!S:S,'caseload data'!$C:$C,'community %'!$T$15,'caseload data'!$D:$D,"PSO",'caseload data'!$B:$B,{"licence","community"}))/SUM(SUMIFS('caseload data'!S:S,'caseload data'!$B:$B,{"licence","community"},'caseload data'!$C:$C,'community %'!$T$15)),"")</f>
        <v/>
      </c>
      <c r="AJ18" s="175" t="str">
        <f>IFERROR(SUM(SUMIFS('caseload data'!T:T,'caseload data'!$C:$C,'community %'!$T$15,'caseload data'!$D:$D,"PSO",'caseload data'!$B:$B,{"licence","community"}))/SUM(SUMIFS('caseload data'!T:T,'caseload data'!$B:$B,{"licence","community"},'caseload data'!$C:$C,'community %'!$T$15)),"")</f>
        <v/>
      </c>
    </row>
    <row r="19" spans="2:36" x14ac:dyDescent="0.15">
      <c r="B19" s="101" t="s">
        <v>1173</v>
      </c>
      <c r="C19" s="175" t="str">
        <f>IFERROR(SUM(SUMIFS('caseload data'!E:E,'caseload data'!$C:$C,'community %'!$B$15,'caseload data'!$D:$D,"TPO",'caseload data'!$B:$B,{"licence","community"}))/SUM(SUMIFS('caseload data'!E:E,'caseload data'!$B:$B,{"licence","community"},'caseload data'!$C:$C,'community %'!$B$15)),"")</f>
        <v/>
      </c>
      <c r="D19" s="175" t="str">
        <f>IFERROR(SUM(SUMIFS('caseload data'!F:F,'caseload data'!$C:$C,'community %'!$B$15,'caseload data'!$D:$D,"TPO",'caseload data'!$B:$B,{"licence","community"}))/SUM(SUMIFS('caseload data'!F:F,'caseload data'!$B:$B,{"licence","community"},'caseload data'!$C:$C,'community %'!$B$15)),"")</f>
        <v/>
      </c>
      <c r="E19" s="175" t="str">
        <f>IFERROR(SUM(SUMIFS('caseload data'!G:G,'caseload data'!$C:$C,'community %'!$B$15,'caseload data'!$D:$D,"TPO",'caseload data'!$B:$B,{"licence","community"}))/SUM(SUMIFS('caseload data'!G:G,'caseload data'!$B:$B,{"licence","community"},'caseload data'!$C:$C,'community %'!$B$15)),"")</f>
        <v/>
      </c>
      <c r="F19" s="175" t="str">
        <f>IFERROR(SUM(SUMIFS('caseload data'!H:H,'caseload data'!$C:$C,'community %'!$B$15,'caseload data'!$D:$D,"TPO",'caseload data'!$B:$B,{"licence","community"}))/SUM(SUMIFS('caseload data'!H:H,'caseload data'!$B:$B,{"licence","community"},'caseload data'!$C:$C,'community %'!$B$15)),"")</f>
        <v/>
      </c>
      <c r="G19" s="175" t="str">
        <f>IFERROR(SUM(SUMIFS('caseload data'!I:I,'caseload data'!$C:$C,'community %'!$B$15,'caseload data'!$D:$D,"TPO",'caseload data'!$B:$B,{"licence","community"}))/SUM(SUMIFS('caseload data'!I:I,'caseload data'!$B:$B,{"licence","community"},'caseload data'!$C:$C,'community %'!$B$15)),"")</f>
        <v/>
      </c>
      <c r="H19" s="175" t="str">
        <f>IFERROR(SUM(SUMIFS('caseload data'!J:J,'caseload data'!$C:$C,'community %'!$B$15,'caseload data'!$D:$D,"TPO",'caseload data'!$B:$B,{"licence","community"}))/SUM(SUMIFS('caseload data'!J:J,'caseload data'!$B:$B,{"licence","community"},'caseload data'!$C:$C,'community %'!$B$15)),"")</f>
        <v/>
      </c>
      <c r="I19" s="175" t="str">
        <f>IFERROR(SUM(SUMIFS('caseload data'!K:K,'caseload data'!$C:$C,'community %'!$B$15,'caseload data'!$D:$D,"TPO",'caseload data'!$B:$B,{"licence","community"}))/SUM(SUMIFS('caseload data'!K:K,'caseload data'!$B:$B,{"licence","community"},'caseload data'!$C:$C,'community %'!$B$15)),"")</f>
        <v/>
      </c>
      <c r="J19" s="175" t="str">
        <f>IFERROR(SUM(SUMIFS('caseload data'!L:L,'caseload data'!$C:$C,'community %'!$B$15,'caseload data'!$D:$D,"TPO",'caseload data'!$B:$B,{"licence","community"}))/SUM(SUMIFS('caseload data'!L:L,'caseload data'!$B:$B,{"licence","community"},'caseload data'!$C:$C,'community %'!$B$15)),"")</f>
        <v/>
      </c>
      <c r="K19" s="175" t="str">
        <f>IFERROR(SUM(SUMIFS('caseload data'!M:M,'caseload data'!$C:$C,'community %'!$B$15,'caseload data'!$D:$D,"TPO",'caseload data'!$B:$B,{"licence","community"}))/SUM(SUMIFS('caseload data'!M:M,'caseload data'!$B:$B,{"licence","community"},'caseload data'!$C:$C,'community %'!$B$15)),"")</f>
        <v/>
      </c>
      <c r="L19" s="175" t="str">
        <f>IFERROR(SUM(SUMIFS('caseload data'!N:N,'caseload data'!$C:$C,'community %'!$B$15,'caseload data'!$D:$D,"TPO",'caseload data'!$B:$B,{"licence","community"}))/SUM(SUMIFS('caseload data'!N:N,'caseload data'!$B:$B,{"licence","community"},'caseload data'!$C:$C,'community %'!$B$15)),"")</f>
        <v/>
      </c>
      <c r="M19" s="175" t="str">
        <f>IFERROR(SUM(SUMIFS('caseload data'!O:O,'caseload data'!$C:$C,'community %'!$B$15,'caseload data'!$D:$D,"TPO",'caseload data'!$B:$B,{"licence","community"}))/SUM(SUMIFS('caseload data'!O:O,'caseload data'!$B:$B,{"licence","community"},'caseload data'!$C:$C,'community %'!$B$15)),"")</f>
        <v/>
      </c>
      <c r="N19" s="175" t="str">
        <f>IFERROR(SUM(SUMIFS('caseload data'!P:P,'caseload data'!$C:$C,'community %'!$B$15,'caseload data'!$D:$D,"TPO",'caseload data'!$B:$B,{"licence","community"}))/SUM(SUMIFS('caseload data'!P:P,'caseload data'!$B:$B,{"licence","community"},'caseload data'!$C:$C,'community %'!$B$15)),"")</f>
        <v/>
      </c>
      <c r="O19" s="175" t="str">
        <f>IFERROR(SUM(SUMIFS('caseload data'!Q:Q,'caseload data'!$C:$C,'community %'!$B$15,'caseload data'!$D:$D,"TPO",'caseload data'!$B:$B,{"licence","community"}))/SUM(SUMIFS('caseload data'!Q:Q,'caseload data'!$B:$B,{"licence","community"},'caseload data'!$C:$C,'community %'!$B$15)),"")</f>
        <v/>
      </c>
      <c r="P19" s="175" t="str">
        <f>IFERROR(SUM(SUMIFS('caseload data'!R:R,'caseload data'!$C:$C,'community %'!$B$15,'caseload data'!$D:$D,"TPO",'caseload data'!$B:$B,{"licence","community"}))/SUM(SUMIFS('caseload data'!R:R,'caseload data'!$B:$B,{"licence","community"},'caseload data'!$C:$C,'community %'!$B$15)),"")</f>
        <v/>
      </c>
      <c r="Q19" s="175" t="str">
        <f>IFERROR(SUM(SUMIFS('caseload data'!S:S,'caseload data'!$C:$C,'community %'!$B$15,'caseload data'!$D:$D,"TPO",'caseload data'!$B:$B,{"licence","community"}))/SUM(SUMIFS('caseload data'!S:S,'caseload data'!$B:$B,{"licence","community"},'caseload data'!$C:$C,'community %'!$B$15)),"")</f>
        <v/>
      </c>
      <c r="R19" s="175" t="str">
        <f>IFERROR(SUM(SUMIFS('caseload data'!T:T,'caseload data'!$C:$C,'community %'!$B$15,'caseload data'!$D:$D,"TPO",'caseload data'!$B:$B,{"licence","community"}))/SUM(SUMIFS('caseload data'!T:T,'caseload data'!$B:$B,{"licence","community"},'caseload data'!$C:$C,'community %'!$B$15)),"")</f>
        <v/>
      </c>
      <c r="S19" s="68"/>
      <c r="T19" s="101" t="s">
        <v>1173</v>
      </c>
      <c r="U19" s="175" t="str">
        <f>IFERROR(SUM(SUMIFS('caseload data'!E:E,'caseload data'!$C:$C,'community %'!$T$15,'caseload data'!$D:$D,"TPO",'caseload data'!$B:$B,{"licence","community"}))/SUM(SUMIFS('caseload data'!E:E,'caseload data'!$B:$B,{"licence","community"},'caseload data'!$C:$C,'community %'!$T$15)),"")</f>
        <v/>
      </c>
      <c r="V19" s="175" t="str">
        <f>IFERROR(SUM(SUMIFS('caseload data'!F:F,'caseload data'!$C:$C,'community %'!$T$15,'caseload data'!$D:$D,"TPO",'caseload data'!$B:$B,{"licence","community"}))/SUM(SUMIFS('caseload data'!F:F,'caseload data'!$B:$B,{"licence","community"},'caseload data'!$C:$C,'community %'!$T$15)),"")</f>
        <v/>
      </c>
      <c r="W19" s="175" t="str">
        <f>IFERROR(SUM(SUMIFS('caseload data'!G:G,'caseload data'!$C:$C,'community %'!$T$15,'caseload data'!$D:$D,"TPO",'caseload data'!$B:$B,{"licence","community"}))/SUM(SUMIFS('caseload data'!G:G,'caseload data'!$B:$B,{"licence","community"},'caseload data'!$C:$C,'community %'!$T$15)),"")</f>
        <v/>
      </c>
      <c r="X19" s="175" t="str">
        <f>IFERROR(SUM(SUMIFS('caseload data'!H:H,'caseload data'!$C:$C,'community %'!$T$15,'caseload data'!$D:$D,"TPO",'caseload data'!$B:$B,{"licence","community"}))/SUM(SUMIFS('caseload data'!H:H,'caseload data'!$B:$B,{"licence","community"},'caseload data'!$C:$C,'community %'!$T$15)),"")</f>
        <v/>
      </c>
      <c r="Y19" s="175" t="str">
        <f>IFERROR(SUM(SUMIFS('caseload data'!I:I,'caseload data'!$C:$C,'community %'!$T$15,'caseload data'!$D:$D,"TPO",'caseload data'!$B:$B,{"licence","community"}))/SUM(SUMIFS('caseload data'!I:I,'caseload data'!$B:$B,{"licence","community"},'caseload data'!$C:$C,'community %'!$T$15)),"")</f>
        <v/>
      </c>
      <c r="Z19" s="175" t="str">
        <f>IFERROR(SUM(SUMIFS('caseload data'!J:J,'caseload data'!$C:$C,'community %'!$T$15,'caseload data'!$D:$D,"TPO",'caseload data'!$B:$B,{"licence","community"}))/SUM(SUMIFS('caseload data'!J:J,'caseload data'!$B:$B,{"licence","community"},'caseload data'!$C:$C,'community %'!$T$15)),"")</f>
        <v/>
      </c>
      <c r="AA19" s="175" t="str">
        <f>IFERROR(SUM(SUMIFS('caseload data'!K:K,'caseload data'!$C:$C,'community %'!$T$15,'caseload data'!$D:$D,"TPO",'caseload data'!$B:$B,{"licence","community"}))/SUM(SUMIFS('caseload data'!K:K,'caseload data'!$B:$B,{"licence","community"},'caseload data'!$C:$C,'community %'!$T$15)),"")</f>
        <v/>
      </c>
      <c r="AB19" s="175" t="str">
        <f>IFERROR(SUM(SUMIFS('caseload data'!L:L,'caseload data'!$C:$C,'community %'!$T$15,'caseload data'!$D:$D,"TPO",'caseload data'!$B:$B,{"licence","community"}))/SUM(SUMIFS('caseload data'!L:L,'caseload data'!$B:$B,{"licence","community"},'caseload data'!$C:$C,'community %'!$T$15)),"")</f>
        <v/>
      </c>
      <c r="AC19" s="175" t="str">
        <f>IFERROR(SUM(SUMIFS('caseload data'!M:M,'caseload data'!$C:$C,'community %'!$T$15,'caseload data'!$D:$D,"TPO",'caseload data'!$B:$B,{"licence","community"}))/SUM(SUMIFS('caseload data'!M:M,'caseload data'!$B:$B,{"licence","community"},'caseload data'!$C:$C,'community %'!$T$15)),"")</f>
        <v/>
      </c>
      <c r="AD19" s="175" t="str">
        <f>IFERROR(SUM(SUMIFS('caseload data'!N:N,'caseload data'!$C:$C,'community %'!$T$15,'caseload data'!$D:$D,"TPO",'caseload data'!$B:$B,{"licence","community"}))/SUM(SUMIFS('caseload data'!N:N,'caseload data'!$B:$B,{"licence","community"},'caseload data'!$C:$C,'community %'!$T$15)),"")</f>
        <v/>
      </c>
      <c r="AE19" s="175" t="str">
        <f>IFERROR(SUM(SUMIFS('caseload data'!O:O,'caseload data'!$C:$C,'community %'!$T$15,'caseload data'!$D:$D,"TPO",'caseload data'!$B:$B,{"licence","community"}))/SUM(SUMIFS('caseload data'!O:O,'caseload data'!$B:$B,{"licence","community"},'caseload data'!$C:$C,'community %'!$T$15)),"")</f>
        <v/>
      </c>
      <c r="AF19" s="175" t="str">
        <f>IFERROR(SUM(SUMIFS('caseload data'!P:P,'caseload data'!$C:$C,'community %'!$T$15,'caseload data'!$D:$D,"TPO",'caseload data'!$B:$B,{"licence","community"}))/SUM(SUMIFS('caseload data'!P:P,'caseload data'!$B:$B,{"licence","community"},'caseload data'!$C:$C,'community %'!$T$15)),"")</f>
        <v/>
      </c>
      <c r="AG19" s="175" t="str">
        <f>IFERROR(SUM(SUMIFS('caseload data'!Q:Q,'caseload data'!$C:$C,'community %'!$T$15,'caseload data'!$D:$D,"TPO",'caseload data'!$B:$B,{"licence","community"}))/SUM(SUMIFS('caseload data'!Q:Q,'caseload data'!$B:$B,{"licence","community"},'caseload data'!$C:$C,'community %'!$T$15)),"")</f>
        <v/>
      </c>
      <c r="AH19" s="175" t="str">
        <f>IFERROR(SUM(SUMIFS('caseload data'!R:R,'caseload data'!$C:$C,'community %'!$T$15,'caseload data'!$D:$D,"TPO",'caseload data'!$B:$B,{"licence","community"}))/SUM(SUMIFS('caseload data'!R:R,'caseload data'!$B:$B,{"licence","community"},'caseload data'!$C:$C,'community %'!$T$15)),"")</f>
        <v/>
      </c>
      <c r="AI19" s="175" t="str">
        <f>IFERROR(SUM(SUMIFS('caseload data'!S:S,'caseload data'!$C:$C,'community %'!$T$15,'caseload data'!$D:$D,"TPO",'caseload data'!$B:$B,{"licence","community"}))/SUM(SUMIFS('caseload data'!S:S,'caseload data'!$B:$B,{"licence","community"},'caseload data'!$C:$C,'community %'!$T$15)),"")</f>
        <v/>
      </c>
      <c r="AJ19" s="175" t="str">
        <f>IFERROR(SUM(SUMIFS('caseload data'!T:T,'caseload data'!$C:$C,'community %'!$T$15,'caseload data'!$D:$D,"TPO",'caseload data'!$B:$B,{"licence","community"}))/SUM(SUMIFS('caseload data'!T:T,'caseload data'!$B:$B,{"licence","community"},'caseload data'!$C:$C,'community %'!$T$15)),"")</f>
        <v/>
      </c>
    </row>
    <row r="20" spans="2:36" x14ac:dyDescent="0.15">
      <c r="B20" s="102" t="s">
        <v>1174</v>
      </c>
      <c r="C20" s="175" t="str">
        <f>IFERROR(SUM(SUMIFS('caseload data'!E:E,'caseload data'!$C:$C,'community %'!$B$15,'caseload data'!$D:$D,"SPO",'caseload data'!$B:$B,{"licence","community"}))/SUM(SUMIFS('caseload data'!E:E,'caseload data'!$B:$B,{"licence","community"},'caseload data'!$C:$C,'community %'!$B$15)),"")</f>
        <v/>
      </c>
      <c r="D20" s="175" t="str">
        <f>IFERROR(SUM(SUMIFS('caseload data'!F:F,'caseload data'!$C:$C,'community %'!$B$15,'caseload data'!$D:$D,"SPO",'caseload data'!$B:$B,{"licence","community"}))/SUM(SUMIFS('caseload data'!F:F,'caseload data'!$B:$B,{"licence","community"},'caseload data'!$C:$C,'community %'!$B$15)),"")</f>
        <v/>
      </c>
      <c r="E20" s="175" t="str">
        <f>IFERROR(SUM(SUMIFS('caseload data'!G:G,'caseload data'!$C:$C,'community %'!$B$15,'caseload data'!$D:$D,"SPO",'caseload data'!$B:$B,{"licence","community"}))/SUM(SUMIFS('caseload data'!G:G,'caseload data'!$B:$B,{"licence","community"},'caseload data'!$C:$C,'community %'!$B$15)),"")</f>
        <v/>
      </c>
      <c r="F20" s="175" t="str">
        <f>IFERROR(SUM(SUMIFS('caseload data'!H:H,'caseload data'!$C:$C,'community %'!$B$15,'caseload data'!$D:$D,"SPO",'caseload data'!$B:$B,{"licence","community"}))/SUM(SUMIFS('caseload data'!H:H,'caseload data'!$B:$B,{"licence","community"},'caseload data'!$C:$C,'community %'!$B$15)),"")</f>
        <v/>
      </c>
      <c r="G20" s="175" t="str">
        <f>IFERROR(SUM(SUMIFS('caseload data'!I:I,'caseload data'!$C:$C,'community %'!$B$15,'caseload data'!$D:$D,"SPO",'caseload data'!$B:$B,{"licence","community"}))/SUM(SUMIFS('caseload data'!I:I,'caseload data'!$B:$B,{"licence","community"},'caseload data'!$C:$C,'community %'!$B$15)),"")</f>
        <v/>
      </c>
      <c r="H20" s="175" t="str">
        <f>IFERROR(SUM(SUMIFS('caseload data'!J:J,'caseload data'!$C:$C,'community %'!$B$15,'caseload data'!$D:$D,"SPO",'caseload data'!$B:$B,{"licence","community"}))/SUM(SUMIFS('caseload data'!J:J,'caseload data'!$B:$B,{"licence","community"},'caseload data'!$C:$C,'community %'!$B$15)),"")</f>
        <v/>
      </c>
      <c r="I20" s="175" t="str">
        <f>IFERROR(SUM(SUMIFS('caseload data'!K:K,'caseload data'!$C:$C,'community %'!$B$15,'caseload data'!$D:$D,"SPO",'caseload data'!$B:$B,{"licence","community"}))/SUM(SUMIFS('caseload data'!K:K,'caseload data'!$B:$B,{"licence","community"},'caseload data'!$C:$C,'community %'!$B$15)),"")</f>
        <v/>
      </c>
      <c r="J20" s="175" t="str">
        <f>IFERROR(SUM(SUMIFS('caseload data'!L:L,'caseload data'!$C:$C,'community %'!$B$15,'caseload data'!$D:$D,"SPO",'caseload data'!$B:$B,{"licence","community"}))/SUM(SUMIFS('caseload data'!L:L,'caseload data'!$B:$B,{"licence","community"},'caseload data'!$C:$C,'community %'!$B$15)),"")</f>
        <v/>
      </c>
      <c r="K20" s="175" t="str">
        <f>IFERROR(SUM(SUMIFS('caseload data'!M:M,'caseload data'!$C:$C,'community %'!$B$15,'caseload data'!$D:$D,"SPO",'caseload data'!$B:$B,{"licence","community"}))/SUM(SUMIFS('caseload data'!M:M,'caseload data'!$B:$B,{"licence","community"},'caseload data'!$C:$C,'community %'!$B$15)),"")</f>
        <v/>
      </c>
      <c r="L20" s="175" t="str">
        <f>IFERROR(SUM(SUMIFS('caseload data'!N:N,'caseload data'!$C:$C,'community %'!$B$15,'caseload data'!$D:$D,"SPO",'caseload data'!$B:$B,{"licence","community"}))/SUM(SUMIFS('caseload data'!N:N,'caseload data'!$B:$B,{"licence","community"},'caseload data'!$C:$C,'community %'!$B$15)),"")</f>
        <v/>
      </c>
      <c r="M20" s="175" t="str">
        <f>IFERROR(SUM(SUMIFS('caseload data'!O:O,'caseload data'!$C:$C,'community %'!$B$15,'caseload data'!$D:$D,"SPO",'caseload data'!$B:$B,{"licence","community"}))/SUM(SUMIFS('caseload data'!O:O,'caseload data'!$B:$B,{"licence","community"},'caseload data'!$C:$C,'community %'!$B$15)),"")</f>
        <v/>
      </c>
      <c r="N20" s="175" t="str">
        <f>IFERROR(SUM(SUMIFS('caseload data'!P:P,'caseload data'!$C:$C,'community %'!$B$15,'caseload data'!$D:$D,"SPO",'caseload data'!$B:$B,{"licence","community"}))/SUM(SUMIFS('caseload data'!P:P,'caseload data'!$B:$B,{"licence","community"},'caseload data'!$C:$C,'community %'!$B$15)),"")</f>
        <v/>
      </c>
      <c r="O20" s="175" t="str">
        <f>IFERROR(SUM(SUMIFS('caseload data'!Q:Q,'caseload data'!$C:$C,'community %'!$B$15,'caseload data'!$D:$D,"SPO",'caseload data'!$B:$B,{"licence","community"}))/SUM(SUMIFS('caseload data'!Q:Q,'caseload data'!$B:$B,{"licence","community"},'caseload data'!$C:$C,'community %'!$B$15)),"")</f>
        <v/>
      </c>
      <c r="P20" s="175" t="str">
        <f>IFERROR(SUM(SUMIFS('caseload data'!R:R,'caseload data'!$C:$C,'community %'!$B$15,'caseload data'!$D:$D,"SPO",'caseload data'!$B:$B,{"licence","community"}))/SUM(SUMIFS('caseload data'!R:R,'caseload data'!$B:$B,{"licence","community"},'caseload data'!$C:$C,'community %'!$B$15)),"")</f>
        <v/>
      </c>
      <c r="Q20" s="175" t="str">
        <f>IFERROR(SUM(SUMIFS('caseload data'!S:S,'caseload data'!$C:$C,'community %'!$B$15,'caseload data'!$D:$D,"SPO",'caseload data'!$B:$B,{"licence","community"}))/SUM(SUMIFS('caseload data'!S:S,'caseload data'!$B:$B,{"licence","community"},'caseload data'!$C:$C,'community %'!$B$15)),"")</f>
        <v/>
      </c>
      <c r="R20" s="175" t="str">
        <f>IFERROR(SUM(SUMIFS('caseload data'!T:T,'caseload data'!$C:$C,'community %'!$B$15,'caseload data'!$D:$D,"SPO",'caseload data'!$B:$B,{"licence","community"}))/SUM(SUMIFS('caseload data'!T:T,'caseload data'!$B:$B,{"licence","community"},'caseload data'!$C:$C,'community %'!$B$15)),"")</f>
        <v/>
      </c>
      <c r="S20" s="68"/>
      <c r="T20" s="102" t="s">
        <v>1174</v>
      </c>
      <c r="U20" s="175" t="str">
        <f>IFERROR(SUM(SUMIFS('caseload data'!E:E,'caseload data'!$C:$C,'community %'!$T$15,'caseload data'!$D:$D,"SPO",'caseload data'!$B:$B,{"licence","community"}))/SUM(SUMIFS('caseload data'!E:E,'caseload data'!$B:$B,{"licence","community"},'caseload data'!$C:$C,'community %'!$T$15)),"")</f>
        <v/>
      </c>
      <c r="V20" s="175" t="str">
        <f>IFERROR(SUM(SUMIFS('caseload data'!F:F,'caseload data'!$C:$C,'community %'!$T$15,'caseload data'!$D:$D,"SPO",'caseload data'!$B:$B,{"licence","community"}))/SUM(SUMIFS('caseload data'!F:F,'caseload data'!$B:$B,{"licence","community"},'caseload data'!$C:$C,'community %'!$T$15)),"")</f>
        <v/>
      </c>
      <c r="W20" s="175" t="str">
        <f>IFERROR(SUM(SUMIFS('caseload data'!G:G,'caseload data'!$C:$C,'community %'!$T$15,'caseload data'!$D:$D,"SPO",'caseload data'!$B:$B,{"licence","community"}))/SUM(SUMIFS('caseload data'!G:G,'caseload data'!$B:$B,{"licence","community"},'caseload data'!$C:$C,'community %'!$T$15)),"")</f>
        <v/>
      </c>
      <c r="X20" s="175" t="str">
        <f>IFERROR(SUM(SUMIFS('caseload data'!H:H,'caseload data'!$C:$C,'community %'!$T$15,'caseload data'!$D:$D,"SPO",'caseload data'!$B:$B,{"licence","community"}))/SUM(SUMIFS('caseload data'!H:H,'caseload data'!$B:$B,{"licence","community"},'caseload data'!$C:$C,'community %'!$T$15)),"")</f>
        <v/>
      </c>
      <c r="Y20" s="175" t="str">
        <f>IFERROR(SUM(SUMIFS('caseload data'!I:I,'caseload data'!$C:$C,'community %'!$T$15,'caseload data'!$D:$D,"SPO",'caseload data'!$B:$B,{"licence","community"}))/SUM(SUMIFS('caseload data'!I:I,'caseload data'!$B:$B,{"licence","community"},'caseload data'!$C:$C,'community %'!$T$15)),"")</f>
        <v/>
      </c>
      <c r="Z20" s="175" t="str">
        <f>IFERROR(SUM(SUMIFS('caseload data'!J:J,'caseload data'!$C:$C,'community %'!$T$15,'caseload data'!$D:$D,"SPO",'caseload data'!$B:$B,{"licence","community"}))/SUM(SUMIFS('caseload data'!J:J,'caseload data'!$B:$B,{"licence","community"},'caseload data'!$C:$C,'community %'!$T$15)),"")</f>
        <v/>
      </c>
      <c r="AA20" s="175" t="str">
        <f>IFERROR(SUM(SUMIFS('caseload data'!K:K,'caseload data'!$C:$C,'community %'!$T$15,'caseload data'!$D:$D,"SPO",'caseload data'!$B:$B,{"licence","community"}))/SUM(SUMIFS('caseload data'!K:K,'caseload data'!$B:$B,{"licence","community"},'caseload data'!$C:$C,'community %'!$T$15)),"")</f>
        <v/>
      </c>
      <c r="AB20" s="175" t="str">
        <f>IFERROR(SUM(SUMIFS('caseload data'!L:L,'caseload data'!$C:$C,'community %'!$T$15,'caseload data'!$D:$D,"SPO",'caseload data'!$B:$B,{"licence","community"}))/SUM(SUMIFS('caseload data'!L:L,'caseload data'!$B:$B,{"licence","community"},'caseload data'!$C:$C,'community %'!$T$15)),"")</f>
        <v/>
      </c>
      <c r="AC20" s="175" t="str">
        <f>IFERROR(SUM(SUMIFS('caseload data'!M:M,'caseload data'!$C:$C,'community %'!$T$15,'caseload data'!$D:$D,"SPO",'caseload data'!$B:$B,{"licence","community"}))/SUM(SUMIFS('caseload data'!M:M,'caseload data'!$B:$B,{"licence","community"},'caseload data'!$C:$C,'community %'!$T$15)),"")</f>
        <v/>
      </c>
      <c r="AD20" s="175" t="str">
        <f>IFERROR(SUM(SUMIFS('caseload data'!N:N,'caseload data'!$C:$C,'community %'!$T$15,'caseload data'!$D:$D,"SPO",'caseload data'!$B:$B,{"licence","community"}))/SUM(SUMIFS('caseload data'!N:N,'caseload data'!$B:$B,{"licence","community"},'caseload data'!$C:$C,'community %'!$T$15)),"")</f>
        <v/>
      </c>
      <c r="AE20" s="175" t="str">
        <f>IFERROR(SUM(SUMIFS('caseload data'!O:O,'caseload data'!$C:$C,'community %'!$T$15,'caseload data'!$D:$D,"SPO",'caseload data'!$B:$B,{"licence","community"}))/SUM(SUMIFS('caseload data'!O:O,'caseload data'!$B:$B,{"licence","community"},'caseload data'!$C:$C,'community %'!$T$15)),"")</f>
        <v/>
      </c>
      <c r="AF20" s="175" t="str">
        <f>IFERROR(SUM(SUMIFS('caseload data'!P:P,'caseload data'!$C:$C,'community %'!$T$15,'caseload data'!$D:$D,"SPO",'caseload data'!$B:$B,{"licence","community"}))/SUM(SUMIFS('caseload data'!P:P,'caseload data'!$B:$B,{"licence","community"},'caseload data'!$C:$C,'community %'!$T$15)),"")</f>
        <v/>
      </c>
      <c r="AG20" s="175" t="str">
        <f>IFERROR(SUM(SUMIFS('caseload data'!Q:Q,'caseload data'!$C:$C,'community %'!$T$15,'caseload data'!$D:$D,"SPO",'caseload data'!$B:$B,{"licence","community"}))/SUM(SUMIFS('caseload data'!Q:Q,'caseload data'!$B:$B,{"licence","community"},'caseload data'!$C:$C,'community %'!$T$15)),"")</f>
        <v/>
      </c>
      <c r="AH20" s="175" t="str">
        <f>IFERROR(SUM(SUMIFS('caseload data'!R:R,'caseload data'!$C:$C,'community %'!$T$15,'caseload data'!$D:$D,"SPO",'caseload data'!$B:$B,{"licence","community"}))/SUM(SUMIFS('caseload data'!R:R,'caseload data'!$B:$B,{"licence","community"},'caseload data'!$C:$C,'community %'!$T$15)),"")</f>
        <v/>
      </c>
      <c r="AI20" s="175" t="str">
        <f>IFERROR(SUM(SUMIFS('caseload data'!S:S,'caseload data'!$C:$C,'community %'!$T$15,'caseload data'!$D:$D,"SPO",'caseload data'!$B:$B,{"licence","community"}))/SUM(SUMIFS('caseload data'!S:S,'caseload data'!$B:$B,{"licence","community"},'caseload data'!$C:$C,'community %'!$T$15)),"")</f>
        <v/>
      </c>
      <c r="AJ20" s="175" t="str">
        <f>IFERROR(SUM(SUMIFS('caseload data'!T:T,'caseload data'!$C:$C,'community %'!$T$15,'caseload data'!$D:$D,"SPO",'caseload data'!$B:$B,{"licence","community"}))/SUM(SUMIFS('caseload data'!T:T,'caseload data'!$B:$B,{"licence","community"},'caseload data'!$C:$C,'community %'!$T$15)),"")</f>
        <v/>
      </c>
    </row>
    <row r="21" spans="2:36" x14ac:dyDescent="0.15">
      <c r="B21" s="95"/>
      <c r="C21" s="68"/>
      <c r="D21" s="68"/>
      <c r="E21" s="68"/>
      <c r="F21" s="68"/>
      <c r="G21" s="68"/>
      <c r="H21" s="68"/>
      <c r="I21" s="68"/>
      <c r="J21" s="68"/>
      <c r="K21" s="68"/>
      <c r="L21" s="68"/>
      <c r="M21" s="68"/>
      <c r="N21" s="68"/>
      <c r="O21" s="68"/>
      <c r="P21" s="68"/>
      <c r="Q21" s="68"/>
      <c r="R21" s="68"/>
      <c r="S21" s="68"/>
      <c r="T21" s="95"/>
      <c r="U21" s="68"/>
      <c r="V21" s="68"/>
      <c r="W21" s="68"/>
      <c r="X21" s="68"/>
      <c r="Y21" s="68"/>
      <c r="Z21" s="68"/>
      <c r="AA21" s="68"/>
      <c r="AB21" s="68"/>
      <c r="AC21" s="68"/>
      <c r="AD21" s="68"/>
      <c r="AE21" s="68"/>
      <c r="AF21" s="68"/>
      <c r="AG21" s="68"/>
      <c r="AH21" s="68"/>
      <c r="AI21" s="68"/>
      <c r="AJ21" s="68"/>
    </row>
    <row r="22" spans="2:36" ht="26.25" customHeight="1" x14ac:dyDescent="0.15">
      <c r="B22" s="302" t="str">
        <f>HLOOKUP($B$5,Region_Table,6,0)</f>
        <v>Corporate Services - N07</v>
      </c>
      <c r="C22" s="459" t="s">
        <v>1313</v>
      </c>
      <c r="D22" s="460"/>
      <c r="E22" s="460"/>
      <c r="F22" s="460"/>
      <c r="G22" s="460"/>
      <c r="H22" s="460"/>
      <c r="I22" s="460"/>
      <c r="J22" s="460"/>
      <c r="K22" s="460"/>
      <c r="L22" s="460"/>
      <c r="M22" s="489"/>
      <c r="N22" s="489"/>
      <c r="O22" s="490"/>
      <c r="P22" s="462" cm="1">
        <f t="array" ref="P22">SUM(SUMIFS('caseload data'!V:V,'caseload data'!B:B,{"licence","community"},'caseload data'!$C:$C,B22))</f>
        <v>0</v>
      </c>
      <c r="Q22" s="479"/>
      <c r="R22" s="480"/>
      <c r="S22" s="68"/>
      <c r="T22" s="302" t="str">
        <f>HLOOKUP($B$5,Region_Table,7,0)</f>
        <v>Croydon - N07</v>
      </c>
      <c r="U22" s="459" t="s">
        <v>1313</v>
      </c>
      <c r="V22" s="460"/>
      <c r="W22" s="460"/>
      <c r="X22" s="460"/>
      <c r="Y22" s="460"/>
      <c r="Z22" s="460"/>
      <c r="AA22" s="460"/>
      <c r="AB22" s="460"/>
      <c r="AC22" s="460"/>
      <c r="AD22" s="460"/>
      <c r="AE22" s="489"/>
      <c r="AF22" s="489"/>
      <c r="AG22" s="490"/>
      <c r="AH22" s="462" cm="1">
        <f t="array" ref="AH22">SUM(SUMIFS('caseload data'!V:V,'caseload data'!B:B,{"licence","community"},'caseload data'!$C:$C,T22))</f>
        <v>0</v>
      </c>
      <c r="AI22" s="479"/>
      <c r="AJ22" s="480"/>
    </row>
    <row r="23" spans="2:36" x14ac:dyDescent="0.15">
      <c r="B23" s="99" t="s">
        <v>1170</v>
      </c>
      <c r="C23" s="40" t="s">
        <v>1022</v>
      </c>
      <c r="D23" s="40" t="s">
        <v>1023</v>
      </c>
      <c r="E23" s="40" t="s">
        <v>1024</v>
      </c>
      <c r="F23" s="40" t="s">
        <v>1025</v>
      </c>
      <c r="G23" s="40" t="s">
        <v>1026</v>
      </c>
      <c r="H23" s="40" t="s">
        <v>1027</v>
      </c>
      <c r="I23" s="40" t="s">
        <v>1028</v>
      </c>
      <c r="J23" s="40" t="s">
        <v>1029</v>
      </c>
      <c r="K23" s="40" t="s">
        <v>1030</v>
      </c>
      <c r="L23" s="40" t="s">
        <v>1031</v>
      </c>
      <c r="M23" s="40" t="s">
        <v>1032</v>
      </c>
      <c r="N23" s="40" t="s">
        <v>1033</v>
      </c>
      <c r="O23" s="40" t="s">
        <v>1034</v>
      </c>
      <c r="P23" s="40" t="s">
        <v>1035</v>
      </c>
      <c r="Q23" s="40" t="s">
        <v>1036</v>
      </c>
      <c r="R23" s="40" t="s">
        <v>1037</v>
      </c>
      <c r="S23" s="68"/>
      <c r="T23" s="99" t="s">
        <v>1170</v>
      </c>
      <c r="U23" s="40" t="s">
        <v>1022</v>
      </c>
      <c r="V23" s="40" t="s">
        <v>1023</v>
      </c>
      <c r="W23" s="40" t="s">
        <v>1024</v>
      </c>
      <c r="X23" s="40" t="s">
        <v>1025</v>
      </c>
      <c r="Y23" s="40" t="s">
        <v>1026</v>
      </c>
      <c r="Z23" s="40" t="s">
        <v>1027</v>
      </c>
      <c r="AA23" s="40" t="s">
        <v>1028</v>
      </c>
      <c r="AB23" s="40" t="s">
        <v>1029</v>
      </c>
      <c r="AC23" s="40" t="s">
        <v>1030</v>
      </c>
      <c r="AD23" s="40" t="s">
        <v>1031</v>
      </c>
      <c r="AE23" s="40" t="s">
        <v>1032</v>
      </c>
      <c r="AF23" s="40" t="s">
        <v>1033</v>
      </c>
      <c r="AG23" s="40" t="s">
        <v>1034</v>
      </c>
      <c r="AH23" s="40" t="s">
        <v>1035</v>
      </c>
      <c r="AI23" s="40" t="s">
        <v>1036</v>
      </c>
      <c r="AJ23" s="40" t="s">
        <v>1037</v>
      </c>
    </row>
    <row r="24" spans="2:36" x14ac:dyDescent="0.15">
      <c r="B24" s="100" t="s">
        <v>1166</v>
      </c>
      <c r="C24" s="175" t="str">
        <f>IFERROR(SUM(SUMIFS('caseload data'!E:E,'caseload data'!$C:$C,'community %'!$B$22,'caseload data'!$D:$D,"PO",'caseload data'!$B:$B,{"licence","community"}))/SUM(SUMIFS('caseload data'!E:E,'caseload data'!$B:$B,{"licence","community"},'caseload data'!$C:$C,'community %'!$B$22)),"")</f>
        <v/>
      </c>
      <c r="D24" s="175" t="str">
        <f>IFERROR(SUM(SUMIFS('caseload data'!F:F,'caseload data'!$C:$C,'community %'!$B$22,'caseload data'!$D:$D,"PO",'caseload data'!$B:$B,{"licence","community"}))/SUM(SUMIFS('caseload data'!F:F,'caseload data'!$B:$B,{"licence","community"},'caseload data'!$C:$C,'community %'!$B$22)),"")</f>
        <v/>
      </c>
      <c r="E24" s="175" t="str">
        <f>IFERROR(SUM(SUMIFS('caseload data'!G:G,'caseload data'!$C:$C,'community %'!$B$22,'caseload data'!$D:$D,"PO",'caseload data'!$B:$B,{"licence","community"}))/SUM(SUMIFS('caseload data'!G:G,'caseload data'!$B:$B,{"licence","community"},'caseload data'!$C:$C,'community %'!$B$22)),"")</f>
        <v/>
      </c>
      <c r="F24" s="175" t="str">
        <f>IFERROR(SUM(SUMIFS('caseload data'!H:H,'caseload data'!$C:$C,'community %'!$B$22,'caseload data'!$D:$D,"PO",'caseload data'!$B:$B,{"licence","community"}))/SUM(SUMIFS('caseload data'!H:H,'caseload data'!$B:$B,{"licence","community"},'caseload data'!$C:$C,'community %'!$B$22)),"")</f>
        <v/>
      </c>
      <c r="G24" s="175" t="str">
        <f>IFERROR(SUM(SUMIFS('caseload data'!I:I,'caseload data'!$C:$C,'community %'!$B$22,'caseload data'!$D:$D,"PO",'caseload data'!$B:$B,{"licence","community"}))/SUM(SUMIFS('caseload data'!I:I,'caseload data'!$B:$B,{"licence","community"},'caseload data'!$C:$C,'community %'!$B$22)),"")</f>
        <v/>
      </c>
      <c r="H24" s="175" t="str">
        <f>IFERROR(SUM(SUMIFS('caseload data'!J:J,'caseload data'!$C:$C,'community %'!$B$22,'caseload data'!$D:$D,"PO",'caseload data'!$B:$B,{"licence","community"}))/SUM(SUMIFS('caseload data'!J:J,'caseload data'!$B:$B,{"licence","community"},'caseload data'!$C:$C,'community %'!$B$22)),"")</f>
        <v/>
      </c>
      <c r="I24" s="175" t="str">
        <f>IFERROR(SUM(SUMIFS('caseload data'!K:K,'caseload data'!$C:$C,'community %'!$B$22,'caseload data'!$D:$D,"PO",'caseload data'!$B:$B,{"licence","community"}))/SUM(SUMIFS('caseload data'!K:K,'caseload data'!$B:$B,{"licence","community"},'caseload data'!$C:$C,'community %'!$B$22)),"")</f>
        <v/>
      </c>
      <c r="J24" s="175" t="str">
        <f>IFERROR(SUM(SUMIFS('caseload data'!L:L,'caseload data'!$C:$C,'community %'!$B$22,'caseload data'!$D:$D,"PO",'caseload data'!$B:$B,{"licence","community"}))/SUM(SUMIFS('caseload data'!L:L,'caseload data'!$B:$B,{"licence","community"},'caseload data'!$C:$C,'community %'!$B$22)),"")</f>
        <v/>
      </c>
      <c r="K24" s="175" t="str">
        <f>IFERROR(SUM(SUMIFS('caseload data'!M:M,'caseload data'!$C:$C,'community %'!$B$22,'caseload data'!$D:$D,"PO",'caseload data'!$B:$B,{"licence","community"}))/SUM(SUMIFS('caseload data'!M:M,'caseload data'!$B:$B,{"licence","community"},'caseload data'!$C:$C,'community %'!$B$22)),"")</f>
        <v/>
      </c>
      <c r="L24" s="175" t="str">
        <f>IFERROR(SUM(SUMIFS('caseload data'!N:N,'caseload data'!$C:$C,'community %'!$B$22,'caseload data'!$D:$D,"PO",'caseload data'!$B:$B,{"licence","community"}))/SUM(SUMIFS('caseload data'!N:N,'caseload data'!$B:$B,{"licence","community"},'caseload data'!$C:$C,'community %'!$B$22)),"")</f>
        <v/>
      </c>
      <c r="M24" s="175" t="str">
        <f>IFERROR(SUM(SUMIFS('caseload data'!O:O,'caseload data'!$C:$C,'community %'!$B$22,'caseload data'!$D:$D,"PO",'caseload data'!$B:$B,{"licence","community"}))/SUM(SUMIFS('caseload data'!O:O,'caseload data'!$B:$B,{"licence","community"},'caseload data'!$C:$C,'community %'!$B$22)),"")</f>
        <v/>
      </c>
      <c r="N24" s="175" t="str">
        <f>IFERROR(SUM(SUMIFS('caseload data'!P:P,'caseload data'!$C:$C,'community %'!$B$22,'caseload data'!$D:$D,"PO",'caseload data'!$B:$B,{"licence","community"}))/SUM(SUMIFS('caseload data'!P:P,'caseload data'!$B:$B,{"licence","community"},'caseload data'!$C:$C,'community %'!$B$22)),"")</f>
        <v/>
      </c>
      <c r="O24" s="175" t="str">
        <f>IFERROR(SUM(SUMIFS('caseload data'!Q:Q,'caseload data'!$C:$C,'community %'!$B$22,'caseload data'!$D:$D,"PO",'caseload data'!$B:$B,{"licence","community"}))/SUM(SUMIFS('caseload data'!Q:Q,'caseload data'!$B:$B,{"licence","community"},'caseload data'!$C:$C,'community %'!$B$22)),"")</f>
        <v/>
      </c>
      <c r="P24" s="175" t="str">
        <f>IFERROR(SUM(SUMIFS('caseload data'!R:R,'caseload data'!$C:$C,'community %'!$B$22,'caseload data'!$D:$D,"PO",'caseload data'!$B:$B,{"licence","community"}))/SUM(SUMIFS('caseload data'!R:R,'caseload data'!$B:$B,{"licence","community"},'caseload data'!$C:$C,'community %'!$B$22)),"")</f>
        <v/>
      </c>
      <c r="Q24" s="175" t="str">
        <f>IFERROR(SUM(SUMIFS('caseload data'!S:S,'caseload data'!$C:$C,'community %'!$B$22,'caseload data'!$D:$D,"PO",'caseload data'!$B:$B,{"licence","community"}))/SUM(SUMIFS('caseload data'!S:S,'caseload data'!$B:$B,{"licence","community"},'caseload data'!$C:$C,'community %'!$B$22)),"")</f>
        <v/>
      </c>
      <c r="R24" s="175" t="str">
        <f>IFERROR(SUM(SUMIFS('caseload data'!T:T,'caseload data'!$C:$C,'community %'!$B$22,'caseload data'!$D:$D,"PO",'caseload data'!$B:$B,{"licence","community"}))/SUM(SUMIFS('caseload data'!T:T,'caseload data'!$B:$B,{"licence","community"},'caseload data'!$C:$C,'community %'!$B$22)),"")</f>
        <v/>
      </c>
      <c r="S24" s="68"/>
      <c r="T24" s="100" t="s">
        <v>1166</v>
      </c>
      <c r="U24" s="175" t="str">
        <f>IFERROR(SUM(SUMIFS('caseload data'!E:E,'caseload data'!$C:$C,'community %'!$T$22,'caseload data'!$D:$D,"PO",'caseload data'!$B:$B,{"licence","community"}))/SUM(SUMIFS('caseload data'!E:E,'caseload data'!$B:$B,{"licence","community"},'caseload data'!$C:$C,'community %'!$T$22)),"")</f>
        <v/>
      </c>
      <c r="V24" s="175" t="str">
        <f>IFERROR(SUM(SUMIFS('caseload data'!F:F,'caseload data'!$C:$C,'community %'!$T$22,'caseload data'!$D:$D,"PO",'caseload data'!$B:$B,{"licence","community"}))/SUM(SUMIFS('caseload data'!F:F,'caseload data'!$B:$B,{"licence","community"},'caseload data'!$C:$C,'community %'!$T$22)),"")</f>
        <v/>
      </c>
      <c r="W24" s="175" t="str">
        <f>IFERROR(SUM(SUMIFS('caseload data'!G:G,'caseload data'!$C:$C,'community %'!$T$22,'caseload data'!$D:$D,"PO",'caseload data'!$B:$B,{"licence","community"}))/SUM(SUMIFS('caseload data'!G:G,'caseload data'!$B:$B,{"licence","community"},'caseload data'!$C:$C,'community %'!$T$22)),"")</f>
        <v/>
      </c>
      <c r="X24" s="175" t="str">
        <f>IFERROR(SUM(SUMIFS('caseload data'!H:H,'caseload data'!$C:$C,'community %'!$T$22,'caseload data'!$D:$D,"PO",'caseload data'!$B:$B,{"licence","community"}))/SUM(SUMIFS('caseload data'!H:H,'caseload data'!$B:$B,{"licence","community"},'caseload data'!$C:$C,'community %'!$T$22)),"")</f>
        <v/>
      </c>
      <c r="Y24" s="175" t="str">
        <f>IFERROR(SUM(SUMIFS('caseload data'!I:I,'caseload data'!$C:$C,'community %'!$T$22,'caseload data'!$D:$D,"PO",'caseload data'!$B:$B,{"licence","community"}))/SUM(SUMIFS('caseload data'!I:I,'caseload data'!$B:$B,{"licence","community"},'caseload data'!$C:$C,'community %'!$T$22)),"")</f>
        <v/>
      </c>
      <c r="Z24" s="175" t="str">
        <f>IFERROR(SUM(SUMIFS('caseload data'!J:J,'caseload data'!$C:$C,'community %'!$T$22,'caseload data'!$D:$D,"PO",'caseload data'!$B:$B,{"licence","community"}))/SUM(SUMIFS('caseload data'!J:J,'caseload data'!$B:$B,{"licence","community"},'caseload data'!$C:$C,'community %'!$T$22)),"")</f>
        <v/>
      </c>
      <c r="AA24" s="175" t="str">
        <f>IFERROR(SUM(SUMIFS('caseload data'!K:K,'caseload data'!$C:$C,'community %'!$T$22,'caseload data'!$D:$D,"PO",'caseload data'!$B:$B,{"licence","community"}))/SUM(SUMIFS('caseload data'!K:K,'caseload data'!$B:$B,{"licence","community"},'caseload data'!$C:$C,'community %'!$T$22)),"")</f>
        <v/>
      </c>
      <c r="AB24" s="175" t="str">
        <f>IFERROR(SUM(SUMIFS('caseload data'!L:L,'caseload data'!$C:$C,'community %'!$T$22,'caseload data'!$D:$D,"PO",'caseload data'!$B:$B,{"licence","community"}))/SUM(SUMIFS('caseload data'!L:L,'caseload data'!$B:$B,{"licence","community"},'caseload data'!$C:$C,'community %'!$T$22)),"")</f>
        <v/>
      </c>
      <c r="AC24" s="175" t="str">
        <f>IFERROR(SUM(SUMIFS('caseload data'!M:M,'caseload data'!$C:$C,'community %'!$T$22,'caseload data'!$D:$D,"PO",'caseload data'!$B:$B,{"licence","community"}))/SUM(SUMIFS('caseload data'!M:M,'caseload data'!$B:$B,{"licence","community"},'caseload data'!$C:$C,'community %'!$T$22)),"")</f>
        <v/>
      </c>
      <c r="AD24" s="175" t="str">
        <f>IFERROR(SUM(SUMIFS('caseload data'!N:N,'caseload data'!$C:$C,'community %'!$T$22,'caseload data'!$D:$D,"PO",'caseload data'!$B:$B,{"licence","community"}))/SUM(SUMIFS('caseload data'!N:N,'caseload data'!$B:$B,{"licence","community"},'caseload data'!$C:$C,'community %'!$T$22)),"")</f>
        <v/>
      </c>
      <c r="AE24" s="175" t="str">
        <f>IFERROR(SUM(SUMIFS('caseload data'!O:O,'caseload data'!$C:$C,'community %'!$T$22,'caseload data'!$D:$D,"PO",'caseload data'!$B:$B,{"licence","community"}))/SUM(SUMIFS('caseload data'!O:O,'caseload data'!$B:$B,{"licence","community"},'caseload data'!$C:$C,'community %'!$T$22)),"")</f>
        <v/>
      </c>
      <c r="AF24" s="175" t="str">
        <f>IFERROR(SUM(SUMIFS('caseload data'!P:P,'caseload data'!$C:$C,'community %'!$T$22,'caseload data'!$D:$D,"PO",'caseload data'!$B:$B,{"licence","community"}))/SUM(SUMIFS('caseload data'!P:P,'caseload data'!$B:$B,{"licence","community"},'caseload data'!$C:$C,'community %'!$T$22)),"")</f>
        <v/>
      </c>
      <c r="AG24" s="175" t="str">
        <f>IFERROR(SUM(SUMIFS('caseload data'!Q:Q,'caseload data'!$C:$C,'community %'!$T$22,'caseload data'!$D:$D,"PO",'caseload data'!$B:$B,{"licence","community"}))/SUM(SUMIFS('caseload data'!Q:Q,'caseload data'!$B:$B,{"licence","community"},'caseload data'!$C:$C,'community %'!$T$22)),"")</f>
        <v/>
      </c>
      <c r="AH24" s="175" t="str">
        <f>IFERROR(SUM(SUMIFS('caseload data'!R:R,'caseload data'!$C:$C,'community %'!$T$22,'caseload data'!$D:$D,"PO",'caseload data'!$B:$B,{"licence","community"}))/SUM(SUMIFS('caseload data'!R:R,'caseload data'!$B:$B,{"licence","community"},'caseload data'!$C:$C,'community %'!$T$22)),"")</f>
        <v/>
      </c>
      <c r="AI24" s="175" t="str">
        <f>IFERROR(SUM(SUMIFS('caseload data'!S:S,'caseload data'!$C:$C,'community %'!$T$22,'caseload data'!$D:$D,"PO",'caseload data'!$B:$B,{"licence","community"}))/SUM(SUMIFS('caseload data'!S:S,'caseload data'!$B:$B,{"licence","community"},'caseload data'!$C:$C,'community %'!$T$22)),"")</f>
        <v/>
      </c>
      <c r="AJ24" s="175" t="str">
        <f>IFERROR(SUM(SUMIFS('caseload data'!T:T,'caseload data'!$C:$C,'community %'!$T$22,'caseload data'!$D:$D,"PO",'caseload data'!$B:$B,{"licence","community"}))/SUM(SUMIFS('caseload data'!T:T,'caseload data'!$B:$B,{"licence","community"},'caseload data'!$C:$C,'community %'!$T$22)),"")</f>
        <v/>
      </c>
    </row>
    <row r="25" spans="2:36" x14ac:dyDescent="0.15">
      <c r="B25" s="101" t="s">
        <v>1172</v>
      </c>
      <c r="C25" s="175" t="str">
        <f>IFERROR(SUM(SUMIFS('caseload data'!E:E,'caseload data'!$C:$C,'community %'!$B$22,'caseload data'!$D:$D,"PSO",'caseload data'!$B:$B,{"licence","community"}))/SUM(SUMIFS('caseload data'!E:E,'caseload data'!$B:$B,{"licence","community"},'caseload data'!$C:$C,'community %'!$B$22)),"")</f>
        <v/>
      </c>
      <c r="D25" s="175" t="str">
        <f>IFERROR(SUM(SUMIFS('caseload data'!F:F,'caseload data'!$C:$C,'community %'!$B$22,'caseload data'!$D:$D,"PSO",'caseload data'!$B:$B,{"licence","community"}))/SUM(SUMIFS('caseload data'!F:F,'caseload data'!$B:$B,{"licence","community"},'caseload data'!$C:$C,'community %'!$B$22)),"")</f>
        <v/>
      </c>
      <c r="E25" s="175" t="str">
        <f>IFERROR(SUM(SUMIFS('caseload data'!G:G,'caseload data'!$C:$C,'community %'!$B$22,'caseload data'!$D:$D,"PSO",'caseload data'!$B:$B,{"licence","community"}))/SUM(SUMIFS('caseload data'!G:G,'caseload data'!$B:$B,{"licence","community"},'caseload data'!$C:$C,'community %'!$B$22)),"")</f>
        <v/>
      </c>
      <c r="F25" s="175" t="str">
        <f>IFERROR(SUM(SUMIFS('caseload data'!H:H,'caseload data'!$C:$C,'community %'!$B$22,'caseload data'!$D:$D,"PSO",'caseload data'!$B:$B,{"licence","community"}))/SUM(SUMIFS('caseload data'!H:H,'caseload data'!$B:$B,{"licence","community"},'caseload data'!$C:$C,'community %'!$B$22)),"")</f>
        <v/>
      </c>
      <c r="G25" s="175" t="str">
        <f>IFERROR(SUM(SUMIFS('caseload data'!I:I,'caseload data'!$C:$C,'community %'!$B$22,'caseload data'!$D:$D,"PSO",'caseload data'!$B:$B,{"licence","community"}))/SUM(SUMIFS('caseload data'!I:I,'caseload data'!$B:$B,{"licence","community"},'caseload data'!$C:$C,'community %'!$B$22)),"")</f>
        <v/>
      </c>
      <c r="H25" s="175" t="str">
        <f>IFERROR(SUM(SUMIFS('caseload data'!J:J,'caseload data'!$C:$C,'community %'!$B$22,'caseload data'!$D:$D,"PSO",'caseload data'!$B:$B,{"licence","community"}))/SUM(SUMIFS('caseload data'!J:J,'caseload data'!$B:$B,{"licence","community"},'caseload data'!$C:$C,'community %'!$B$22)),"")</f>
        <v/>
      </c>
      <c r="I25" s="175" t="str">
        <f>IFERROR(SUM(SUMIFS('caseload data'!K:K,'caseload data'!$C:$C,'community %'!$B$22,'caseload data'!$D:$D,"PSO",'caseload data'!$B:$B,{"licence","community"}))/SUM(SUMIFS('caseload data'!K:K,'caseload data'!$B:$B,{"licence","community"},'caseload data'!$C:$C,'community %'!$B$22)),"")</f>
        <v/>
      </c>
      <c r="J25" s="175" t="str">
        <f>IFERROR(SUM(SUMIFS('caseload data'!L:L,'caseload data'!$C:$C,'community %'!$B$22,'caseload data'!$D:$D,"PSO",'caseload data'!$B:$B,{"licence","community"}))/SUM(SUMIFS('caseload data'!L:L,'caseload data'!$B:$B,{"licence","community"},'caseload data'!$C:$C,'community %'!$B$22)),"")</f>
        <v/>
      </c>
      <c r="K25" s="175" t="str">
        <f>IFERROR(SUM(SUMIFS('caseload data'!M:M,'caseload data'!$C:$C,'community %'!$B$22,'caseload data'!$D:$D,"PSO",'caseload data'!$B:$B,{"licence","community"}))/SUM(SUMIFS('caseload data'!M:M,'caseload data'!$B:$B,{"licence","community"},'caseload data'!$C:$C,'community %'!$B$22)),"")</f>
        <v/>
      </c>
      <c r="L25" s="175" t="str">
        <f>IFERROR(SUM(SUMIFS('caseload data'!N:N,'caseload data'!$C:$C,'community %'!$B$22,'caseload data'!$D:$D,"PSO",'caseload data'!$B:$B,{"licence","community"}))/SUM(SUMIFS('caseload data'!N:N,'caseload data'!$B:$B,{"licence","community"},'caseload data'!$C:$C,'community %'!$B$22)),"")</f>
        <v/>
      </c>
      <c r="M25" s="175" t="str">
        <f>IFERROR(SUM(SUMIFS('caseload data'!O:O,'caseload data'!$C:$C,'community %'!$B$22,'caseload data'!$D:$D,"PSO",'caseload data'!$B:$B,{"licence","community"}))/SUM(SUMIFS('caseload data'!O:O,'caseload data'!$B:$B,{"licence","community"},'caseload data'!$C:$C,'community %'!$B$22)),"")</f>
        <v/>
      </c>
      <c r="N25" s="175" t="str">
        <f>IFERROR(SUM(SUMIFS('caseload data'!P:P,'caseload data'!$C:$C,'community %'!$B$22,'caseload data'!$D:$D,"PSO",'caseload data'!$B:$B,{"licence","community"}))/SUM(SUMIFS('caseload data'!P:P,'caseload data'!$B:$B,{"licence","community"},'caseload data'!$C:$C,'community %'!$B$22)),"")</f>
        <v/>
      </c>
      <c r="O25" s="175" t="str">
        <f>IFERROR(SUM(SUMIFS('caseload data'!Q:Q,'caseload data'!$C:$C,'community %'!$B$22,'caseload data'!$D:$D,"PSO",'caseload data'!$B:$B,{"licence","community"}))/SUM(SUMIFS('caseload data'!Q:Q,'caseload data'!$B:$B,{"licence","community"},'caseload data'!$C:$C,'community %'!$B$22)),"")</f>
        <v/>
      </c>
      <c r="P25" s="175" t="str">
        <f>IFERROR(SUM(SUMIFS('caseload data'!R:R,'caseload data'!$C:$C,'community %'!$B$22,'caseload data'!$D:$D,"PSO",'caseload data'!$B:$B,{"licence","community"}))/SUM(SUMIFS('caseload data'!R:R,'caseload data'!$B:$B,{"licence","community"},'caseload data'!$C:$C,'community %'!$B$22)),"")</f>
        <v/>
      </c>
      <c r="Q25" s="175" t="str">
        <f>IFERROR(SUM(SUMIFS('caseload data'!S:S,'caseload data'!$C:$C,'community %'!$B$22,'caseload data'!$D:$D,"PSO",'caseload data'!$B:$B,{"licence","community"}))/SUM(SUMIFS('caseload data'!S:S,'caseload data'!$B:$B,{"licence","community"},'caseload data'!$C:$C,'community %'!$B$22)),"")</f>
        <v/>
      </c>
      <c r="R25" s="175" t="str">
        <f>IFERROR(SUM(SUMIFS('caseload data'!T:T,'caseload data'!$C:$C,'community %'!$B$22,'caseload data'!$D:$D,"PSO",'caseload data'!$B:$B,{"licence","community"}))/SUM(SUMIFS('caseload data'!T:T,'caseload data'!$B:$B,{"licence","community"},'caseload data'!$C:$C,'community %'!$B$22)),"")</f>
        <v/>
      </c>
      <c r="S25" s="68"/>
      <c r="T25" s="101" t="s">
        <v>1172</v>
      </c>
      <c r="U25" s="175" t="str">
        <f>IFERROR(SUM(SUMIFS('caseload data'!E:E,'caseload data'!$C:$C,'community %'!$T$22,'caseload data'!$D:$D,"PSO",'caseload data'!$B:$B,{"licence","community"}))/SUM(SUMIFS('caseload data'!E:E,'caseload data'!$B:$B,{"licence","community"},'caseload data'!$C:$C,'community %'!$T$22)),"")</f>
        <v/>
      </c>
      <c r="V25" s="175" t="str">
        <f>IFERROR(SUM(SUMIFS('caseload data'!F:F,'caseload data'!$C:$C,'community %'!$T$22,'caseload data'!$D:$D,"PSO",'caseload data'!$B:$B,{"licence","community"}))/SUM(SUMIFS('caseload data'!F:F,'caseload data'!$B:$B,{"licence","community"},'caseload data'!$C:$C,'community %'!$T$22)),"")</f>
        <v/>
      </c>
      <c r="W25" s="175" t="str">
        <f>IFERROR(SUM(SUMIFS('caseload data'!G:G,'caseload data'!$C:$C,'community %'!$T$22,'caseload data'!$D:$D,"PSO",'caseload data'!$B:$B,{"licence","community"}))/SUM(SUMIFS('caseload data'!G:G,'caseload data'!$B:$B,{"licence","community"},'caseload data'!$C:$C,'community %'!$T$22)),"")</f>
        <v/>
      </c>
      <c r="X25" s="175" t="str">
        <f>IFERROR(SUM(SUMIFS('caseload data'!H:H,'caseload data'!$C:$C,'community %'!$T$22,'caseload data'!$D:$D,"PSO",'caseload data'!$B:$B,{"licence","community"}))/SUM(SUMIFS('caseload data'!H:H,'caseload data'!$B:$B,{"licence","community"},'caseload data'!$C:$C,'community %'!$T$22)),"")</f>
        <v/>
      </c>
      <c r="Y25" s="175" t="str">
        <f>IFERROR(SUM(SUMIFS('caseload data'!I:I,'caseload data'!$C:$C,'community %'!$T$22,'caseload data'!$D:$D,"PSO",'caseload data'!$B:$B,{"licence","community"}))/SUM(SUMIFS('caseload data'!I:I,'caseload data'!$B:$B,{"licence","community"},'caseload data'!$C:$C,'community %'!$T$22)),"")</f>
        <v/>
      </c>
      <c r="Z25" s="175" t="str">
        <f>IFERROR(SUM(SUMIFS('caseload data'!J:J,'caseload data'!$C:$C,'community %'!$T$22,'caseload data'!$D:$D,"PSO",'caseload data'!$B:$B,{"licence","community"}))/SUM(SUMIFS('caseload data'!J:J,'caseload data'!$B:$B,{"licence","community"},'caseload data'!$C:$C,'community %'!$T$22)),"")</f>
        <v/>
      </c>
      <c r="AA25" s="175" t="str">
        <f>IFERROR(SUM(SUMIFS('caseload data'!K:K,'caseload data'!$C:$C,'community %'!$T$22,'caseload data'!$D:$D,"PSO",'caseload data'!$B:$B,{"licence","community"}))/SUM(SUMIFS('caseload data'!K:K,'caseload data'!$B:$B,{"licence","community"},'caseload data'!$C:$C,'community %'!$T$22)),"")</f>
        <v/>
      </c>
      <c r="AB25" s="175" t="str">
        <f>IFERROR(SUM(SUMIFS('caseload data'!L:L,'caseload data'!$C:$C,'community %'!$T$22,'caseload data'!$D:$D,"PSO",'caseload data'!$B:$B,{"licence","community"}))/SUM(SUMIFS('caseload data'!L:L,'caseload data'!$B:$B,{"licence","community"},'caseload data'!$C:$C,'community %'!$T$22)),"")</f>
        <v/>
      </c>
      <c r="AC25" s="175" t="str">
        <f>IFERROR(SUM(SUMIFS('caseload data'!M:M,'caseload data'!$C:$C,'community %'!$T$22,'caseload data'!$D:$D,"PSO",'caseload data'!$B:$B,{"licence","community"}))/SUM(SUMIFS('caseload data'!M:M,'caseload data'!$B:$B,{"licence","community"},'caseload data'!$C:$C,'community %'!$T$22)),"")</f>
        <v/>
      </c>
      <c r="AD25" s="175" t="str">
        <f>IFERROR(SUM(SUMIFS('caseload data'!N:N,'caseload data'!$C:$C,'community %'!$T$22,'caseload data'!$D:$D,"PSO",'caseload data'!$B:$B,{"licence","community"}))/SUM(SUMIFS('caseload data'!N:N,'caseload data'!$B:$B,{"licence","community"},'caseload data'!$C:$C,'community %'!$T$22)),"")</f>
        <v/>
      </c>
      <c r="AE25" s="175" t="str">
        <f>IFERROR(SUM(SUMIFS('caseload data'!O:O,'caseload data'!$C:$C,'community %'!$T$22,'caseload data'!$D:$D,"PSO",'caseload data'!$B:$B,{"licence","community"}))/SUM(SUMIFS('caseload data'!O:O,'caseload data'!$B:$B,{"licence","community"},'caseload data'!$C:$C,'community %'!$T$22)),"")</f>
        <v/>
      </c>
      <c r="AF25" s="175" t="str">
        <f>IFERROR(SUM(SUMIFS('caseload data'!P:P,'caseload data'!$C:$C,'community %'!$T$22,'caseload data'!$D:$D,"PSO",'caseload data'!$B:$B,{"licence","community"}))/SUM(SUMIFS('caseload data'!P:P,'caseload data'!$B:$B,{"licence","community"},'caseload data'!$C:$C,'community %'!$T$22)),"")</f>
        <v/>
      </c>
      <c r="AG25" s="175" t="str">
        <f>IFERROR(SUM(SUMIFS('caseload data'!Q:Q,'caseload data'!$C:$C,'community %'!$T$22,'caseload data'!$D:$D,"PSO",'caseload data'!$B:$B,{"licence","community"}))/SUM(SUMIFS('caseload data'!Q:Q,'caseload data'!$B:$B,{"licence","community"},'caseload data'!$C:$C,'community %'!$T$22)),"")</f>
        <v/>
      </c>
      <c r="AH25" s="175" t="str">
        <f>IFERROR(SUM(SUMIFS('caseload data'!R:R,'caseload data'!$C:$C,'community %'!$T$22,'caseload data'!$D:$D,"PSO",'caseload data'!$B:$B,{"licence","community"}))/SUM(SUMIFS('caseload data'!R:R,'caseload data'!$B:$B,{"licence","community"},'caseload data'!$C:$C,'community %'!$T$22)),"")</f>
        <v/>
      </c>
      <c r="AI25" s="175" t="str">
        <f>IFERROR(SUM(SUMIFS('caseload data'!S:S,'caseload data'!$C:$C,'community %'!$T$22,'caseload data'!$D:$D,"PSO",'caseload data'!$B:$B,{"licence","community"}))/SUM(SUMIFS('caseload data'!S:S,'caseload data'!$B:$B,{"licence","community"},'caseload data'!$C:$C,'community %'!$T$22)),"")</f>
        <v/>
      </c>
      <c r="AJ25" s="175" t="str">
        <f>IFERROR(SUM(SUMIFS('caseload data'!T:T,'caseload data'!$C:$C,'community %'!$T$22,'caseload data'!$D:$D,"PSO",'caseload data'!$B:$B,{"licence","community"}))/SUM(SUMIFS('caseload data'!T:T,'caseload data'!$B:$B,{"licence","community"},'caseload data'!$C:$C,'community %'!$T$22)),"")</f>
        <v/>
      </c>
    </row>
    <row r="26" spans="2:36" x14ac:dyDescent="0.15">
      <c r="B26" s="101" t="s">
        <v>1173</v>
      </c>
      <c r="C26" s="175" t="str">
        <f>IFERROR(SUM(SUMIFS('caseload data'!E:E,'caseload data'!$C:$C,'community %'!$B$22,'caseload data'!$D:$D,"TPO",'caseload data'!$B:$B,{"licence","community"}))/SUM(SUMIFS('caseload data'!E:E,'caseload data'!$B:$B,{"licence","community"},'caseload data'!$C:$C,'community %'!$B$22)),"")</f>
        <v/>
      </c>
      <c r="D26" s="175" t="str">
        <f>IFERROR(SUM(SUMIFS('caseload data'!F:F,'caseload data'!$C:$C,'community %'!$B$22,'caseload data'!$D:$D,"TPO",'caseload data'!$B:$B,{"licence","community"}))/SUM(SUMIFS('caseload data'!F:F,'caseload data'!$B:$B,{"licence","community"},'caseload data'!$C:$C,'community %'!$B$22)),"")</f>
        <v/>
      </c>
      <c r="E26" s="175" t="str">
        <f>IFERROR(SUM(SUMIFS('caseload data'!G:G,'caseload data'!$C:$C,'community %'!$B$22,'caseload data'!$D:$D,"TPO",'caseload data'!$B:$B,{"licence","community"}))/SUM(SUMIFS('caseload data'!G:G,'caseload data'!$B:$B,{"licence","community"},'caseload data'!$C:$C,'community %'!$B$22)),"")</f>
        <v/>
      </c>
      <c r="F26" s="175" t="str">
        <f>IFERROR(SUM(SUMIFS('caseload data'!H:H,'caseload data'!$C:$C,'community %'!$B$22,'caseload data'!$D:$D,"TPO",'caseload data'!$B:$B,{"licence","community"}))/SUM(SUMIFS('caseload data'!H:H,'caseload data'!$B:$B,{"licence","community"},'caseload data'!$C:$C,'community %'!$B$22)),"")</f>
        <v/>
      </c>
      <c r="G26" s="175" t="str">
        <f>IFERROR(SUM(SUMIFS('caseload data'!I:I,'caseload data'!$C:$C,'community %'!$B$22,'caseload data'!$D:$D,"TPO",'caseload data'!$B:$B,{"licence","community"}))/SUM(SUMIFS('caseload data'!I:I,'caseload data'!$B:$B,{"licence","community"},'caseload data'!$C:$C,'community %'!$B$22)),"")</f>
        <v/>
      </c>
      <c r="H26" s="175" t="str">
        <f>IFERROR(SUM(SUMIFS('caseload data'!J:J,'caseload data'!$C:$C,'community %'!$B$22,'caseload data'!$D:$D,"TPO",'caseload data'!$B:$B,{"licence","community"}))/SUM(SUMIFS('caseload data'!J:J,'caseload data'!$B:$B,{"licence","community"},'caseload data'!$C:$C,'community %'!$B$22)),"")</f>
        <v/>
      </c>
      <c r="I26" s="175" t="str">
        <f>IFERROR(SUM(SUMIFS('caseload data'!K:K,'caseload data'!$C:$C,'community %'!$B$22,'caseload data'!$D:$D,"TPO",'caseload data'!$B:$B,{"licence","community"}))/SUM(SUMIFS('caseload data'!K:K,'caseload data'!$B:$B,{"licence","community"},'caseload data'!$C:$C,'community %'!$B$22)),"")</f>
        <v/>
      </c>
      <c r="J26" s="175" t="str">
        <f>IFERROR(SUM(SUMIFS('caseload data'!L:L,'caseload data'!$C:$C,'community %'!$B$22,'caseload data'!$D:$D,"TPO",'caseload data'!$B:$B,{"licence","community"}))/SUM(SUMIFS('caseload data'!L:L,'caseload data'!$B:$B,{"licence","community"},'caseload data'!$C:$C,'community %'!$B$22)),"")</f>
        <v/>
      </c>
      <c r="K26" s="175" t="str">
        <f>IFERROR(SUM(SUMIFS('caseload data'!M:M,'caseload data'!$C:$C,'community %'!$B$22,'caseload data'!$D:$D,"TPO",'caseload data'!$B:$B,{"licence","community"}))/SUM(SUMIFS('caseload data'!M:M,'caseload data'!$B:$B,{"licence","community"},'caseload data'!$C:$C,'community %'!$B$22)),"")</f>
        <v/>
      </c>
      <c r="L26" s="175" t="str">
        <f>IFERROR(SUM(SUMIFS('caseload data'!N:N,'caseload data'!$C:$C,'community %'!$B$22,'caseload data'!$D:$D,"TPO",'caseload data'!$B:$B,{"licence","community"}))/SUM(SUMIFS('caseload data'!N:N,'caseload data'!$B:$B,{"licence","community"},'caseload data'!$C:$C,'community %'!$B$22)),"")</f>
        <v/>
      </c>
      <c r="M26" s="175" t="str">
        <f>IFERROR(SUM(SUMIFS('caseload data'!O:O,'caseload data'!$C:$C,'community %'!$B$22,'caseload data'!$D:$D,"TPO",'caseload data'!$B:$B,{"licence","community"}))/SUM(SUMIFS('caseload data'!O:O,'caseload data'!$B:$B,{"licence","community"},'caseload data'!$C:$C,'community %'!$B$22)),"")</f>
        <v/>
      </c>
      <c r="N26" s="175" t="str">
        <f>IFERROR(SUM(SUMIFS('caseload data'!P:P,'caseload data'!$C:$C,'community %'!$B$22,'caseload data'!$D:$D,"TPO",'caseload data'!$B:$B,{"licence","community"}))/SUM(SUMIFS('caseload data'!P:P,'caseload data'!$B:$B,{"licence","community"},'caseload data'!$C:$C,'community %'!$B$22)),"")</f>
        <v/>
      </c>
      <c r="O26" s="175" t="str">
        <f>IFERROR(SUM(SUMIFS('caseload data'!Q:Q,'caseload data'!$C:$C,'community %'!$B$22,'caseload data'!$D:$D,"TPO",'caseload data'!$B:$B,{"licence","community"}))/SUM(SUMIFS('caseload data'!Q:Q,'caseload data'!$B:$B,{"licence","community"},'caseload data'!$C:$C,'community %'!$B$22)),"")</f>
        <v/>
      </c>
      <c r="P26" s="175" t="str">
        <f>IFERROR(SUM(SUMIFS('caseload data'!R:R,'caseload data'!$C:$C,'community %'!$B$22,'caseload data'!$D:$D,"TPO",'caseload data'!$B:$B,{"licence","community"}))/SUM(SUMIFS('caseload data'!R:R,'caseload data'!$B:$B,{"licence","community"},'caseload data'!$C:$C,'community %'!$B$22)),"")</f>
        <v/>
      </c>
      <c r="Q26" s="175" t="str">
        <f>IFERROR(SUM(SUMIFS('caseload data'!S:S,'caseload data'!$C:$C,'community %'!$B$22,'caseload data'!$D:$D,"TPO",'caseload data'!$B:$B,{"licence","community"}))/SUM(SUMIFS('caseload data'!S:S,'caseload data'!$B:$B,{"licence","community"},'caseload data'!$C:$C,'community %'!$B$22)),"")</f>
        <v/>
      </c>
      <c r="R26" s="175" t="str">
        <f>IFERROR(SUM(SUMIFS('caseload data'!T:T,'caseload data'!$C:$C,'community %'!$B$22,'caseload data'!$D:$D,"TPO",'caseload data'!$B:$B,{"licence","community"}))/SUM(SUMIFS('caseload data'!T:T,'caseload data'!$B:$B,{"licence","community"},'caseload data'!$C:$C,'community %'!$B$22)),"")</f>
        <v/>
      </c>
      <c r="S26" s="68"/>
      <c r="T26" s="101" t="s">
        <v>1173</v>
      </c>
      <c r="U26" s="175" t="str">
        <f>IFERROR(SUM(SUMIFS('caseload data'!E:E,'caseload data'!$C:$C,'community %'!$T$22,'caseload data'!$D:$D,"TPO",'caseload data'!$B:$B,{"licence","community"}))/SUM(SUMIFS('caseload data'!E:E,'caseload data'!$B:$B,{"licence","community"},'caseload data'!$C:$C,'community %'!$T$22)),"")</f>
        <v/>
      </c>
      <c r="V26" s="175" t="str">
        <f>IFERROR(SUM(SUMIFS('caseload data'!F:F,'caseload data'!$C:$C,'community %'!$T$22,'caseload data'!$D:$D,"TPO",'caseload data'!$B:$B,{"licence","community"}))/SUM(SUMIFS('caseload data'!F:F,'caseload data'!$B:$B,{"licence","community"},'caseload data'!$C:$C,'community %'!$T$22)),"")</f>
        <v/>
      </c>
      <c r="W26" s="175" t="str">
        <f>IFERROR(SUM(SUMIFS('caseload data'!G:G,'caseload data'!$C:$C,'community %'!$T$22,'caseload data'!$D:$D,"TPO",'caseload data'!$B:$B,{"licence","community"}))/SUM(SUMIFS('caseload data'!G:G,'caseload data'!$B:$B,{"licence","community"},'caseload data'!$C:$C,'community %'!$T$22)),"")</f>
        <v/>
      </c>
      <c r="X26" s="175" t="str">
        <f>IFERROR(SUM(SUMIFS('caseload data'!H:H,'caseload data'!$C:$C,'community %'!$T$22,'caseload data'!$D:$D,"TPO",'caseload data'!$B:$B,{"licence","community"}))/SUM(SUMIFS('caseload data'!H:H,'caseload data'!$B:$B,{"licence","community"},'caseload data'!$C:$C,'community %'!$T$22)),"")</f>
        <v/>
      </c>
      <c r="Y26" s="175" t="str">
        <f>IFERROR(SUM(SUMIFS('caseload data'!I:I,'caseload data'!$C:$C,'community %'!$T$22,'caseload data'!$D:$D,"TPO",'caseload data'!$B:$B,{"licence","community"}))/SUM(SUMIFS('caseload data'!I:I,'caseload data'!$B:$B,{"licence","community"},'caseload data'!$C:$C,'community %'!$T$22)),"")</f>
        <v/>
      </c>
      <c r="Z26" s="175" t="str">
        <f>IFERROR(SUM(SUMIFS('caseload data'!J:J,'caseload data'!$C:$C,'community %'!$T$22,'caseload data'!$D:$D,"TPO",'caseload data'!$B:$B,{"licence","community"}))/SUM(SUMIFS('caseload data'!J:J,'caseload data'!$B:$B,{"licence","community"},'caseload data'!$C:$C,'community %'!$T$22)),"")</f>
        <v/>
      </c>
      <c r="AA26" s="175" t="str">
        <f>IFERROR(SUM(SUMIFS('caseload data'!K:K,'caseload data'!$C:$C,'community %'!$T$22,'caseload data'!$D:$D,"TPO",'caseload data'!$B:$B,{"licence","community"}))/SUM(SUMIFS('caseload data'!K:K,'caseload data'!$B:$B,{"licence","community"},'caseload data'!$C:$C,'community %'!$T$22)),"")</f>
        <v/>
      </c>
      <c r="AB26" s="175" t="str">
        <f>IFERROR(SUM(SUMIFS('caseload data'!L:L,'caseload data'!$C:$C,'community %'!$T$22,'caseload data'!$D:$D,"TPO",'caseload data'!$B:$B,{"licence","community"}))/SUM(SUMIFS('caseload data'!L:L,'caseload data'!$B:$B,{"licence","community"},'caseload data'!$C:$C,'community %'!$T$22)),"")</f>
        <v/>
      </c>
      <c r="AC26" s="175" t="str">
        <f>IFERROR(SUM(SUMIFS('caseload data'!M:M,'caseload data'!$C:$C,'community %'!$T$22,'caseload data'!$D:$D,"TPO",'caseload data'!$B:$B,{"licence","community"}))/SUM(SUMIFS('caseload data'!M:M,'caseload data'!$B:$B,{"licence","community"},'caseload data'!$C:$C,'community %'!$T$22)),"")</f>
        <v/>
      </c>
      <c r="AD26" s="175" t="str">
        <f>IFERROR(SUM(SUMIFS('caseload data'!N:N,'caseload data'!$C:$C,'community %'!$T$22,'caseload data'!$D:$D,"TPO",'caseload data'!$B:$B,{"licence","community"}))/SUM(SUMIFS('caseload data'!N:N,'caseload data'!$B:$B,{"licence","community"},'caseload data'!$C:$C,'community %'!$T$22)),"")</f>
        <v/>
      </c>
      <c r="AE26" s="175" t="str">
        <f>IFERROR(SUM(SUMIFS('caseload data'!O:O,'caseload data'!$C:$C,'community %'!$T$22,'caseload data'!$D:$D,"TPO",'caseload data'!$B:$B,{"licence","community"}))/SUM(SUMIFS('caseload data'!O:O,'caseload data'!$B:$B,{"licence","community"},'caseload data'!$C:$C,'community %'!$T$22)),"")</f>
        <v/>
      </c>
      <c r="AF26" s="175" t="str">
        <f>IFERROR(SUM(SUMIFS('caseload data'!P:P,'caseload data'!$C:$C,'community %'!$T$22,'caseload data'!$D:$D,"TPO",'caseload data'!$B:$B,{"licence","community"}))/SUM(SUMIFS('caseload data'!P:P,'caseload data'!$B:$B,{"licence","community"},'caseload data'!$C:$C,'community %'!$T$22)),"")</f>
        <v/>
      </c>
      <c r="AG26" s="175" t="str">
        <f>IFERROR(SUM(SUMIFS('caseload data'!Q:Q,'caseload data'!$C:$C,'community %'!$T$22,'caseload data'!$D:$D,"TPO",'caseload data'!$B:$B,{"licence","community"}))/SUM(SUMIFS('caseload data'!Q:Q,'caseload data'!$B:$B,{"licence","community"},'caseload data'!$C:$C,'community %'!$T$22)),"")</f>
        <v/>
      </c>
      <c r="AH26" s="175" t="str">
        <f>IFERROR(SUM(SUMIFS('caseload data'!R:R,'caseload data'!$C:$C,'community %'!$T$22,'caseload data'!$D:$D,"TPO",'caseload data'!$B:$B,{"licence","community"}))/SUM(SUMIFS('caseload data'!R:R,'caseload data'!$B:$B,{"licence","community"},'caseload data'!$C:$C,'community %'!$T$22)),"")</f>
        <v/>
      </c>
      <c r="AI26" s="175" t="str">
        <f>IFERROR(SUM(SUMIFS('caseload data'!S:S,'caseload data'!$C:$C,'community %'!$T$22,'caseload data'!$D:$D,"TPO",'caseload data'!$B:$B,{"licence","community"}))/SUM(SUMIFS('caseload data'!S:S,'caseload data'!$B:$B,{"licence","community"},'caseload data'!$C:$C,'community %'!$T$22)),"")</f>
        <v/>
      </c>
      <c r="AJ26" s="175" t="str">
        <f>IFERROR(SUM(SUMIFS('caseload data'!T:T,'caseload data'!$C:$C,'community %'!$T$22,'caseload data'!$D:$D,"TPO",'caseload data'!$B:$B,{"licence","community"}))/SUM(SUMIFS('caseload data'!T:T,'caseload data'!$B:$B,{"licence","community"},'caseload data'!$C:$C,'community %'!$T$22)),"")</f>
        <v/>
      </c>
    </row>
    <row r="27" spans="2:36" x14ac:dyDescent="0.15">
      <c r="B27" s="102" t="s">
        <v>1174</v>
      </c>
      <c r="C27" s="175" t="str">
        <f>IFERROR(SUM(SUMIFS('caseload data'!E:E,'caseload data'!$C:$C,'community %'!$B$22,'caseload data'!$D:$D,"SPO",'caseload data'!$B:$B,{"licence","community"}))/SUM(SUMIFS('caseload data'!E:E,'caseload data'!$B:$B,{"licence","community"},'caseload data'!$C:$C,'community %'!$B$22)),"")</f>
        <v/>
      </c>
      <c r="D27" s="175" t="str">
        <f>IFERROR(SUM(SUMIFS('caseload data'!F:F,'caseload data'!$C:$C,'community %'!$B$22,'caseload data'!$D:$D,"SPO",'caseload data'!$B:$B,{"licence","community"}))/SUM(SUMIFS('caseload data'!F:F,'caseload data'!$B:$B,{"licence","community"},'caseload data'!$C:$C,'community %'!$B$22)),"")</f>
        <v/>
      </c>
      <c r="E27" s="175" t="str">
        <f>IFERROR(SUM(SUMIFS('caseload data'!G:G,'caseload data'!$C:$C,'community %'!$B$22,'caseload data'!$D:$D,"SPO",'caseload data'!$B:$B,{"licence","community"}))/SUM(SUMIFS('caseload data'!G:G,'caseload data'!$B:$B,{"licence","community"},'caseload data'!$C:$C,'community %'!$B$22)),"")</f>
        <v/>
      </c>
      <c r="F27" s="175" t="str">
        <f>IFERROR(SUM(SUMIFS('caseload data'!H:H,'caseload data'!$C:$C,'community %'!$B$22,'caseload data'!$D:$D,"SPO",'caseload data'!$B:$B,{"licence","community"}))/SUM(SUMIFS('caseload data'!H:H,'caseload data'!$B:$B,{"licence","community"},'caseload data'!$C:$C,'community %'!$B$22)),"")</f>
        <v/>
      </c>
      <c r="G27" s="175" t="str">
        <f>IFERROR(SUM(SUMIFS('caseload data'!I:I,'caseload data'!$C:$C,'community %'!$B$22,'caseload data'!$D:$D,"SPO",'caseload data'!$B:$B,{"licence","community"}))/SUM(SUMIFS('caseload data'!I:I,'caseload data'!$B:$B,{"licence","community"},'caseload data'!$C:$C,'community %'!$B$22)),"")</f>
        <v/>
      </c>
      <c r="H27" s="175" t="str">
        <f>IFERROR(SUM(SUMIFS('caseload data'!J:J,'caseload data'!$C:$C,'community %'!$B$22,'caseload data'!$D:$D,"SPO",'caseload data'!$B:$B,{"licence","community"}))/SUM(SUMIFS('caseload data'!J:J,'caseload data'!$B:$B,{"licence","community"},'caseload data'!$C:$C,'community %'!$B$22)),"")</f>
        <v/>
      </c>
      <c r="I27" s="175" t="str">
        <f>IFERROR(SUM(SUMIFS('caseload data'!K:K,'caseload data'!$C:$C,'community %'!$B$22,'caseload data'!$D:$D,"SPO",'caseload data'!$B:$B,{"licence","community"}))/SUM(SUMIFS('caseload data'!K:K,'caseload data'!$B:$B,{"licence","community"},'caseload data'!$C:$C,'community %'!$B$22)),"")</f>
        <v/>
      </c>
      <c r="J27" s="175" t="str">
        <f>IFERROR(SUM(SUMIFS('caseload data'!L:L,'caseload data'!$C:$C,'community %'!$B$22,'caseload data'!$D:$D,"SPO",'caseload data'!$B:$B,{"licence","community"}))/SUM(SUMIFS('caseload data'!L:L,'caseload data'!$B:$B,{"licence","community"},'caseload data'!$C:$C,'community %'!$B$22)),"")</f>
        <v/>
      </c>
      <c r="K27" s="175" t="str">
        <f>IFERROR(SUM(SUMIFS('caseload data'!M:M,'caseload data'!$C:$C,'community %'!$B$22,'caseload data'!$D:$D,"SPO",'caseload data'!$B:$B,{"licence","community"}))/SUM(SUMIFS('caseload data'!M:M,'caseload data'!$B:$B,{"licence","community"},'caseload data'!$C:$C,'community %'!$B$22)),"")</f>
        <v/>
      </c>
      <c r="L27" s="175" t="str">
        <f>IFERROR(SUM(SUMIFS('caseload data'!N:N,'caseload data'!$C:$C,'community %'!$B$22,'caseload data'!$D:$D,"SPO",'caseload data'!$B:$B,{"licence","community"}))/SUM(SUMIFS('caseload data'!N:N,'caseload data'!$B:$B,{"licence","community"},'caseload data'!$C:$C,'community %'!$B$22)),"")</f>
        <v/>
      </c>
      <c r="M27" s="175" t="str">
        <f>IFERROR(SUM(SUMIFS('caseload data'!O:O,'caseload data'!$C:$C,'community %'!$B$22,'caseload data'!$D:$D,"SPO",'caseload data'!$B:$B,{"licence","community"}))/SUM(SUMIFS('caseload data'!O:O,'caseload data'!$B:$B,{"licence","community"},'caseload data'!$C:$C,'community %'!$B$22)),"")</f>
        <v/>
      </c>
      <c r="N27" s="175" t="str">
        <f>IFERROR(SUM(SUMIFS('caseload data'!P:P,'caseload data'!$C:$C,'community %'!$B$22,'caseload data'!$D:$D,"SPO",'caseload data'!$B:$B,{"licence","community"}))/SUM(SUMIFS('caseload data'!P:P,'caseload data'!$B:$B,{"licence","community"},'caseload data'!$C:$C,'community %'!$B$22)),"")</f>
        <v/>
      </c>
      <c r="O27" s="175" t="str">
        <f>IFERROR(SUM(SUMIFS('caseload data'!Q:Q,'caseload data'!$C:$C,'community %'!$B$22,'caseload data'!$D:$D,"SPO",'caseload data'!$B:$B,{"licence","community"}))/SUM(SUMIFS('caseload data'!Q:Q,'caseload data'!$B:$B,{"licence","community"},'caseload data'!$C:$C,'community %'!$B$22)),"")</f>
        <v/>
      </c>
      <c r="P27" s="175" t="str">
        <f>IFERROR(SUM(SUMIFS('caseload data'!R:R,'caseload data'!$C:$C,'community %'!$B$22,'caseload data'!$D:$D,"SPO",'caseload data'!$B:$B,{"licence","community"}))/SUM(SUMIFS('caseload data'!R:R,'caseload data'!$B:$B,{"licence","community"},'caseload data'!$C:$C,'community %'!$B$22)),"")</f>
        <v/>
      </c>
      <c r="Q27" s="175" t="str">
        <f>IFERROR(SUM(SUMIFS('caseload data'!S:S,'caseload data'!$C:$C,'community %'!$B$22,'caseload data'!$D:$D,"SPO",'caseload data'!$B:$B,{"licence","community"}))/SUM(SUMIFS('caseload data'!S:S,'caseload data'!$B:$B,{"licence","community"},'caseload data'!$C:$C,'community %'!$B$22)),"")</f>
        <v/>
      </c>
      <c r="R27" s="175" t="str">
        <f>IFERROR(SUM(SUMIFS('caseload data'!T:T,'caseload data'!$C:$C,'community %'!$B$22,'caseload data'!$D:$D,"SPO",'caseload data'!$B:$B,{"licence","community"}))/SUM(SUMIFS('caseload data'!T:T,'caseload data'!$B:$B,{"licence","community"},'caseload data'!$C:$C,'community %'!$B$22)),"")</f>
        <v/>
      </c>
      <c r="S27" s="68"/>
      <c r="T27" s="102" t="s">
        <v>1174</v>
      </c>
      <c r="U27" s="175" t="str">
        <f>IFERROR(SUM(SUMIFS('caseload data'!E:E,'caseload data'!$C:$C,'community %'!$T$22,'caseload data'!$D:$D,"SPO",'caseload data'!$B:$B,{"licence","community"}))/SUM(SUMIFS('caseload data'!E:E,'caseload data'!$B:$B,{"licence","community"},'caseload data'!$C:$C,'community %'!$T$22)),"")</f>
        <v/>
      </c>
      <c r="V27" s="175" t="str">
        <f>IFERROR(SUM(SUMIFS('caseload data'!F:F,'caseload data'!$C:$C,'community %'!$T$22,'caseload data'!$D:$D,"SPO",'caseload data'!$B:$B,{"licence","community"}))/SUM(SUMIFS('caseload data'!F:F,'caseload data'!$B:$B,{"licence","community"},'caseload data'!$C:$C,'community %'!$T$22)),"")</f>
        <v/>
      </c>
      <c r="W27" s="175" t="str">
        <f>IFERROR(SUM(SUMIFS('caseload data'!G:G,'caseload data'!$C:$C,'community %'!$T$22,'caseload data'!$D:$D,"SPO",'caseload data'!$B:$B,{"licence","community"}))/SUM(SUMIFS('caseload data'!G:G,'caseload data'!$B:$B,{"licence","community"},'caseload data'!$C:$C,'community %'!$T$22)),"")</f>
        <v/>
      </c>
      <c r="X27" s="175" t="str">
        <f>IFERROR(SUM(SUMIFS('caseload data'!H:H,'caseload data'!$C:$C,'community %'!$T$22,'caseload data'!$D:$D,"SPO",'caseload data'!$B:$B,{"licence","community"}))/SUM(SUMIFS('caseload data'!H:H,'caseload data'!$B:$B,{"licence","community"},'caseload data'!$C:$C,'community %'!$T$22)),"")</f>
        <v/>
      </c>
      <c r="Y27" s="175" t="str">
        <f>IFERROR(SUM(SUMIFS('caseload data'!I:I,'caseload data'!$C:$C,'community %'!$T$22,'caseload data'!$D:$D,"SPO",'caseload data'!$B:$B,{"licence","community"}))/SUM(SUMIFS('caseload data'!I:I,'caseload data'!$B:$B,{"licence","community"},'caseload data'!$C:$C,'community %'!$T$22)),"")</f>
        <v/>
      </c>
      <c r="Z27" s="175" t="str">
        <f>IFERROR(SUM(SUMIFS('caseload data'!J:J,'caseload data'!$C:$C,'community %'!$T$22,'caseload data'!$D:$D,"SPO",'caseload data'!$B:$B,{"licence","community"}))/SUM(SUMIFS('caseload data'!J:J,'caseload data'!$B:$B,{"licence","community"},'caseload data'!$C:$C,'community %'!$T$22)),"")</f>
        <v/>
      </c>
      <c r="AA27" s="175" t="str">
        <f>IFERROR(SUM(SUMIFS('caseload data'!K:K,'caseload data'!$C:$C,'community %'!$T$22,'caseload data'!$D:$D,"SPO",'caseload data'!$B:$B,{"licence","community"}))/SUM(SUMIFS('caseload data'!K:K,'caseload data'!$B:$B,{"licence","community"},'caseload data'!$C:$C,'community %'!$T$22)),"")</f>
        <v/>
      </c>
      <c r="AB27" s="175" t="str">
        <f>IFERROR(SUM(SUMIFS('caseload data'!L:L,'caseload data'!$C:$C,'community %'!$T$22,'caseload data'!$D:$D,"SPO",'caseload data'!$B:$B,{"licence","community"}))/SUM(SUMIFS('caseload data'!L:L,'caseload data'!$B:$B,{"licence","community"},'caseload data'!$C:$C,'community %'!$T$22)),"")</f>
        <v/>
      </c>
      <c r="AC27" s="175" t="str">
        <f>IFERROR(SUM(SUMIFS('caseload data'!M:M,'caseload data'!$C:$C,'community %'!$T$22,'caseload data'!$D:$D,"SPO",'caseload data'!$B:$B,{"licence","community"}))/SUM(SUMIFS('caseload data'!M:M,'caseload data'!$B:$B,{"licence","community"},'caseload data'!$C:$C,'community %'!$T$22)),"")</f>
        <v/>
      </c>
      <c r="AD27" s="175" t="str">
        <f>IFERROR(SUM(SUMIFS('caseload data'!N:N,'caseload data'!$C:$C,'community %'!$T$22,'caseload data'!$D:$D,"SPO",'caseload data'!$B:$B,{"licence","community"}))/SUM(SUMIFS('caseload data'!N:N,'caseload data'!$B:$B,{"licence","community"},'caseload data'!$C:$C,'community %'!$T$22)),"")</f>
        <v/>
      </c>
      <c r="AE27" s="175" t="str">
        <f>IFERROR(SUM(SUMIFS('caseload data'!O:O,'caseload data'!$C:$C,'community %'!$T$22,'caseload data'!$D:$D,"SPO",'caseload data'!$B:$B,{"licence","community"}))/SUM(SUMIFS('caseload data'!O:O,'caseload data'!$B:$B,{"licence","community"},'caseload data'!$C:$C,'community %'!$T$22)),"")</f>
        <v/>
      </c>
      <c r="AF27" s="175" t="str">
        <f>IFERROR(SUM(SUMIFS('caseload data'!P:P,'caseload data'!$C:$C,'community %'!$T$22,'caseload data'!$D:$D,"SPO",'caseload data'!$B:$B,{"licence","community"}))/SUM(SUMIFS('caseload data'!P:P,'caseload data'!$B:$B,{"licence","community"},'caseload data'!$C:$C,'community %'!$T$22)),"")</f>
        <v/>
      </c>
      <c r="AG27" s="175" t="str">
        <f>IFERROR(SUM(SUMIFS('caseload data'!Q:Q,'caseload data'!$C:$C,'community %'!$T$22,'caseload data'!$D:$D,"SPO",'caseload data'!$B:$B,{"licence","community"}))/SUM(SUMIFS('caseload data'!Q:Q,'caseload data'!$B:$B,{"licence","community"},'caseload data'!$C:$C,'community %'!$T$22)),"")</f>
        <v/>
      </c>
      <c r="AH27" s="175" t="str">
        <f>IFERROR(SUM(SUMIFS('caseload data'!R:R,'caseload data'!$C:$C,'community %'!$T$22,'caseload data'!$D:$D,"SPO",'caseload data'!$B:$B,{"licence","community"}))/SUM(SUMIFS('caseload data'!R:R,'caseload data'!$B:$B,{"licence","community"},'caseload data'!$C:$C,'community %'!$T$22)),"")</f>
        <v/>
      </c>
      <c r="AI27" s="175" t="str">
        <f>IFERROR(SUM(SUMIFS('caseload data'!S:S,'caseload data'!$C:$C,'community %'!$T$22,'caseload data'!$D:$D,"SPO",'caseload data'!$B:$B,{"licence","community"}))/SUM(SUMIFS('caseload data'!S:S,'caseload data'!$B:$B,{"licence","community"},'caseload data'!$C:$C,'community %'!$T$22)),"")</f>
        <v/>
      </c>
      <c r="AJ27" s="175" t="str">
        <f>IFERROR(SUM(SUMIFS('caseload data'!T:T,'caseload data'!$C:$C,'community %'!$T$22,'caseload data'!$D:$D,"SPO",'caseload data'!$B:$B,{"licence","community"}))/SUM(SUMIFS('caseload data'!T:T,'caseload data'!$B:$B,{"licence","community"},'caseload data'!$C:$C,'community %'!$T$22)),"")</f>
        <v/>
      </c>
    </row>
    <row r="28" spans="2:36" x14ac:dyDescent="0.15">
      <c r="B28" s="95"/>
      <c r="C28" s="68"/>
      <c r="D28" s="68"/>
      <c r="E28" s="68"/>
      <c r="F28" s="68"/>
      <c r="G28" s="68"/>
      <c r="H28" s="68"/>
      <c r="I28" s="68"/>
      <c r="J28" s="68"/>
      <c r="K28" s="68"/>
      <c r="L28" s="68"/>
      <c r="M28" s="68"/>
      <c r="N28" s="68"/>
      <c r="O28" s="68"/>
      <c r="P28" s="68"/>
      <c r="Q28" s="68"/>
      <c r="R28" s="68"/>
      <c r="S28" s="68"/>
      <c r="T28" s="95"/>
      <c r="U28" s="68"/>
      <c r="V28" s="68"/>
      <c r="W28" s="68"/>
      <c r="X28" s="68"/>
      <c r="Y28" s="68"/>
      <c r="Z28" s="68"/>
      <c r="AA28" s="68"/>
      <c r="AB28" s="68"/>
      <c r="AC28" s="68"/>
      <c r="AD28" s="68"/>
      <c r="AE28" s="68"/>
      <c r="AF28" s="68"/>
      <c r="AG28" s="68"/>
      <c r="AH28" s="68"/>
      <c r="AI28" s="68"/>
      <c r="AJ28" s="68"/>
    </row>
    <row r="29" spans="2:36" ht="27.75" customHeight="1" x14ac:dyDescent="0.15">
      <c r="B29" s="302" t="str">
        <f>HLOOKUP($B$5,Region_Table,8,0)</f>
        <v>Ealing and Hillingdon</v>
      </c>
      <c r="C29" s="459" t="s">
        <v>1313</v>
      </c>
      <c r="D29" s="460"/>
      <c r="E29" s="460"/>
      <c r="F29" s="460"/>
      <c r="G29" s="460"/>
      <c r="H29" s="460"/>
      <c r="I29" s="460"/>
      <c r="J29" s="460"/>
      <c r="K29" s="460"/>
      <c r="L29" s="460"/>
      <c r="M29" s="489"/>
      <c r="N29" s="489"/>
      <c r="O29" s="490"/>
      <c r="P29" s="462" cm="1">
        <f t="array" ref="P29">SUM(SUMIFS('caseload data'!V:V,'caseload data'!B:B,{"licence","community"},'caseload data'!$C:$C,B29))</f>
        <v>0</v>
      </c>
      <c r="Q29" s="479"/>
      <c r="R29" s="480"/>
      <c r="S29" s="68"/>
      <c r="T29" s="302" t="str">
        <f>HLOOKUP($B$5,Region_Table,9,0)</f>
        <v>Enfield and Haringey</v>
      </c>
      <c r="U29" s="459" t="s">
        <v>1313</v>
      </c>
      <c r="V29" s="460"/>
      <c r="W29" s="460"/>
      <c r="X29" s="460"/>
      <c r="Y29" s="460"/>
      <c r="Z29" s="460"/>
      <c r="AA29" s="460"/>
      <c r="AB29" s="460"/>
      <c r="AC29" s="460"/>
      <c r="AD29" s="460"/>
      <c r="AE29" s="489"/>
      <c r="AF29" s="489"/>
      <c r="AG29" s="490"/>
      <c r="AH29" s="462" cm="1">
        <f t="array" ref="AH29">SUM(SUMIFS('caseload data'!V:V,'caseload data'!B:B,{"licence","community"},'caseload data'!$C:$C,T29))</f>
        <v>0</v>
      </c>
      <c r="AI29" s="479"/>
      <c r="AJ29" s="480"/>
    </row>
    <row r="30" spans="2:36" x14ac:dyDescent="0.15">
      <c r="B30" s="99" t="s">
        <v>1170</v>
      </c>
      <c r="C30" s="40" t="s">
        <v>1022</v>
      </c>
      <c r="D30" s="40" t="s">
        <v>1023</v>
      </c>
      <c r="E30" s="40" t="s">
        <v>1024</v>
      </c>
      <c r="F30" s="40" t="s">
        <v>1025</v>
      </c>
      <c r="G30" s="40" t="s">
        <v>1026</v>
      </c>
      <c r="H30" s="40" t="s">
        <v>1027</v>
      </c>
      <c r="I30" s="40" t="s">
        <v>1028</v>
      </c>
      <c r="J30" s="40" t="s">
        <v>1029</v>
      </c>
      <c r="K30" s="40" t="s">
        <v>1030</v>
      </c>
      <c r="L30" s="40" t="s">
        <v>1031</v>
      </c>
      <c r="M30" s="40" t="s">
        <v>1032</v>
      </c>
      <c r="N30" s="40" t="s">
        <v>1033</v>
      </c>
      <c r="O30" s="40" t="s">
        <v>1034</v>
      </c>
      <c r="P30" s="40" t="s">
        <v>1035</v>
      </c>
      <c r="Q30" s="40" t="s">
        <v>1036</v>
      </c>
      <c r="R30" s="40" t="s">
        <v>1037</v>
      </c>
      <c r="S30" s="68"/>
      <c r="T30" s="99" t="s">
        <v>1170</v>
      </c>
      <c r="U30" s="40" t="s">
        <v>1022</v>
      </c>
      <c r="V30" s="40" t="s">
        <v>1023</v>
      </c>
      <c r="W30" s="40" t="s">
        <v>1024</v>
      </c>
      <c r="X30" s="40" t="s">
        <v>1025</v>
      </c>
      <c r="Y30" s="40" t="s">
        <v>1026</v>
      </c>
      <c r="Z30" s="40" t="s">
        <v>1027</v>
      </c>
      <c r="AA30" s="40" t="s">
        <v>1028</v>
      </c>
      <c r="AB30" s="40" t="s">
        <v>1029</v>
      </c>
      <c r="AC30" s="40" t="s">
        <v>1030</v>
      </c>
      <c r="AD30" s="40" t="s">
        <v>1031</v>
      </c>
      <c r="AE30" s="40" t="s">
        <v>1032</v>
      </c>
      <c r="AF30" s="40" t="s">
        <v>1033</v>
      </c>
      <c r="AG30" s="40" t="s">
        <v>1034</v>
      </c>
      <c r="AH30" s="40" t="s">
        <v>1035</v>
      </c>
      <c r="AI30" s="40" t="s">
        <v>1036</v>
      </c>
      <c r="AJ30" s="40" t="s">
        <v>1037</v>
      </c>
    </row>
    <row r="31" spans="2:36" x14ac:dyDescent="0.15">
      <c r="B31" s="100" t="s">
        <v>1166</v>
      </c>
      <c r="C31" s="175" t="str">
        <f>IFERROR(SUM(SUMIFS('caseload data'!E:E,'caseload data'!$C:$C,'community %'!$B$29,'caseload data'!$D:$D,"PO",'caseload data'!$B:$B,{"licence","community"}))/SUM(SUMIFS('caseload data'!E:E,'caseload data'!$B:$B,{"licence","community"},'caseload data'!$C:$C,'community %'!$B$29)),"")</f>
        <v/>
      </c>
      <c r="D31" s="175" t="str">
        <f>IFERROR(SUM(SUMIFS('caseload data'!F:F,'caseload data'!$C:$C,'community %'!$B$29,'caseload data'!$D:$D,"PO",'caseload data'!$B:$B,{"licence","community"}))/SUM(SUMIFS('caseload data'!F:F,'caseload data'!$B:$B,{"licence","community"},'caseload data'!$C:$C,'community %'!$B$29)),"")</f>
        <v/>
      </c>
      <c r="E31" s="175" t="str">
        <f>IFERROR(SUM(SUMIFS('caseload data'!G:G,'caseload data'!$C:$C,'community %'!$B$29,'caseload data'!$D:$D,"PO",'caseload data'!$B:$B,{"licence","community"}))/SUM(SUMIFS('caseload data'!G:G,'caseload data'!$B:$B,{"licence","community"},'caseload data'!$C:$C,'community %'!$B$29)),"")</f>
        <v/>
      </c>
      <c r="F31" s="175" t="str">
        <f>IFERROR(SUM(SUMIFS('caseload data'!H:H,'caseload data'!$C:$C,'community %'!$B$29,'caseload data'!$D:$D,"PO",'caseload data'!$B:$B,{"licence","community"}))/SUM(SUMIFS('caseload data'!H:H,'caseload data'!$B:$B,{"licence","community"},'caseload data'!$C:$C,'community %'!$B$29)),"")</f>
        <v/>
      </c>
      <c r="G31" s="175" t="str">
        <f>IFERROR(SUM(SUMIFS('caseload data'!I:I,'caseload data'!$C:$C,'community %'!$B$29,'caseload data'!$D:$D,"PO",'caseload data'!$B:$B,{"licence","community"}))/SUM(SUMIFS('caseload data'!I:I,'caseload data'!$B:$B,{"licence","community"},'caseload data'!$C:$C,'community %'!$B$29)),"")</f>
        <v/>
      </c>
      <c r="H31" s="175" t="str">
        <f>IFERROR(SUM(SUMIFS('caseload data'!J:J,'caseload data'!$C:$C,'community %'!$B$29,'caseload data'!$D:$D,"PO",'caseload data'!$B:$B,{"licence","community"}))/SUM(SUMIFS('caseload data'!J:J,'caseload data'!$B:$B,{"licence","community"},'caseload data'!$C:$C,'community %'!$B$29)),"")</f>
        <v/>
      </c>
      <c r="I31" s="175" t="str">
        <f>IFERROR(SUM(SUMIFS('caseload data'!K:K,'caseload data'!$C:$C,'community %'!$B$29,'caseload data'!$D:$D,"PO",'caseload data'!$B:$B,{"licence","community"}))/SUM(SUMIFS('caseload data'!K:K,'caseload data'!$B:$B,{"licence","community"},'caseload data'!$C:$C,'community %'!$B$29)),"")</f>
        <v/>
      </c>
      <c r="J31" s="175" t="str">
        <f>IFERROR(SUM(SUMIFS('caseload data'!L:L,'caseload data'!$C:$C,'community %'!$B$29,'caseload data'!$D:$D,"PO",'caseload data'!$B:$B,{"licence","community"}))/SUM(SUMIFS('caseload data'!L:L,'caseload data'!$B:$B,{"licence","community"},'caseload data'!$C:$C,'community %'!$B$29)),"")</f>
        <v/>
      </c>
      <c r="K31" s="175" t="str">
        <f>IFERROR(SUM(SUMIFS('caseload data'!M:M,'caseload data'!$C:$C,'community %'!$B$29,'caseload data'!$D:$D,"PO",'caseload data'!$B:$B,{"licence","community"}))/SUM(SUMIFS('caseload data'!M:M,'caseload data'!$B:$B,{"licence","community"},'caseload data'!$C:$C,'community %'!$B$29)),"")</f>
        <v/>
      </c>
      <c r="L31" s="175" t="str">
        <f>IFERROR(SUM(SUMIFS('caseload data'!N:N,'caseload data'!$C:$C,'community %'!$B$29,'caseload data'!$D:$D,"PO",'caseload data'!$B:$B,{"licence","community"}))/SUM(SUMIFS('caseload data'!N:N,'caseload data'!$B:$B,{"licence","community"},'caseload data'!$C:$C,'community %'!$B$29)),"")</f>
        <v/>
      </c>
      <c r="M31" s="175" t="str">
        <f>IFERROR(SUM(SUMIFS('caseload data'!O:O,'caseload data'!$C:$C,'community %'!$B$29,'caseload data'!$D:$D,"PO",'caseload data'!$B:$B,{"licence","community"}))/SUM(SUMIFS('caseload data'!O:O,'caseload data'!$B:$B,{"licence","community"},'caseload data'!$C:$C,'community %'!$B$29)),"")</f>
        <v/>
      </c>
      <c r="N31" s="175" t="str">
        <f>IFERROR(SUM(SUMIFS('caseload data'!P:P,'caseload data'!$C:$C,'community %'!$B$29,'caseload data'!$D:$D,"PO",'caseload data'!$B:$B,{"licence","community"}))/SUM(SUMIFS('caseload data'!P:P,'caseload data'!$B:$B,{"licence","community"},'caseload data'!$C:$C,'community %'!$B$29)),"")</f>
        <v/>
      </c>
      <c r="O31" s="175" t="str">
        <f>IFERROR(SUM(SUMIFS('caseload data'!Q:Q,'caseload data'!$C:$C,'community %'!$B$29,'caseload data'!$D:$D,"PO",'caseload data'!$B:$B,{"licence","community"}))/SUM(SUMIFS('caseload data'!Q:Q,'caseload data'!$B:$B,{"licence","community"},'caseload data'!$C:$C,'community %'!$B$29)),"")</f>
        <v/>
      </c>
      <c r="P31" s="175" t="str">
        <f>IFERROR(SUM(SUMIFS('caseload data'!R:R,'caseload data'!$C:$C,'community %'!$B$29,'caseload data'!$D:$D,"PO",'caseload data'!$B:$B,{"licence","community"}))/SUM(SUMIFS('caseload data'!R:R,'caseload data'!$B:$B,{"licence","community"},'caseload data'!$C:$C,'community %'!$B$29)),"")</f>
        <v/>
      </c>
      <c r="Q31" s="175" t="str">
        <f>IFERROR(SUM(SUMIFS('caseload data'!S:S,'caseload data'!$C:$C,'community %'!$B$29,'caseload data'!$D:$D,"PO",'caseload data'!$B:$B,{"licence","community"}))/SUM(SUMIFS('caseload data'!S:S,'caseload data'!$B:$B,{"licence","community"},'caseload data'!$C:$C,'community %'!$B$29)),"")</f>
        <v/>
      </c>
      <c r="R31" s="175" t="str">
        <f>IFERROR(SUM(SUMIFS('caseload data'!T:T,'caseload data'!$C:$C,'community %'!$B$29,'caseload data'!$D:$D,"PO",'caseload data'!$B:$B,{"licence","community"}))/SUM(SUMIFS('caseload data'!T:T,'caseload data'!$B:$B,{"licence","community"},'caseload data'!$C:$C,'community %'!$B$29)),"")</f>
        <v/>
      </c>
      <c r="S31" s="68"/>
      <c r="T31" s="100" t="s">
        <v>1166</v>
      </c>
      <c r="U31" s="175" t="str">
        <f>IFERROR(SUM(SUMIFS('caseload data'!E:E,'caseload data'!$C:$C,'community %'!$T$29,'caseload data'!$D:$D,"PO",'caseload data'!$B:$B,{"licence","community"}))/SUM(SUMIFS('caseload data'!E:E,'caseload data'!$B:$B,{"licence","community"},'caseload data'!$C:$C,'community %'!$T$29)),"")</f>
        <v/>
      </c>
      <c r="V31" s="175" t="str">
        <f>IFERROR(SUM(SUMIFS('caseload data'!F:F,'caseload data'!$C:$C,'community %'!$T$29,'caseload data'!$D:$D,"PO",'caseload data'!$B:$B,{"licence","community"}))/SUM(SUMIFS('caseload data'!F:F,'caseload data'!$B:$B,{"licence","community"},'caseload data'!$C:$C,'community %'!$T$29)),"")</f>
        <v/>
      </c>
      <c r="W31" s="175" t="str">
        <f>IFERROR(SUM(SUMIFS('caseload data'!G:G,'caseload data'!$C:$C,'community %'!$T$29,'caseload data'!$D:$D,"PO",'caseload data'!$B:$B,{"licence","community"}))/SUM(SUMIFS('caseload data'!G:G,'caseload data'!$B:$B,{"licence","community"},'caseload data'!$C:$C,'community %'!$T$29)),"")</f>
        <v/>
      </c>
      <c r="X31" s="175" t="str">
        <f>IFERROR(SUM(SUMIFS('caseload data'!H:H,'caseload data'!$C:$C,'community %'!$T$29,'caseload data'!$D:$D,"PO",'caseload data'!$B:$B,{"licence","community"}))/SUM(SUMIFS('caseload data'!H:H,'caseload data'!$B:$B,{"licence","community"},'caseload data'!$C:$C,'community %'!$T$29)),"")</f>
        <v/>
      </c>
      <c r="Y31" s="175" t="str">
        <f>IFERROR(SUM(SUMIFS('caseload data'!I:I,'caseload data'!$C:$C,'community %'!$T$29,'caseload data'!$D:$D,"PO",'caseload data'!$B:$B,{"licence","community"}))/SUM(SUMIFS('caseload data'!I:I,'caseload data'!$B:$B,{"licence","community"},'caseload data'!$C:$C,'community %'!$T$29)),"")</f>
        <v/>
      </c>
      <c r="Z31" s="175" t="str">
        <f>IFERROR(SUM(SUMIFS('caseload data'!J:J,'caseload data'!$C:$C,'community %'!$T$29,'caseload data'!$D:$D,"PO",'caseload data'!$B:$B,{"licence","community"}))/SUM(SUMIFS('caseload data'!J:J,'caseload data'!$B:$B,{"licence","community"},'caseload data'!$C:$C,'community %'!$T$29)),"")</f>
        <v/>
      </c>
      <c r="AA31" s="175" t="str">
        <f>IFERROR(SUM(SUMIFS('caseload data'!K:K,'caseload data'!$C:$C,'community %'!$T$29,'caseload data'!$D:$D,"PO",'caseload data'!$B:$B,{"licence","community"}))/SUM(SUMIFS('caseload data'!K:K,'caseload data'!$B:$B,{"licence","community"},'caseload data'!$C:$C,'community %'!$T$29)),"")</f>
        <v/>
      </c>
      <c r="AB31" s="175" t="str">
        <f>IFERROR(SUM(SUMIFS('caseload data'!L:L,'caseload data'!$C:$C,'community %'!$T$29,'caseload data'!$D:$D,"PO",'caseload data'!$B:$B,{"licence","community"}))/SUM(SUMIFS('caseload data'!L:L,'caseload data'!$B:$B,{"licence","community"},'caseload data'!$C:$C,'community %'!$T$29)),"")</f>
        <v/>
      </c>
      <c r="AC31" s="175" t="str">
        <f>IFERROR(SUM(SUMIFS('caseload data'!M:M,'caseload data'!$C:$C,'community %'!$T$29,'caseload data'!$D:$D,"PO",'caseload data'!$B:$B,{"licence","community"}))/SUM(SUMIFS('caseload data'!M:M,'caseload data'!$B:$B,{"licence","community"},'caseload data'!$C:$C,'community %'!$T$29)),"")</f>
        <v/>
      </c>
      <c r="AD31" s="175" t="str">
        <f>IFERROR(SUM(SUMIFS('caseload data'!N:N,'caseload data'!$C:$C,'community %'!$T$29,'caseload data'!$D:$D,"PO",'caseload data'!$B:$B,{"licence","community"}))/SUM(SUMIFS('caseload data'!N:N,'caseload data'!$B:$B,{"licence","community"},'caseload data'!$C:$C,'community %'!$T$29)),"")</f>
        <v/>
      </c>
      <c r="AE31" s="175" t="str">
        <f>IFERROR(SUM(SUMIFS('caseload data'!O:O,'caseload data'!$C:$C,'community %'!$T$29,'caseload data'!$D:$D,"PO",'caseload data'!$B:$B,{"licence","community"}))/SUM(SUMIFS('caseload data'!O:O,'caseload data'!$B:$B,{"licence","community"},'caseload data'!$C:$C,'community %'!$T$29)),"")</f>
        <v/>
      </c>
      <c r="AF31" s="175" t="str">
        <f>IFERROR(SUM(SUMIFS('caseload data'!P:P,'caseload data'!$C:$C,'community %'!$T$29,'caseload data'!$D:$D,"PO",'caseload data'!$B:$B,{"licence","community"}))/SUM(SUMIFS('caseload data'!P:P,'caseload data'!$B:$B,{"licence","community"},'caseload data'!$C:$C,'community %'!$T$29)),"")</f>
        <v/>
      </c>
      <c r="AG31" s="175" t="str">
        <f>IFERROR(SUM(SUMIFS('caseload data'!Q:Q,'caseload data'!$C:$C,'community %'!$T$29,'caseload data'!$D:$D,"PO",'caseload data'!$B:$B,{"licence","community"}))/SUM(SUMIFS('caseload data'!Q:Q,'caseload data'!$B:$B,{"licence","community"},'caseload data'!$C:$C,'community %'!$T$29)),"")</f>
        <v/>
      </c>
      <c r="AH31" s="175" t="str">
        <f>IFERROR(SUM(SUMIFS('caseload data'!R:R,'caseload data'!$C:$C,'community %'!$T$29,'caseload data'!$D:$D,"PO",'caseload data'!$B:$B,{"licence","community"}))/SUM(SUMIFS('caseload data'!R:R,'caseload data'!$B:$B,{"licence","community"},'caseload data'!$C:$C,'community %'!$T$29)),"")</f>
        <v/>
      </c>
      <c r="AI31" s="175" t="str">
        <f>IFERROR(SUM(SUMIFS('caseload data'!S:S,'caseload data'!$C:$C,'community %'!$T$29,'caseload data'!$D:$D,"PO",'caseload data'!$B:$B,{"licence","community"}))/SUM(SUMIFS('caseload data'!S:S,'caseload data'!$B:$B,{"licence","community"},'caseload data'!$C:$C,'community %'!$T$29)),"")</f>
        <v/>
      </c>
      <c r="AJ31" s="175" t="str">
        <f>IFERROR(SUM(SUMIFS('caseload data'!T:T,'caseload data'!$C:$C,'community %'!$T$29,'caseload data'!$D:$D,"PO",'caseload data'!$B:$B,{"licence","community"}))/SUM(SUMIFS('caseload data'!T:T,'caseload data'!$B:$B,{"licence","community"},'caseload data'!$C:$C,'community %'!$T$29)),"")</f>
        <v/>
      </c>
    </row>
    <row r="32" spans="2:36" x14ac:dyDescent="0.15">
      <c r="B32" s="101" t="s">
        <v>1172</v>
      </c>
      <c r="C32" s="175" t="str">
        <f>IFERROR(SUM(SUMIFS('caseload data'!E:E,'caseload data'!$C:$C,'community %'!$B$29,'caseload data'!$D:$D,"PSO",'caseload data'!$B:$B,{"licence","community"}))/SUM(SUMIFS('caseload data'!E:E,'caseload data'!$B:$B,{"licence","community"},'caseload data'!$C:$C,'community %'!$B$29)),"")</f>
        <v/>
      </c>
      <c r="D32" s="175" t="str">
        <f>IFERROR(SUM(SUMIFS('caseload data'!F:F,'caseload data'!$C:$C,'community %'!$B$29,'caseload data'!$D:$D,"PSO",'caseload data'!$B:$B,{"licence","community"}))/SUM(SUMIFS('caseload data'!F:F,'caseload data'!$B:$B,{"licence","community"},'caseload data'!$C:$C,'community %'!$B$29)),"")</f>
        <v/>
      </c>
      <c r="E32" s="175" t="str">
        <f>IFERROR(SUM(SUMIFS('caseload data'!G:G,'caseload data'!$C:$C,'community %'!$B$29,'caseload data'!$D:$D,"PSO",'caseload data'!$B:$B,{"licence","community"}))/SUM(SUMIFS('caseload data'!G:G,'caseload data'!$B:$B,{"licence","community"},'caseload data'!$C:$C,'community %'!$B$29)),"")</f>
        <v/>
      </c>
      <c r="F32" s="175" t="str">
        <f>IFERROR(SUM(SUMIFS('caseload data'!H:H,'caseload data'!$C:$C,'community %'!$B$29,'caseload data'!$D:$D,"PSO",'caseload data'!$B:$B,{"licence","community"}))/SUM(SUMIFS('caseload data'!H:H,'caseload data'!$B:$B,{"licence","community"},'caseload data'!$C:$C,'community %'!$B$29)),"")</f>
        <v/>
      </c>
      <c r="G32" s="175" t="str">
        <f>IFERROR(SUM(SUMIFS('caseload data'!I:I,'caseload data'!$C:$C,'community %'!$B$29,'caseload data'!$D:$D,"PSO",'caseload data'!$B:$B,{"licence","community"}))/SUM(SUMIFS('caseload data'!I:I,'caseload data'!$B:$B,{"licence","community"},'caseload data'!$C:$C,'community %'!$B$29)),"")</f>
        <v/>
      </c>
      <c r="H32" s="175" t="str">
        <f>IFERROR(SUM(SUMIFS('caseload data'!J:J,'caseload data'!$C:$C,'community %'!$B$29,'caseload data'!$D:$D,"PSO",'caseload data'!$B:$B,{"licence","community"}))/SUM(SUMIFS('caseload data'!J:J,'caseload data'!$B:$B,{"licence","community"},'caseload data'!$C:$C,'community %'!$B$29)),"")</f>
        <v/>
      </c>
      <c r="I32" s="175" t="str">
        <f>IFERROR(SUM(SUMIFS('caseload data'!K:K,'caseload data'!$C:$C,'community %'!$B$29,'caseload data'!$D:$D,"PSO",'caseload data'!$B:$B,{"licence","community"}))/SUM(SUMIFS('caseload data'!K:K,'caseload data'!$B:$B,{"licence","community"},'caseload data'!$C:$C,'community %'!$B$29)),"")</f>
        <v/>
      </c>
      <c r="J32" s="175" t="str">
        <f>IFERROR(SUM(SUMIFS('caseload data'!L:L,'caseload data'!$C:$C,'community %'!$B$29,'caseload data'!$D:$D,"PSO",'caseload data'!$B:$B,{"licence","community"}))/SUM(SUMIFS('caseload data'!L:L,'caseload data'!$B:$B,{"licence","community"},'caseload data'!$C:$C,'community %'!$B$29)),"")</f>
        <v/>
      </c>
      <c r="K32" s="175" t="str">
        <f>IFERROR(SUM(SUMIFS('caseload data'!M:M,'caseload data'!$C:$C,'community %'!$B$29,'caseload data'!$D:$D,"PSO",'caseload data'!$B:$B,{"licence","community"}))/SUM(SUMIFS('caseload data'!M:M,'caseload data'!$B:$B,{"licence","community"},'caseload data'!$C:$C,'community %'!$B$29)),"")</f>
        <v/>
      </c>
      <c r="L32" s="175" t="str">
        <f>IFERROR(SUM(SUMIFS('caseload data'!N:N,'caseload data'!$C:$C,'community %'!$B$29,'caseload data'!$D:$D,"PSO",'caseload data'!$B:$B,{"licence","community"}))/SUM(SUMIFS('caseload data'!N:N,'caseload data'!$B:$B,{"licence","community"},'caseload data'!$C:$C,'community %'!$B$29)),"")</f>
        <v/>
      </c>
      <c r="M32" s="175" t="str">
        <f>IFERROR(SUM(SUMIFS('caseload data'!O:O,'caseload data'!$C:$C,'community %'!$B$29,'caseload data'!$D:$D,"PSO",'caseload data'!$B:$B,{"licence","community"}))/SUM(SUMIFS('caseload data'!O:O,'caseload data'!$B:$B,{"licence","community"},'caseload data'!$C:$C,'community %'!$B$29)),"")</f>
        <v/>
      </c>
      <c r="N32" s="175" t="str">
        <f>IFERROR(SUM(SUMIFS('caseload data'!P:P,'caseload data'!$C:$C,'community %'!$B$29,'caseload data'!$D:$D,"PSO",'caseload data'!$B:$B,{"licence","community"}))/SUM(SUMIFS('caseload data'!P:P,'caseload data'!$B:$B,{"licence","community"},'caseload data'!$C:$C,'community %'!$B$29)),"")</f>
        <v/>
      </c>
      <c r="O32" s="175" t="str">
        <f>IFERROR(SUM(SUMIFS('caseload data'!Q:Q,'caseload data'!$C:$C,'community %'!$B$29,'caseload data'!$D:$D,"PSO",'caseload data'!$B:$B,{"licence","community"}))/SUM(SUMIFS('caseload data'!Q:Q,'caseload data'!$B:$B,{"licence","community"},'caseload data'!$C:$C,'community %'!$B$29)),"")</f>
        <v/>
      </c>
      <c r="P32" s="175" t="str">
        <f>IFERROR(SUM(SUMIFS('caseload data'!R:R,'caseload data'!$C:$C,'community %'!$B$29,'caseload data'!$D:$D,"PSO",'caseload data'!$B:$B,{"licence","community"}))/SUM(SUMIFS('caseload data'!R:R,'caseload data'!$B:$B,{"licence","community"},'caseload data'!$C:$C,'community %'!$B$29)),"")</f>
        <v/>
      </c>
      <c r="Q32" s="175" t="str">
        <f>IFERROR(SUM(SUMIFS('caseload data'!S:S,'caseload data'!$C:$C,'community %'!$B$29,'caseload data'!$D:$D,"PSO",'caseload data'!$B:$B,{"licence","community"}))/SUM(SUMIFS('caseload data'!S:S,'caseload data'!$B:$B,{"licence","community"},'caseload data'!$C:$C,'community %'!$B$29)),"")</f>
        <v/>
      </c>
      <c r="R32" s="175" t="str">
        <f>IFERROR(SUM(SUMIFS('caseload data'!T:T,'caseload data'!$C:$C,'community %'!$B$29,'caseload data'!$D:$D,"PSO",'caseload data'!$B:$B,{"licence","community"}))/SUM(SUMIFS('caseload data'!T:T,'caseload data'!$B:$B,{"licence","community"},'caseload data'!$C:$C,'community %'!$B$29)),"")</f>
        <v/>
      </c>
      <c r="S32" s="68"/>
      <c r="T32" s="101" t="s">
        <v>1172</v>
      </c>
      <c r="U32" s="175" t="str">
        <f>IFERROR(SUM(SUMIFS('caseload data'!E:E,'caseload data'!$C:$C,'community %'!$T$29,'caseload data'!$D:$D,"PSO",'caseload data'!$B:$B,{"licence","community"}))/SUM(SUMIFS('caseload data'!E:E,'caseload data'!$B:$B,{"licence","community"},'caseload data'!$C:$C,'community %'!$T$29)),"")</f>
        <v/>
      </c>
      <c r="V32" s="175" t="str">
        <f>IFERROR(SUM(SUMIFS('caseload data'!F:F,'caseload data'!$C:$C,'community %'!$T$29,'caseload data'!$D:$D,"PSO",'caseload data'!$B:$B,{"licence","community"}))/SUM(SUMIFS('caseload data'!F:F,'caseload data'!$B:$B,{"licence","community"},'caseload data'!$C:$C,'community %'!$T$29)),"")</f>
        <v/>
      </c>
      <c r="W32" s="175" t="str">
        <f>IFERROR(SUM(SUMIFS('caseload data'!G:G,'caseload data'!$C:$C,'community %'!$T$29,'caseload data'!$D:$D,"PSO",'caseload data'!$B:$B,{"licence","community"}))/SUM(SUMIFS('caseload data'!G:G,'caseload data'!$B:$B,{"licence","community"},'caseload data'!$C:$C,'community %'!$T$29)),"")</f>
        <v/>
      </c>
      <c r="X32" s="175" t="str">
        <f>IFERROR(SUM(SUMIFS('caseload data'!H:H,'caseload data'!$C:$C,'community %'!$T$29,'caseload data'!$D:$D,"PSO",'caseload data'!$B:$B,{"licence","community"}))/SUM(SUMIFS('caseload data'!H:H,'caseload data'!$B:$B,{"licence","community"},'caseload data'!$C:$C,'community %'!$T$29)),"")</f>
        <v/>
      </c>
      <c r="Y32" s="175" t="str">
        <f>IFERROR(SUM(SUMIFS('caseload data'!I:I,'caseload data'!$C:$C,'community %'!$T$29,'caseload data'!$D:$D,"PSO",'caseload data'!$B:$B,{"licence","community"}))/SUM(SUMIFS('caseload data'!I:I,'caseload data'!$B:$B,{"licence","community"},'caseload data'!$C:$C,'community %'!$T$29)),"")</f>
        <v/>
      </c>
      <c r="Z32" s="175" t="str">
        <f>IFERROR(SUM(SUMIFS('caseload data'!J:J,'caseload data'!$C:$C,'community %'!$T$29,'caseload data'!$D:$D,"PSO",'caseload data'!$B:$B,{"licence","community"}))/SUM(SUMIFS('caseload data'!J:J,'caseload data'!$B:$B,{"licence","community"},'caseload data'!$C:$C,'community %'!$T$29)),"")</f>
        <v/>
      </c>
      <c r="AA32" s="175" t="str">
        <f>IFERROR(SUM(SUMIFS('caseload data'!K:K,'caseload data'!$C:$C,'community %'!$T$29,'caseload data'!$D:$D,"PSO",'caseload data'!$B:$B,{"licence","community"}))/SUM(SUMIFS('caseload data'!K:K,'caseload data'!$B:$B,{"licence","community"},'caseload data'!$C:$C,'community %'!$T$29)),"")</f>
        <v/>
      </c>
      <c r="AB32" s="175" t="str">
        <f>IFERROR(SUM(SUMIFS('caseload data'!L:L,'caseload data'!$C:$C,'community %'!$T$29,'caseload data'!$D:$D,"PSO",'caseload data'!$B:$B,{"licence","community"}))/SUM(SUMIFS('caseload data'!L:L,'caseload data'!$B:$B,{"licence","community"},'caseload data'!$C:$C,'community %'!$T$29)),"")</f>
        <v/>
      </c>
      <c r="AC32" s="175" t="str">
        <f>IFERROR(SUM(SUMIFS('caseload data'!M:M,'caseload data'!$C:$C,'community %'!$T$29,'caseload data'!$D:$D,"PSO",'caseload data'!$B:$B,{"licence","community"}))/SUM(SUMIFS('caseload data'!M:M,'caseload data'!$B:$B,{"licence","community"},'caseload data'!$C:$C,'community %'!$T$29)),"")</f>
        <v/>
      </c>
      <c r="AD32" s="175" t="str">
        <f>IFERROR(SUM(SUMIFS('caseload data'!N:N,'caseload data'!$C:$C,'community %'!$T$29,'caseload data'!$D:$D,"PSO",'caseload data'!$B:$B,{"licence","community"}))/SUM(SUMIFS('caseload data'!N:N,'caseload data'!$B:$B,{"licence","community"},'caseload data'!$C:$C,'community %'!$T$29)),"")</f>
        <v/>
      </c>
      <c r="AE32" s="175" t="str">
        <f>IFERROR(SUM(SUMIFS('caseload data'!O:O,'caseload data'!$C:$C,'community %'!$T$29,'caseload data'!$D:$D,"PSO",'caseload data'!$B:$B,{"licence","community"}))/SUM(SUMIFS('caseload data'!O:O,'caseload data'!$B:$B,{"licence","community"},'caseload data'!$C:$C,'community %'!$T$29)),"")</f>
        <v/>
      </c>
      <c r="AF32" s="175" t="str">
        <f>IFERROR(SUM(SUMIFS('caseload data'!P:P,'caseload data'!$C:$C,'community %'!$T$29,'caseload data'!$D:$D,"PSO",'caseload data'!$B:$B,{"licence","community"}))/SUM(SUMIFS('caseload data'!P:P,'caseload data'!$B:$B,{"licence","community"},'caseload data'!$C:$C,'community %'!$T$29)),"")</f>
        <v/>
      </c>
      <c r="AG32" s="175" t="str">
        <f>IFERROR(SUM(SUMIFS('caseload data'!Q:Q,'caseload data'!$C:$C,'community %'!$T$29,'caseload data'!$D:$D,"PSO",'caseload data'!$B:$B,{"licence","community"}))/SUM(SUMIFS('caseload data'!Q:Q,'caseload data'!$B:$B,{"licence","community"},'caseload data'!$C:$C,'community %'!$T$29)),"")</f>
        <v/>
      </c>
      <c r="AH32" s="175" t="str">
        <f>IFERROR(SUM(SUMIFS('caseload data'!R:R,'caseload data'!$C:$C,'community %'!$T$29,'caseload data'!$D:$D,"PSO",'caseload data'!$B:$B,{"licence","community"}))/SUM(SUMIFS('caseload data'!R:R,'caseload data'!$B:$B,{"licence","community"},'caseload data'!$C:$C,'community %'!$T$29)),"")</f>
        <v/>
      </c>
      <c r="AI32" s="175" t="str">
        <f>IFERROR(SUM(SUMIFS('caseload data'!S:S,'caseload data'!$C:$C,'community %'!$T$29,'caseload data'!$D:$D,"PSO",'caseload data'!$B:$B,{"licence","community"}))/SUM(SUMIFS('caseload data'!S:S,'caseload data'!$B:$B,{"licence","community"},'caseload data'!$C:$C,'community %'!$T$29)),"")</f>
        <v/>
      </c>
      <c r="AJ32" s="175" t="str">
        <f>IFERROR(SUM(SUMIFS('caseload data'!T:T,'caseload data'!$C:$C,'community %'!$T$29,'caseload data'!$D:$D,"PSO",'caseload data'!$B:$B,{"licence","community"}))/SUM(SUMIFS('caseload data'!T:T,'caseload data'!$B:$B,{"licence","community"},'caseload data'!$C:$C,'community %'!$T$29)),"")</f>
        <v/>
      </c>
    </row>
    <row r="33" spans="2:36" x14ac:dyDescent="0.15">
      <c r="B33" s="101" t="s">
        <v>1173</v>
      </c>
      <c r="C33" s="175" t="str">
        <f>IFERROR(SUM(SUMIFS('caseload data'!E:E,'caseload data'!$C:$C,'community %'!$B$29,'caseload data'!$D:$D,"TPO",'caseload data'!$B:$B,{"licence","community"}))/SUM(SUMIFS('caseload data'!E:E,'caseload data'!$B:$B,{"licence","community"},'caseload data'!$C:$C,'community %'!$B$29)),"")</f>
        <v/>
      </c>
      <c r="D33" s="175" t="str">
        <f>IFERROR(SUM(SUMIFS('caseload data'!F:F,'caseload data'!$C:$C,'community %'!$B$29,'caseload data'!$D:$D,"TPO",'caseload data'!$B:$B,{"licence","community"}))/SUM(SUMIFS('caseload data'!F:F,'caseload data'!$B:$B,{"licence","community"},'caseload data'!$C:$C,'community %'!$B$29)),"")</f>
        <v/>
      </c>
      <c r="E33" s="175" t="str">
        <f>IFERROR(SUM(SUMIFS('caseload data'!G:G,'caseload data'!$C:$C,'community %'!$B$29,'caseload data'!$D:$D,"TPO",'caseload data'!$B:$B,{"licence","community"}))/SUM(SUMIFS('caseload data'!G:G,'caseload data'!$B:$B,{"licence","community"},'caseload data'!$C:$C,'community %'!$B$29)),"")</f>
        <v/>
      </c>
      <c r="F33" s="175" t="str">
        <f>IFERROR(SUM(SUMIFS('caseload data'!H:H,'caseload data'!$C:$C,'community %'!$B$29,'caseload data'!$D:$D,"TPO",'caseload data'!$B:$B,{"licence","community"}))/SUM(SUMIFS('caseload data'!H:H,'caseload data'!$B:$B,{"licence","community"},'caseload data'!$C:$C,'community %'!$B$29)),"")</f>
        <v/>
      </c>
      <c r="G33" s="175" t="str">
        <f>IFERROR(SUM(SUMIFS('caseload data'!I:I,'caseload data'!$C:$C,'community %'!$B$29,'caseload data'!$D:$D,"TPO",'caseload data'!$B:$B,{"licence","community"}))/SUM(SUMIFS('caseload data'!I:I,'caseload data'!$B:$B,{"licence","community"},'caseload data'!$C:$C,'community %'!$B$29)),"")</f>
        <v/>
      </c>
      <c r="H33" s="175" t="str">
        <f>IFERROR(SUM(SUMIFS('caseload data'!J:J,'caseload data'!$C:$C,'community %'!$B$29,'caseload data'!$D:$D,"TPO",'caseload data'!$B:$B,{"licence","community"}))/SUM(SUMIFS('caseload data'!J:J,'caseload data'!$B:$B,{"licence","community"},'caseload data'!$C:$C,'community %'!$B$29)),"")</f>
        <v/>
      </c>
      <c r="I33" s="175" t="str">
        <f>IFERROR(SUM(SUMIFS('caseload data'!K:K,'caseload data'!$C:$C,'community %'!$B$29,'caseload data'!$D:$D,"TPO",'caseload data'!$B:$B,{"licence","community"}))/SUM(SUMIFS('caseload data'!K:K,'caseload data'!$B:$B,{"licence","community"},'caseload data'!$C:$C,'community %'!$B$29)),"")</f>
        <v/>
      </c>
      <c r="J33" s="175" t="str">
        <f>IFERROR(SUM(SUMIFS('caseload data'!L:L,'caseload data'!$C:$C,'community %'!$B$29,'caseload data'!$D:$D,"TPO",'caseload data'!$B:$B,{"licence","community"}))/SUM(SUMIFS('caseload data'!L:L,'caseload data'!$B:$B,{"licence","community"},'caseload data'!$C:$C,'community %'!$B$29)),"")</f>
        <v/>
      </c>
      <c r="K33" s="175" t="str">
        <f>IFERROR(SUM(SUMIFS('caseload data'!M:M,'caseload data'!$C:$C,'community %'!$B$29,'caseload data'!$D:$D,"TPO",'caseload data'!$B:$B,{"licence","community"}))/SUM(SUMIFS('caseload data'!M:M,'caseload data'!$B:$B,{"licence","community"},'caseload data'!$C:$C,'community %'!$B$29)),"")</f>
        <v/>
      </c>
      <c r="L33" s="175" t="str">
        <f>IFERROR(SUM(SUMIFS('caseload data'!N:N,'caseload data'!$C:$C,'community %'!$B$29,'caseload data'!$D:$D,"TPO",'caseload data'!$B:$B,{"licence","community"}))/SUM(SUMIFS('caseload data'!N:N,'caseload data'!$B:$B,{"licence","community"},'caseload data'!$C:$C,'community %'!$B$29)),"")</f>
        <v/>
      </c>
      <c r="M33" s="175" t="str">
        <f>IFERROR(SUM(SUMIFS('caseload data'!O:O,'caseload data'!$C:$C,'community %'!$B$29,'caseload data'!$D:$D,"TPO",'caseload data'!$B:$B,{"licence","community"}))/SUM(SUMIFS('caseload data'!O:O,'caseload data'!$B:$B,{"licence","community"},'caseload data'!$C:$C,'community %'!$B$29)),"")</f>
        <v/>
      </c>
      <c r="N33" s="175" t="str">
        <f>IFERROR(SUM(SUMIFS('caseload data'!P:P,'caseload data'!$C:$C,'community %'!$B$29,'caseload data'!$D:$D,"TPO",'caseload data'!$B:$B,{"licence","community"}))/SUM(SUMIFS('caseload data'!P:P,'caseload data'!$B:$B,{"licence","community"},'caseload data'!$C:$C,'community %'!$B$29)),"")</f>
        <v/>
      </c>
      <c r="O33" s="175" t="str">
        <f>IFERROR(SUM(SUMIFS('caseload data'!Q:Q,'caseload data'!$C:$C,'community %'!$B$29,'caseload data'!$D:$D,"TPO",'caseload data'!$B:$B,{"licence","community"}))/SUM(SUMIFS('caseload data'!Q:Q,'caseload data'!$B:$B,{"licence","community"},'caseload data'!$C:$C,'community %'!$B$29)),"")</f>
        <v/>
      </c>
      <c r="P33" s="175" t="str">
        <f>IFERROR(SUM(SUMIFS('caseload data'!R:R,'caseload data'!$C:$C,'community %'!$B$29,'caseload data'!$D:$D,"TPO",'caseload data'!$B:$B,{"licence","community"}))/SUM(SUMIFS('caseload data'!R:R,'caseload data'!$B:$B,{"licence","community"},'caseload data'!$C:$C,'community %'!$B$29)),"")</f>
        <v/>
      </c>
      <c r="Q33" s="175" t="str">
        <f>IFERROR(SUM(SUMIFS('caseload data'!S:S,'caseload data'!$C:$C,'community %'!$B$29,'caseload data'!$D:$D,"TPO",'caseload data'!$B:$B,{"licence","community"}))/SUM(SUMIFS('caseload data'!S:S,'caseload data'!$B:$B,{"licence","community"},'caseload data'!$C:$C,'community %'!$B$29)),"")</f>
        <v/>
      </c>
      <c r="R33" s="175" t="str">
        <f>IFERROR(SUM(SUMIFS('caseload data'!T:T,'caseload data'!$C:$C,'community %'!$B$29,'caseload data'!$D:$D,"TPO",'caseload data'!$B:$B,{"licence","community"}))/SUM(SUMIFS('caseload data'!T:T,'caseload data'!$B:$B,{"licence","community"},'caseload data'!$C:$C,'community %'!$B$29)),"")</f>
        <v/>
      </c>
      <c r="S33" s="68"/>
      <c r="T33" s="101" t="s">
        <v>1173</v>
      </c>
      <c r="U33" s="175" t="str">
        <f>IFERROR(SUM(SUMIFS('caseload data'!E:E,'caseload data'!$C:$C,'community %'!$T$29,'caseload data'!$D:$D,"TPO",'caseload data'!$B:$B,{"licence","community"}))/SUM(SUMIFS('caseload data'!E:E,'caseload data'!$B:$B,{"licence","community"},'caseload data'!$C:$C,'community %'!$T$29)),"")</f>
        <v/>
      </c>
      <c r="V33" s="175" t="str">
        <f>IFERROR(SUM(SUMIFS('caseload data'!F:F,'caseload data'!$C:$C,'community %'!$T$29,'caseload data'!$D:$D,"TPO",'caseload data'!$B:$B,{"licence","community"}))/SUM(SUMIFS('caseload data'!F:F,'caseload data'!$B:$B,{"licence","community"},'caseload data'!$C:$C,'community %'!$T$29)),"")</f>
        <v/>
      </c>
      <c r="W33" s="175" t="str">
        <f>IFERROR(SUM(SUMIFS('caseload data'!G:G,'caseload data'!$C:$C,'community %'!$T$29,'caseload data'!$D:$D,"TPO",'caseload data'!$B:$B,{"licence","community"}))/SUM(SUMIFS('caseload data'!G:G,'caseload data'!$B:$B,{"licence","community"},'caseload data'!$C:$C,'community %'!$T$29)),"")</f>
        <v/>
      </c>
      <c r="X33" s="175" t="str">
        <f>IFERROR(SUM(SUMIFS('caseload data'!H:H,'caseload data'!$C:$C,'community %'!$T$29,'caseload data'!$D:$D,"TPO",'caseload data'!$B:$B,{"licence","community"}))/SUM(SUMIFS('caseload data'!H:H,'caseload data'!$B:$B,{"licence","community"},'caseload data'!$C:$C,'community %'!$T$29)),"")</f>
        <v/>
      </c>
      <c r="Y33" s="175" t="str">
        <f>IFERROR(SUM(SUMIFS('caseload data'!I:I,'caseload data'!$C:$C,'community %'!$T$29,'caseload data'!$D:$D,"TPO",'caseload data'!$B:$B,{"licence","community"}))/SUM(SUMIFS('caseload data'!I:I,'caseload data'!$B:$B,{"licence","community"},'caseload data'!$C:$C,'community %'!$T$29)),"")</f>
        <v/>
      </c>
      <c r="Z33" s="175" t="str">
        <f>IFERROR(SUM(SUMIFS('caseload data'!J:J,'caseload data'!$C:$C,'community %'!$T$29,'caseload data'!$D:$D,"TPO",'caseload data'!$B:$B,{"licence","community"}))/SUM(SUMIFS('caseload data'!J:J,'caseload data'!$B:$B,{"licence","community"},'caseload data'!$C:$C,'community %'!$T$29)),"")</f>
        <v/>
      </c>
      <c r="AA33" s="175" t="str">
        <f>IFERROR(SUM(SUMIFS('caseload data'!K:K,'caseload data'!$C:$C,'community %'!$T$29,'caseload data'!$D:$D,"TPO",'caseload data'!$B:$B,{"licence","community"}))/SUM(SUMIFS('caseload data'!K:K,'caseload data'!$B:$B,{"licence","community"},'caseload data'!$C:$C,'community %'!$T$29)),"")</f>
        <v/>
      </c>
      <c r="AB33" s="175" t="str">
        <f>IFERROR(SUM(SUMIFS('caseload data'!L:L,'caseload data'!$C:$C,'community %'!$T$29,'caseload data'!$D:$D,"TPO",'caseload data'!$B:$B,{"licence","community"}))/SUM(SUMIFS('caseload data'!L:L,'caseload data'!$B:$B,{"licence","community"},'caseload data'!$C:$C,'community %'!$T$29)),"")</f>
        <v/>
      </c>
      <c r="AC33" s="175" t="str">
        <f>IFERROR(SUM(SUMIFS('caseload data'!M:M,'caseload data'!$C:$C,'community %'!$T$29,'caseload data'!$D:$D,"TPO",'caseload data'!$B:$B,{"licence","community"}))/SUM(SUMIFS('caseload data'!M:M,'caseload data'!$B:$B,{"licence","community"},'caseload data'!$C:$C,'community %'!$T$29)),"")</f>
        <v/>
      </c>
      <c r="AD33" s="175" t="str">
        <f>IFERROR(SUM(SUMIFS('caseload data'!N:N,'caseload data'!$C:$C,'community %'!$T$29,'caseload data'!$D:$D,"TPO",'caseload data'!$B:$B,{"licence","community"}))/SUM(SUMIFS('caseload data'!N:N,'caseload data'!$B:$B,{"licence","community"},'caseload data'!$C:$C,'community %'!$T$29)),"")</f>
        <v/>
      </c>
      <c r="AE33" s="175" t="str">
        <f>IFERROR(SUM(SUMIFS('caseload data'!O:O,'caseload data'!$C:$C,'community %'!$T$29,'caseload data'!$D:$D,"TPO",'caseload data'!$B:$B,{"licence","community"}))/SUM(SUMIFS('caseload data'!O:O,'caseload data'!$B:$B,{"licence","community"},'caseload data'!$C:$C,'community %'!$T$29)),"")</f>
        <v/>
      </c>
      <c r="AF33" s="175" t="str">
        <f>IFERROR(SUM(SUMIFS('caseload data'!P:P,'caseload data'!$C:$C,'community %'!$T$29,'caseload data'!$D:$D,"TPO",'caseload data'!$B:$B,{"licence","community"}))/SUM(SUMIFS('caseload data'!P:P,'caseload data'!$B:$B,{"licence","community"},'caseload data'!$C:$C,'community %'!$T$29)),"")</f>
        <v/>
      </c>
      <c r="AG33" s="175" t="str">
        <f>IFERROR(SUM(SUMIFS('caseload data'!Q:Q,'caseload data'!$C:$C,'community %'!$T$29,'caseload data'!$D:$D,"TPO",'caseload data'!$B:$B,{"licence","community"}))/SUM(SUMIFS('caseload data'!Q:Q,'caseload data'!$B:$B,{"licence","community"},'caseload data'!$C:$C,'community %'!$T$29)),"")</f>
        <v/>
      </c>
      <c r="AH33" s="175" t="str">
        <f>IFERROR(SUM(SUMIFS('caseload data'!R:R,'caseload data'!$C:$C,'community %'!$T$29,'caseload data'!$D:$D,"TPO",'caseload data'!$B:$B,{"licence","community"}))/SUM(SUMIFS('caseload data'!R:R,'caseload data'!$B:$B,{"licence","community"},'caseload data'!$C:$C,'community %'!$T$29)),"")</f>
        <v/>
      </c>
      <c r="AI33" s="175" t="str">
        <f>IFERROR(SUM(SUMIFS('caseload data'!S:S,'caseload data'!$C:$C,'community %'!$T$29,'caseload data'!$D:$D,"TPO",'caseload data'!$B:$B,{"licence","community"}))/SUM(SUMIFS('caseload data'!S:S,'caseload data'!$B:$B,{"licence","community"},'caseload data'!$C:$C,'community %'!$T$29)),"")</f>
        <v/>
      </c>
      <c r="AJ33" s="175" t="str">
        <f>IFERROR(SUM(SUMIFS('caseload data'!T:T,'caseload data'!$C:$C,'community %'!$T$29,'caseload data'!$D:$D,"TPO",'caseload data'!$B:$B,{"licence","community"}))/SUM(SUMIFS('caseload data'!T:T,'caseload data'!$B:$B,{"licence","community"},'caseload data'!$C:$C,'community %'!$T$29)),"")</f>
        <v/>
      </c>
    </row>
    <row r="34" spans="2:36" x14ac:dyDescent="0.15">
      <c r="B34" s="102" t="s">
        <v>1174</v>
      </c>
      <c r="C34" s="175" t="str">
        <f>IFERROR(SUM(SUMIFS('caseload data'!E:E,'caseload data'!$C:$C,'community %'!$B$29,'caseload data'!$D:$D,"SPO",'caseload data'!$B:$B,{"licence","community"}))/SUM(SUMIFS('caseload data'!E:E,'caseload data'!$B:$B,{"licence","community"},'caseload data'!$C:$C,'community %'!$B$29)),"")</f>
        <v/>
      </c>
      <c r="D34" s="175" t="str">
        <f>IFERROR(SUM(SUMIFS('caseload data'!F:F,'caseload data'!$C:$C,'community %'!$B$29,'caseload data'!$D:$D,"SPO",'caseload data'!$B:$B,{"licence","community"}))/SUM(SUMIFS('caseload data'!F:F,'caseload data'!$B:$B,{"licence","community"},'caseload data'!$C:$C,'community %'!$B$29)),"")</f>
        <v/>
      </c>
      <c r="E34" s="175" t="str">
        <f>IFERROR(SUM(SUMIFS('caseload data'!G:G,'caseload data'!$C:$C,'community %'!$B$29,'caseload data'!$D:$D,"SPO",'caseload data'!$B:$B,{"licence","community"}))/SUM(SUMIFS('caseload data'!G:G,'caseload data'!$B:$B,{"licence","community"},'caseload data'!$C:$C,'community %'!$B$29)),"")</f>
        <v/>
      </c>
      <c r="F34" s="175" t="str">
        <f>IFERROR(SUM(SUMIFS('caseload data'!H:H,'caseload data'!$C:$C,'community %'!$B$29,'caseload data'!$D:$D,"SPO",'caseload data'!$B:$B,{"licence","community"}))/SUM(SUMIFS('caseload data'!H:H,'caseload data'!$B:$B,{"licence","community"},'caseload data'!$C:$C,'community %'!$B$29)),"")</f>
        <v/>
      </c>
      <c r="G34" s="175" t="str">
        <f>IFERROR(SUM(SUMIFS('caseload data'!I:I,'caseload data'!$C:$C,'community %'!$B$29,'caseload data'!$D:$D,"SPO",'caseload data'!$B:$B,{"licence","community"}))/SUM(SUMIFS('caseload data'!I:I,'caseload data'!$B:$B,{"licence","community"},'caseload data'!$C:$C,'community %'!$B$29)),"")</f>
        <v/>
      </c>
      <c r="H34" s="175" t="str">
        <f>IFERROR(SUM(SUMIFS('caseload data'!J:J,'caseload data'!$C:$C,'community %'!$B$29,'caseload data'!$D:$D,"SPO",'caseload data'!$B:$B,{"licence","community"}))/SUM(SUMIFS('caseload data'!J:J,'caseload data'!$B:$B,{"licence","community"},'caseload data'!$C:$C,'community %'!$B$29)),"")</f>
        <v/>
      </c>
      <c r="I34" s="175" t="str">
        <f>IFERROR(SUM(SUMIFS('caseload data'!K:K,'caseload data'!$C:$C,'community %'!$B$29,'caseload data'!$D:$D,"SPO",'caseload data'!$B:$B,{"licence","community"}))/SUM(SUMIFS('caseload data'!K:K,'caseload data'!$B:$B,{"licence","community"},'caseload data'!$C:$C,'community %'!$B$29)),"")</f>
        <v/>
      </c>
      <c r="J34" s="175" t="str">
        <f>IFERROR(SUM(SUMIFS('caseload data'!L:L,'caseload data'!$C:$C,'community %'!$B$29,'caseload data'!$D:$D,"SPO",'caseload data'!$B:$B,{"licence","community"}))/SUM(SUMIFS('caseload data'!L:L,'caseload data'!$B:$B,{"licence","community"},'caseload data'!$C:$C,'community %'!$B$29)),"")</f>
        <v/>
      </c>
      <c r="K34" s="175" t="str">
        <f>IFERROR(SUM(SUMIFS('caseload data'!M:M,'caseload data'!$C:$C,'community %'!$B$29,'caseload data'!$D:$D,"SPO",'caseload data'!$B:$B,{"licence","community"}))/SUM(SUMIFS('caseload data'!M:M,'caseload data'!$B:$B,{"licence","community"},'caseload data'!$C:$C,'community %'!$B$29)),"")</f>
        <v/>
      </c>
      <c r="L34" s="175" t="str">
        <f>IFERROR(SUM(SUMIFS('caseload data'!N:N,'caseload data'!$C:$C,'community %'!$B$29,'caseload data'!$D:$D,"SPO",'caseload data'!$B:$B,{"licence","community"}))/SUM(SUMIFS('caseload data'!N:N,'caseload data'!$B:$B,{"licence","community"},'caseload data'!$C:$C,'community %'!$B$29)),"")</f>
        <v/>
      </c>
      <c r="M34" s="175" t="str">
        <f>IFERROR(SUM(SUMIFS('caseload data'!O:O,'caseload data'!$C:$C,'community %'!$B$29,'caseload data'!$D:$D,"SPO",'caseload data'!$B:$B,{"licence","community"}))/SUM(SUMIFS('caseload data'!O:O,'caseload data'!$B:$B,{"licence","community"},'caseload data'!$C:$C,'community %'!$B$29)),"")</f>
        <v/>
      </c>
      <c r="N34" s="175" t="str">
        <f>IFERROR(SUM(SUMIFS('caseload data'!P:P,'caseload data'!$C:$C,'community %'!$B$29,'caseload data'!$D:$D,"SPO",'caseload data'!$B:$B,{"licence","community"}))/SUM(SUMIFS('caseload data'!P:P,'caseload data'!$B:$B,{"licence","community"},'caseload data'!$C:$C,'community %'!$B$29)),"")</f>
        <v/>
      </c>
      <c r="O34" s="175" t="str">
        <f>IFERROR(SUM(SUMIFS('caseload data'!Q:Q,'caseload data'!$C:$C,'community %'!$B$29,'caseload data'!$D:$D,"SPO",'caseload data'!$B:$B,{"licence","community"}))/SUM(SUMIFS('caseload data'!Q:Q,'caseload data'!$B:$B,{"licence","community"},'caseload data'!$C:$C,'community %'!$B$29)),"")</f>
        <v/>
      </c>
      <c r="P34" s="175" t="str">
        <f>IFERROR(SUM(SUMIFS('caseload data'!R:R,'caseload data'!$C:$C,'community %'!$B$29,'caseload data'!$D:$D,"SPO",'caseload data'!$B:$B,{"licence","community"}))/SUM(SUMIFS('caseload data'!R:R,'caseload data'!$B:$B,{"licence","community"},'caseload data'!$C:$C,'community %'!$B$29)),"")</f>
        <v/>
      </c>
      <c r="Q34" s="175" t="str">
        <f>IFERROR(SUM(SUMIFS('caseload data'!S:S,'caseload data'!$C:$C,'community %'!$B$29,'caseload data'!$D:$D,"SPO",'caseload data'!$B:$B,{"licence","community"}))/SUM(SUMIFS('caseload data'!S:S,'caseload data'!$B:$B,{"licence","community"},'caseload data'!$C:$C,'community %'!$B$29)),"")</f>
        <v/>
      </c>
      <c r="R34" s="175" t="str">
        <f>IFERROR(SUM(SUMIFS('caseload data'!T:T,'caseload data'!$C:$C,'community %'!$B$29,'caseload data'!$D:$D,"SPO",'caseload data'!$B:$B,{"licence","community"}))/SUM(SUMIFS('caseload data'!T:T,'caseload data'!$B:$B,{"licence","community"},'caseload data'!$C:$C,'community %'!$B$29)),"")</f>
        <v/>
      </c>
      <c r="S34" s="68"/>
      <c r="T34" s="102" t="s">
        <v>1174</v>
      </c>
      <c r="U34" s="175" t="str">
        <f>IFERROR(SUM(SUMIFS('caseload data'!E:E,'caseload data'!$C:$C,'community %'!$T$29,'caseload data'!$D:$D,"SPO",'caseload data'!$B:$B,{"licence","community"}))/SUM(SUMIFS('caseload data'!E:E,'caseload data'!$B:$B,{"licence","community"},'caseload data'!$C:$C,'community %'!$T$29)),"")</f>
        <v/>
      </c>
      <c r="V34" s="175" t="str">
        <f>IFERROR(SUM(SUMIFS('caseload data'!F:F,'caseload data'!$C:$C,'community %'!$T$29,'caseload data'!$D:$D,"SPO",'caseload data'!$B:$B,{"licence","community"}))/SUM(SUMIFS('caseload data'!F:F,'caseload data'!$B:$B,{"licence","community"},'caseload data'!$C:$C,'community %'!$T$29)),"")</f>
        <v/>
      </c>
      <c r="W34" s="175" t="str">
        <f>IFERROR(SUM(SUMIFS('caseload data'!G:G,'caseload data'!$C:$C,'community %'!$T$29,'caseload data'!$D:$D,"SPO",'caseload data'!$B:$B,{"licence","community"}))/SUM(SUMIFS('caseload data'!G:G,'caseload data'!$B:$B,{"licence","community"},'caseload data'!$C:$C,'community %'!$T$29)),"")</f>
        <v/>
      </c>
      <c r="X34" s="175" t="str">
        <f>IFERROR(SUM(SUMIFS('caseload data'!H:H,'caseload data'!$C:$C,'community %'!$T$29,'caseload data'!$D:$D,"SPO",'caseload data'!$B:$B,{"licence","community"}))/SUM(SUMIFS('caseload data'!H:H,'caseload data'!$B:$B,{"licence","community"},'caseload data'!$C:$C,'community %'!$T$29)),"")</f>
        <v/>
      </c>
      <c r="Y34" s="175" t="str">
        <f>IFERROR(SUM(SUMIFS('caseload data'!I:I,'caseload data'!$C:$C,'community %'!$T$29,'caseload data'!$D:$D,"SPO",'caseload data'!$B:$B,{"licence","community"}))/SUM(SUMIFS('caseload data'!I:I,'caseload data'!$B:$B,{"licence","community"},'caseload data'!$C:$C,'community %'!$T$29)),"")</f>
        <v/>
      </c>
      <c r="Z34" s="175" t="str">
        <f>IFERROR(SUM(SUMIFS('caseload data'!J:J,'caseload data'!$C:$C,'community %'!$T$29,'caseload data'!$D:$D,"SPO",'caseload data'!$B:$B,{"licence","community"}))/SUM(SUMIFS('caseload data'!J:J,'caseload data'!$B:$B,{"licence","community"},'caseload data'!$C:$C,'community %'!$T$29)),"")</f>
        <v/>
      </c>
      <c r="AA34" s="175" t="str">
        <f>IFERROR(SUM(SUMIFS('caseload data'!K:K,'caseload data'!$C:$C,'community %'!$T$29,'caseload data'!$D:$D,"SPO",'caseload data'!$B:$B,{"licence","community"}))/SUM(SUMIFS('caseload data'!K:K,'caseload data'!$B:$B,{"licence","community"},'caseload data'!$C:$C,'community %'!$T$29)),"")</f>
        <v/>
      </c>
      <c r="AB34" s="175" t="str">
        <f>IFERROR(SUM(SUMIFS('caseload data'!L:L,'caseload data'!$C:$C,'community %'!$T$29,'caseload data'!$D:$D,"SPO",'caseload data'!$B:$B,{"licence","community"}))/SUM(SUMIFS('caseload data'!L:L,'caseload data'!$B:$B,{"licence","community"},'caseload data'!$C:$C,'community %'!$T$29)),"")</f>
        <v/>
      </c>
      <c r="AC34" s="175" t="str">
        <f>IFERROR(SUM(SUMIFS('caseload data'!M:M,'caseload data'!$C:$C,'community %'!$T$29,'caseload data'!$D:$D,"SPO",'caseload data'!$B:$B,{"licence","community"}))/SUM(SUMIFS('caseload data'!M:M,'caseload data'!$B:$B,{"licence","community"},'caseload data'!$C:$C,'community %'!$T$29)),"")</f>
        <v/>
      </c>
      <c r="AD34" s="175" t="str">
        <f>IFERROR(SUM(SUMIFS('caseload data'!N:N,'caseload data'!$C:$C,'community %'!$T$29,'caseload data'!$D:$D,"SPO",'caseload data'!$B:$B,{"licence","community"}))/SUM(SUMIFS('caseload data'!N:N,'caseload data'!$B:$B,{"licence","community"},'caseload data'!$C:$C,'community %'!$T$29)),"")</f>
        <v/>
      </c>
      <c r="AE34" s="175" t="str">
        <f>IFERROR(SUM(SUMIFS('caseload data'!O:O,'caseload data'!$C:$C,'community %'!$T$29,'caseload data'!$D:$D,"SPO",'caseload data'!$B:$B,{"licence","community"}))/SUM(SUMIFS('caseload data'!O:O,'caseload data'!$B:$B,{"licence","community"},'caseload data'!$C:$C,'community %'!$T$29)),"")</f>
        <v/>
      </c>
      <c r="AF34" s="175" t="str">
        <f>IFERROR(SUM(SUMIFS('caseload data'!P:P,'caseload data'!$C:$C,'community %'!$T$29,'caseload data'!$D:$D,"SPO",'caseload data'!$B:$B,{"licence","community"}))/SUM(SUMIFS('caseload data'!P:P,'caseload data'!$B:$B,{"licence","community"},'caseload data'!$C:$C,'community %'!$T$29)),"")</f>
        <v/>
      </c>
      <c r="AG34" s="175" t="str">
        <f>IFERROR(SUM(SUMIFS('caseload data'!Q:Q,'caseload data'!$C:$C,'community %'!$T$29,'caseload data'!$D:$D,"SPO",'caseload data'!$B:$B,{"licence","community"}))/SUM(SUMIFS('caseload data'!Q:Q,'caseload data'!$B:$B,{"licence","community"},'caseload data'!$C:$C,'community %'!$T$29)),"")</f>
        <v/>
      </c>
      <c r="AH34" s="175" t="str">
        <f>IFERROR(SUM(SUMIFS('caseload data'!R:R,'caseload data'!$C:$C,'community %'!$T$29,'caseload data'!$D:$D,"SPO",'caseload data'!$B:$B,{"licence","community"}))/SUM(SUMIFS('caseload data'!R:R,'caseload data'!$B:$B,{"licence","community"},'caseload data'!$C:$C,'community %'!$T$29)),"")</f>
        <v/>
      </c>
      <c r="AI34" s="175" t="str">
        <f>IFERROR(SUM(SUMIFS('caseload data'!S:S,'caseload data'!$C:$C,'community %'!$T$29,'caseload data'!$D:$D,"SPO",'caseload data'!$B:$B,{"licence","community"}))/SUM(SUMIFS('caseload data'!S:S,'caseload data'!$B:$B,{"licence","community"},'caseload data'!$C:$C,'community %'!$T$29)),"")</f>
        <v/>
      </c>
      <c r="AJ34" s="175" t="str">
        <f>IFERROR(SUM(SUMIFS('caseload data'!T:T,'caseload data'!$C:$C,'community %'!$T$29,'caseload data'!$D:$D,"SPO",'caseload data'!$B:$B,{"licence","community"}))/SUM(SUMIFS('caseload data'!T:T,'caseload data'!$B:$B,{"licence","community"},'caseload data'!$C:$C,'community %'!$T$29)),"")</f>
        <v/>
      </c>
    </row>
    <row r="35" spans="2:36" x14ac:dyDescent="0.15">
      <c r="B35" s="95"/>
      <c r="C35" s="68"/>
      <c r="D35" s="68"/>
      <c r="E35" s="68"/>
      <c r="F35" s="68"/>
      <c r="G35" s="68"/>
      <c r="H35" s="68"/>
      <c r="I35" s="68"/>
      <c r="J35" s="68"/>
      <c r="K35" s="68"/>
      <c r="L35" s="68"/>
      <c r="M35" s="68"/>
      <c r="N35" s="68"/>
      <c r="O35" s="68"/>
      <c r="P35" s="68"/>
      <c r="Q35" s="68"/>
      <c r="R35" s="68"/>
      <c r="S35" s="68"/>
      <c r="T35" s="95"/>
      <c r="U35" s="68"/>
      <c r="V35" s="68"/>
      <c r="W35" s="68"/>
      <c r="X35" s="68"/>
      <c r="Y35" s="68"/>
      <c r="Z35" s="68"/>
      <c r="AA35" s="68"/>
      <c r="AB35" s="68"/>
      <c r="AC35" s="68"/>
      <c r="AD35" s="68"/>
      <c r="AE35" s="68"/>
      <c r="AF35" s="68"/>
      <c r="AG35" s="68"/>
      <c r="AH35" s="68"/>
      <c r="AI35" s="68"/>
      <c r="AJ35" s="68"/>
    </row>
    <row r="36" spans="2:36" ht="30" customHeight="1" x14ac:dyDescent="0.15">
      <c r="B36" s="302" t="str">
        <f>HLOOKUP($B$5,Region_Table,10,0)</f>
        <v>Greenwich and Bexley</v>
      </c>
      <c r="C36" s="459" t="s">
        <v>1313</v>
      </c>
      <c r="D36" s="460"/>
      <c r="E36" s="460"/>
      <c r="F36" s="460"/>
      <c r="G36" s="460"/>
      <c r="H36" s="460"/>
      <c r="I36" s="460"/>
      <c r="J36" s="460"/>
      <c r="K36" s="460"/>
      <c r="L36" s="460"/>
      <c r="M36" s="489"/>
      <c r="N36" s="489"/>
      <c r="O36" s="490"/>
      <c r="P36" s="462" cm="1">
        <f t="array" ref="P36">SUM(SUMIFS('caseload data'!V:V,'caseload data'!B:B,{"licence","community"},'caseload data'!$C:$C,B36))</f>
        <v>0</v>
      </c>
      <c r="Q36" s="479"/>
      <c r="R36" s="480"/>
      <c r="S36" s="68"/>
      <c r="T36" s="302" t="str">
        <f>HLOOKUP($B$5,Region_Table,11,0)</f>
        <v>Hackney and City</v>
      </c>
      <c r="U36" s="459" t="s">
        <v>1313</v>
      </c>
      <c r="V36" s="460"/>
      <c r="W36" s="460"/>
      <c r="X36" s="460"/>
      <c r="Y36" s="460"/>
      <c r="Z36" s="460"/>
      <c r="AA36" s="460"/>
      <c r="AB36" s="460"/>
      <c r="AC36" s="460"/>
      <c r="AD36" s="460"/>
      <c r="AE36" s="489"/>
      <c r="AF36" s="489"/>
      <c r="AG36" s="490"/>
      <c r="AH36" s="462" cm="1">
        <f t="array" ref="AH36">SUM(SUMIFS('caseload data'!V:V,'caseload data'!B:B,{"licence","community"},'caseload data'!$C:$C,T36))</f>
        <v>0</v>
      </c>
      <c r="AI36" s="479"/>
      <c r="AJ36" s="480"/>
    </row>
    <row r="37" spans="2:36" x14ac:dyDescent="0.15">
      <c r="B37" s="99" t="s">
        <v>1170</v>
      </c>
      <c r="C37" s="40" t="s">
        <v>1022</v>
      </c>
      <c r="D37" s="40" t="s">
        <v>1023</v>
      </c>
      <c r="E37" s="40" t="s">
        <v>1024</v>
      </c>
      <c r="F37" s="40" t="s">
        <v>1025</v>
      </c>
      <c r="G37" s="40" t="s">
        <v>1026</v>
      </c>
      <c r="H37" s="40" t="s">
        <v>1027</v>
      </c>
      <c r="I37" s="40" t="s">
        <v>1028</v>
      </c>
      <c r="J37" s="40" t="s">
        <v>1029</v>
      </c>
      <c r="K37" s="40" t="s">
        <v>1030</v>
      </c>
      <c r="L37" s="40" t="s">
        <v>1031</v>
      </c>
      <c r="M37" s="40" t="s">
        <v>1032</v>
      </c>
      <c r="N37" s="40" t="s">
        <v>1033</v>
      </c>
      <c r="O37" s="40" t="s">
        <v>1034</v>
      </c>
      <c r="P37" s="40" t="s">
        <v>1035</v>
      </c>
      <c r="Q37" s="40" t="s">
        <v>1036</v>
      </c>
      <c r="R37" s="40" t="s">
        <v>1037</v>
      </c>
      <c r="S37" s="68"/>
      <c r="T37" s="99" t="s">
        <v>1170</v>
      </c>
      <c r="U37" s="40" t="s">
        <v>1022</v>
      </c>
      <c r="V37" s="40" t="s">
        <v>1023</v>
      </c>
      <c r="W37" s="40" t="s">
        <v>1024</v>
      </c>
      <c r="X37" s="40" t="s">
        <v>1025</v>
      </c>
      <c r="Y37" s="40" t="s">
        <v>1026</v>
      </c>
      <c r="Z37" s="40" t="s">
        <v>1027</v>
      </c>
      <c r="AA37" s="40" t="s">
        <v>1028</v>
      </c>
      <c r="AB37" s="40" t="s">
        <v>1029</v>
      </c>
      <c r="AC37" s="40" t="s">
        <v>1030</v>
      </c>
      <c r="AD37" s="40" t="s">
        <v>1031</v>
      </c>
      <c r="AE37" s="40" t="s">
        <v>1032</v>
      </c>
      <c r="AF37" s="40" t="s">
        <v>1033</v>
      </c>
      <c r="AG37" s="40" t="s">
        <v>1034</v>
      </c>
      <c r="AH37" s="40" t="s">
        <v>1035</v>
      </c>
      <c r="AI37" s="40" t="s">
        <v>1036</v>
      </c>
      <c r="AJ37" s="40" t="s">
        <v>1037</v>
      </c>
    </row>
    <row r="38" spans="2:36" x14ac:dyDescent="0.15">
      <c r="B38" s="100" t="s">
        <v>1166</v>
      </c>
      <c r="C38" s="175" t="str">
        <f>IFERROR(SUM(SUMIFS('caseload data'!E:E,'caseload data'!$C:$C,'community %'!$B$36,'caseload data'!$D:$D,"PO",'caseload data'!$B:$B,{"licence","community"}))/SUM(SUMIFS('caseload data'!E:E,'caseload data'!$B:$B,{"licence","community"},'caseload data'!$C:$C,'community %'!$B$36)),"")</f>
        <v/>
      </c>
      <c r="D38" s="175" t="str">
        <f>IFERROR(SUM(SUMIFS('caseload data'!F:F,'caseload data'!$C:$C,'community %'!$B$36,'caseload data'!$D:$D,"PO",'caseload data'!$B:$B,{"licence","community"}))/SUM(SUMIFS('caseload data'!F:F,'caseload data'!$B:$B,{"licence","community"},'caseload data'!$C:$C,'community %'!$B$36)),"")</f>
        <v/>
      </c>
      <c r="E38" s="175" t="str">
        <f>IFERROR(SUM(SUMIFS('caseload data'!G:G,'caseload data'!$C:$C,'community %'!$B$36,'caseload data'!$D:$D,"PO",'caseload data'!$B:$B,{"licence","community"}))/SUM(SUMIFS('caseload data'!G:G,'caseload data'!$B:$B,{"licence","community"},'caseload data'!$C:$C,'community %'!$B$36)),"")</f>
        <v/>
      </c>
      <c r="F38" s="175" t="str">
        <f>IFERROR(SUM(SUMIFS('caseload data'!H:H,'caseload data'!$C:$C,'community %'!$B$36,'caseload data'!$D:$D,"PO",'caseload data'!$B:$B,{"licence","community"}))/SUM(SUMIFS('caseload data'!H:H,'caseload data'!$B:$B,{"licence","community"},'caseload data'!$C:$C,'community %'!$B$36)),"")</f>
        <v/>
      </c>
      <c r="G38" s="175" t="str">
        <f>IFERROR(SUM(SUMIFS('caseload data'!I:I,'caseload data'!$C:$C,'community %'!$B$36,'caseload data'!$D:$D,"PO",'caseload data'!$B:$B,{"licence","community"}))/SUM(SUMIFS('caseload data'!I:I,'caseload data'!$B:$B,{"licence","community"},'caseload data'!$C:$C,'community %'!$B$36)),"")</f>
        <v/>
      </c>
      <c r="H38" s="175" t="str">
        <f>IFERROR(SUM(SUMIFS('caseload data'!J:J,'caseload data'!$C:$C,'community %'!$B$36,'caseload data'!$D:$D,"PO",'caseload data'!$B:$B,{"licence","community"}))/SUM(SUMIFS('caseload data'!J:J,'caseload data'!$B:$B,{"licence","community"},'caseload data'!$C:$C,'community %'!$B$36)),"")</f>
        <v/>
      </c>
      <c r="I38" s="175" t="str">
        <f>IFERROR(SUM(SUMIFS('caseload data'!K:K,'caseload data'!$C:$C,'community %'!$B$36,'caseload data'!$D:$D,"PO",'caseload data'!$B:$B,{"licence","community"}))/SUM(SUMIFS('caseload data'!K:K,'caseload data'!$B:$B,{"licence","community"},'caseload data'!$C:$C,'community %'!$B$36)),"")</f>
        <v/>
      </c>
      <c r="J38" s="175" t="str">
        <f>IFERROR(SUM(SUMIFS('caseload data'!L:L,'caseload data'!$C:$C,'community %'!$B$36,'caseload data'!$D:$D,"PO",'caseload data'!$B:$B,{"licence","community"}))/SUM(SUMIFS('caseload data'!L:L,'caseload data'!$B:$B,{"licence","community"},'caseload data'!$C:$C,'community %'!$B$36)),"")</f>
        <v/>
      </c>
      <c r="K38" s="175" t="str">
        <f>IFERROR(SUM(SUMIFS('caseload data'!M:M,'caseload data'!$C:$C,'community %'!$B$36,'caseload data'!$D:$D,"PO",'caseload data'!$B:$B,{"licence","community"}))/SUM(SUMIFS('caseload data'!M:M,'caseload data'!$B:$B,{"licence","community"},'caseload data'!$C:$C,'community %'!$B$36)),"")</f>
        <v/>
      </c>
      <c r="L38" s="175" t="str">
        <f>IFERROR(SUM(SUMIFS('caseload data'!N:N,'caseload data'!$C:$C,'community %'!$B$36,'caseload data'!$D:$D,"PO",'caseload data'!$B:$B,{"licence","community"}))/SUM(SUMIFS('caseload data'!N:N,'caseload data'!$B:$B,{"licence","community"},'caseload data'!$C:$C,'community %'!$B$36)),"")</f>
        <v/>
      </c>
      <c r="M38" s="175" t="str">
        <f>IFERROR(SUM(SUMIFS('caseload data'!O:O,'caseload data'!$C:$C,'community %'!$B$36,'caseload data'!$D:$D,"PO",'caseload data'!$B:$B,{"licence","community"}))/SUM(SUMIFS('caseload data'!O:O,'caseload data'!$B:$B,{"licence","community"},'caseload data'!$C:$C,'community %'!$B$36)),"")</f>
        <v/>
      </c>
      <c r="N38" s="175" t="str">
        <f>IFERROR(SUM(SUMIFS('caseload data'!P:P,'caseload data'!$C:$C,'community %'!$B$36,'caseload data'!$D:$D,"PO",'caseload data'!$B:$B,{"licence","community"}))/SUM(SUMIFS('caseload data'!P:P,'caseload data'!$B:$B,{"licence","community"},'caseload data'!$C:$C,'community %'!$B$36)),"")</f>
        <v/>
      </c>
      <c r="O38" s="175" t="str">
        <f>IFERROR(SUM(SUMIFS('caseload data'!Q:Q,'caseload data'!$C:$C,'community %'!$B$36,'caseload data'!$D:$D,"PO",'caseload data'!$B:$B,{"licence","community"}))/SUM(SUMIFS('caseload data'!Q:Q,'caseload data'!$B:$B,{"licence","community"},'caseload data'!$C:$C,'community %'!$B$36)),"")</f>
        <v/>
      </c>
      <c r="P38" s="175" t="str">
        <f>IFERROR(SUM(SUMIFS('caseload data'!R:R,'caseload data'!$C:$C,'community %'!$B$36,'caseload data'!$D:$D,"PO",'caseload data'!$B:$B,{"licence","community"}))/SUM(SUMIFS('caseload data'!R:R,'caseload data'!$B:$B,{"licence","community"},'caseload data'!$C:$C,'community %'!$B$36)),"")</f>
        <v/>
      </c>
      <c r="Q38" s="175" t="str">
        <f>IFERROR(SUM(SUMIFS('caseload data'!S:S,'caseload data'!$C:$C,'community %'!$B$36,'caseload data'!$D:$D,"PO",'caseload data'!$B:$B,{"licence","community"}))/SUM(SUMIFS('caseload data'!S:S,'caseload data'!$B:$B,{"licence","community"},'caseload data'!$C:$C,'community %'!$B$36)),"")</f>
        <v/>
      </c>
      <c r="R38" s="175" t="str">
        <f>IFERROR(SUM(SUMIFS('caseload data'!T:T,'caseload data'!$C:$C,'community %'!$B$36,'caseload data'!$D:$D,"PO",'caseload data'!$B:$B,{"licence","community"}))/SUM(SUMIFS('caseload data'!T:T,'caseload data'!$B:$B,{"licence","community"},'caseload data'!$C:$C,'community %'!$B$36)),"")</f>
        <v/>
      </c>
      <c r="S38" s="68"/>
      <c r="T38" s="100" t="s">
        <v>1166</v>
      </c>
      <c r="U38" s="175" t="str">
        <f>IFERROR(SUM(SUMIFS('caseload data'!E:E,'caseload data'!$C:$C,'community %'!$T$36,'caseload data'!$D:$D,"PO",'caseload data'!$B:$B,{"licence","community"}))/SUM(SUMIFS('caseload data'!E:E,'caseload data'!$B:$B,{"licence","community"},'caseload data'!$C:$C,'community %'!$T$36)),"")</f>
        <v/>
      </c>
      <c r="V38" s="175" t="str">
        <f>IFERROR(SUM(SUMIFS('caseload data'!F:F,'caseload data'!$C:$C,'community %'!$T$36,'caseload data'!$D:$D,"PO",'caseload data'!$B:$B,{"licence","community"}))/SUM(SUMIFS('caseload data'!F:F,'caseload data'!$B:$B,{"licence","community"},'caseload data'!$C:$C,'community %'!$T$36)),"")</f>
        <v/>
      </c>
      <c r="W38" s="175" t="str">
        <f>IFERROR(SUM(SUMIFS('caseload data'!G:G,'caseload data'!$C:$C,'community %'!$T$36,'caseload data'!$D:$D,"PO",'caseload data'!$B:$B,{"licence","community"}))/SUM(SUMIFS('caseload data'!G:G,'caseload data'!$B:$B,{"licence","community"},'caseload data'!$C:$C,'community %'!$T$36)),"")</f>
        <v/>
      </c>
      <c r="X38" s="175" t="str">
        <f>IFERROR(SUM(SUMIFS('caseload data'!H:H,'caseload data'!$C:$C,'community %'!$T$36,'caseload data'!$D:$D,"PO",'caseload data'!$B:$B,{"licence","community"}))/SUM(SUMIFS('caseload data'!H:H,'caseload data'!$B:$B,{"licence","community"},'caseload data'!$C:$C,'community %'!$T$36)),"")</f>
        <v/>
      </c>
      <c r="Y38" s="175" t="str">
        <f>IFERROR(SUM(SUMIFS('caseload data'!I:I,'caseload data'!$C:$C,'community %'!$T$36,'caseload data'!$D:$D,"PO",'caseload data'!$B:$B,{"licence","community"}))/SUM(SUMIFS('caseload data'!I:I,'caseload data'!$B:$B,{"licence","community"},'caseload data'!$C:$C,'community %'!$T$36)),"")</f>
        <v/>
      </c>
      <c r="Z38" s="175" t="str">
        <f>IFERROR(SUM(SUMIFS('caseload data'!J:J,'caseload data'!$C:$C,'community %'!$T$36,'caseload data'!$D:$D,"PO",'caseload data'!$B:$B,{"licence","community"}))/SUM(SUMIFS('caseload data'!J:J,'caseload data'!$B:$B,{"licence","community"},'caseload data'!$C:$C,'community %'!$T$36)),"")</f>
        <v/>
      </c>
      <c r="AA38" s="175" t="str">
        <f>IFERROR(SUM(SUMIFS('caseload data'!K:K,'caseload data'!$C:$C,'community %'!$T$36,'caseload data'!$D:$D,"PO",'caseload data'!$B:$B,{"licence","community"}))/SUM(SUMIFS('caseload data'!K:K,'caseload data'!$B:$B,{"licence","community"},'caseload data'!$C:$C,'community %'!$T$36)),"")</f>
        <v/>
      </c>
      <c r="AB38" s="175" t="str">
        <f>IFERROR(SUM(SUMIFS('caseload data'!L:L,'caseload data'!$C:$C,'community %'!$T$36,'caseload data'!$D:$D,"PO",'caseload data'!$B:$B,{"licence","community"}))/SUM(SUMIFS('caseload data'!L:L,'caseload data'!$B:$B,{"licence","community"},'caseload data'!$C:$C,'community %'!$T$36)),"")</f>
        <v/>
      </c>
      <c r="AC38" s="175" t="str">
        <f>IFERROR(SUM(SUMIFS('caseload data'!M:M,'caseload data'!$C:$C,'community %'!$T$36,'caseload data'!$D:$D,"PO",'caseload data'!$B:$B,{"licence","community"}))/SUM(SUMIFS('caseload data'!M:M,'caseload data'!$B:$B,{"licence","community"},'caseload data'!$C:$C,'community %'!$T$36)),"")</f>
        <v/>
      </c>
      <c r="AD38" s="175" t="str">
        <f>IFERROR(SUM(SUMIFS('caseload data'!N:N,'caseload data'!$C:$C,'community %'!$T$36,'caseload data'!$D:$D,"PO",'caseload data'!$B:$B,{"licence","community"}))/SUM(SUMIFS('caseload data'!N:N,'caseload data'!$B:$B,{"licence","community"},'caseload data'!$C:$C,'community %'!$T$36)),"")</f>
        <v/>
      </c>
      <c r="AE38" s="175" t="str">
        <f>IFERROR(SUM(SUMIFS('caseload data'!O:O,'caseload data'!$C:$C,'community %'!$T$36,'caseload data'!$D:$D,"PO",'caseload data'!$B:$B,{"licence","community"}))/SUM(SUMIFS('caseload data'!O:O,'caseload data'!$B:$B,{"licence","community"},'caseload data'!$C:$C,'community %'!$T$36)),"")</f>
        <v/>
      </c>
      <c r="AF38" s="175" t="str">
        <f>IFERROR(SUM(SUMIFS('caseload data'!P:P,'caseload data'!$C:$C,'community %'!$T$36,'caseload data'!$D:$D,"PO",'caseload data'!$B:$B,{"licence","community"}))/SUM(SUMIFS('caseload data'!P:P,'caseload data'!$B:$B,{"licence","community"},'caseload data'!$C:$C,'community %'!$T$36)),"")</f>
        <v/>
      </c>
      <c r="AG38" s="175" t="str">
        <f>IFERROR(SUM(SUMIFS('caseload data'!Q:Q,'caseload data'!$C:$C,'community %'!$T$36,'caseload data'!$D:$D,"PO",'caseload data'!$B:$B,{"licence","community"}))/SUM(SUMIFS('caseload data'!Q:Q,'caseload data'!$B:$B,{"licence","community"},'caseload data'!$C:$C,'community %'!$T$36)),"")</f>
        <v/>
      </c>
      <c r="AH38" s="175" t="str">
        <f>IFERROR(SUM(SUMIFS('caseload data'!R:R,'caseload data'!$C:$C,'community %'!$T$36,'caseload data'!$D:$D,"PO",'caseload data'!$B:$B,{"licence","community"}))/SUM(SUMIFS('caseload data'!R:R,'caseload data'!$B:$B,{"licence","community"},'caseload data'!$C:$C,'community %'!$T$36)),"")</f>
        <v/>
      </c>
      <c r="AI38" s="175" t="str">
        <f>IFERROR(SUM(SUMIFS('caseload data'!S:S,'caseload data'!$C:$C,'community %'!$T$36,'caseload data'!$D:$D,"PO",'caseload data'!$B:$B,{"licence","community"}))/SUM(SUMIFS('caseload data'!S:S,'caseload data'!$B:$B,{"licence","community"},'caseload data'!$C:$C,'community %'!$T$36)),"")</f>
        <v/>
      </c>
      <c r="AJ38" s="175" t="str">
        <f>IFERROR(SUM(SUMIFS('caseload data'!T:T,'caseload data'!$C:$C,'community %'!$T$36,'caseload data'!$D:$D,"PO",'caseload data'!$B:$B,{"licence","community"}))/SUM(SUMIFS('caseload data'!T:T,'caseload data'!$B:$B,{"licence","community"},'caseload data'!$C:$C,'community %'!$T$36)),"")</f>
        <v/>
      </c>
    </row>
    <row r="39" spans="2:36" x14ac:dyDescent="0.15">
      <c r="B39" s="101" t="s">
        <v>1172</v>
      </c>
      <c r="C39" s="175" t="str">
        <f>IFERROR(SUM(SUMIFS('caseload data'!E:E,'caseload data'!$C:$C,'community %'!$B$36,'caseload data'!$D:$D,"PSO",'caseload data'!$B:$B,{"licence","community"}))/SUM(SUMIFS('caseload data'!E:E,'caseload data'!$B:$B,{"licence","community"},'caseload data'!$C:$C,'community %'!$B$36)),"")</f>
        <v/>
      </c>
      <c r="D39" s="175" t="str">
        <f>IFERROR(SUM(SUMIFS('caseload data'!F:F,'caseload data'!$C:$C,'community %'!$B$36,'caseload data'!$D:$D,"PSO",'caseload data'!$B:$B,{"licence","community"}))/SUM(SUMIFS('caseload data'!F:F,'caseload data'!$B:$B,{"licence","community"},'caseload data'!$C:$C,'community %'!$B$36)),"")</f>
        <v/>
      </c>
      <c r="E39" s="175" t="str">
        <f>IFERROR(SUM(SUMIFS('caseload data'!G:G,'caseload data'!$C:$C,'community %'!$B$36,'caseload data'!$D:$D,"PSO",'caseload data'!$B:$B,{"licence","community"}))/SUM(SUMIFS('caseload data'!G:G,'caseload data'!$B:$B,{"licence","community"},'caseload data'!$C:$C,'community %'!$B$36)),"")</f>
        <v/>
      </c>
      <c r="F39" s="175" t="str">
        <f>IFERROR(SUM(SUMIFS('caseload data'!H:H,'caseload data'!$C:$C,'community %'!$B$36,'caseload data'!$D:$D,"PSO",'caseload data'!$B:$B,{"licence","community"}))/SUM(SUMIFS('caseload data'!H:H,'caseload data'!$B:$B,{"licence","community"},'caseload data'!$C:$C,'community %'!$B$36)),"")</f>
        <v/>
      </c>
      <c r="G39" s="175" t="str">
        <f>IFERROR(SUM(SUMIFS('caseload data'!I:I,'caseload data'!$C:$C,'community %'!$B$36,'caseload data'!$D:$D,"PSO",'caseload data'!$B:$B,{"licence","community"}))/SUM(SUMIFS('caseload data'!I:I,'caseload data'!$B:$B,{"licence","community"},'caseload data'!$C:$C,'community %'!$B$36)),"")</f>
        <v/>
      </c>
      <c r="H39" s="175" t="str">
        <f>IFERROR(SUM(SUMIFS('caseload data'!J:J,'caseload data'!$C:$C,'community %'!$B$36,'caseload data'!$D:$D,"PSO",'caseload data'!$B:$B,{"licence","community"}))/SUM(SUMIFS('caseload data'!J:J,'caseload data'!$B:$B,{"licence","community"},'caseload data'!$C:$C,'community %'!$B$36)),"")</f>
        <v/>
      </c>
      <c r="I39" s="175" t="str">
        <f>IFERROR(SUM(SUMIFS('caseload data'!K:K,'caseload data'!$C:$C,'community %'!$B$36,'caseload data'!$D:$D,"PSO",'caseload data'!$B:$B,{"licence","community"}))/SUM(SUMIFS('caseload data'!K:K,'caseload data'!$B:$B,{"licence","community"},'caseload data'!$C:$C,'community %'!$B$36)),"")</f>
        <v/>
      </c>
      <c r="J39" s="175" t="str">
        <f>IFERROR(SUM(SUMIFS('caseload data'!L:L,'caseload data'!$C:$C,'community %'!$B$36,'caseload data'!$D:$D,"PSO",'caseload data'!$B:$B,{"licence","community"}))/SUM(SUMIFS('caseload data'!L:L,'caseload data'!$B:$B,{"licence","community"},'caseload data'!$C:$C,'community %'!$B$36)),"")</f>
        <v/>
      </c>
      <c r="K39" s="175" t="str">
        <f>IFERROR(SUM(SUMIFS('caseload data'!M:M,'caseload data'!$C:$C,'community %'!$B$36,'caseload data'!$D:$D,"PSO",'caseload data'!$B:$B,{"licence","community"}))/SUM(SUMIFS('caseload data'!M:M,'caseload data'!$B:$B,{"licence","community"},'caseload data'!$C:$C,'community %'!$B$36)),"")</f>
        <v/>
      </c>
      <c r="L39" s="175" t="str">
        <f>IFERROR(SUM(SUMIFS('caseload data'!N:N,'caseload data'!$C:$C,'community %'!$B$36,'caseload data'!$D:$D,"PSO",'caseload data'!$B:$B,{"licence","community"}))/SUM(SUMIFS('caseload data'!N:N,'caseload data'!$B:$B,{"licence","community"},'caseload data'!$C:$C,'community %'!$B$36)),"")</f>
        <v/>
      </c>
      <c r="M39" s="175" t="str">
        <f>IFERROR(SUM(SUMIFS('caseload data'!O:O,'caseload data'!$C:$C,'community %'!$B$36,'caseload data'!$D:$D,"PSO",'caseload data'!$B:$B,{"licence","community"}))/SUM(SUMIFS('caseload data'!O:O,'caseload data'!$B:$B,{"licence","community"},'caseload data'!$C:$C,'community %'!$B$36)),"")</f>
        <v/>
      </c>
      <c r="N39" s="175" t="str">
        <f>IFERROR(SUM(SUMIFS('caseload data'!P:P,'caseload data'!$C:$C,'community %'!$B$36,'caseload data'!$D:$D,"PSO",'caseload data'!$B:$B,{"licence","community"}))/SUM(SUMIFS('caseload data'!P:P,'caseload data'!$B:$B,{"licence","community"},'caseload data'!$C:$C,'community %'!$B$36)),"")</f>
        <v/>
      </c>
      <c r="O39" s="175" t="str">
        <f>IFERROR(SUM(SUMIFS('caseload data'!Q:Q,'caseload data'!$C:$C,'community %'!$B$36,'caseload data'!$D:$D,"PSO",'caseload data'!$B:$B,{"licence","community"}))/SUM(SUMIFS('caseload data'!Q:Q,'caseload data'!$B:$B,{"licence","community"},'caseload data'!$C:$C,'community %'!$B$36)),"")</f>
        <v/>
      </c>
      <c r="P39" s="175" t="str">
        <f>IFERROR(SUM(SUMIFS('caseload data'!R:R,'caseload data'!$C:$C,'community %'!$B$36,'caseload data'!$D:$D,"PSO",'caseload data'!$B:$B,{"licence","community"}))/SUM(SUMIFS('caseload data'!R:R,'caseload data'!$B:$B,{"licence","community"},'caseload data'!$C:$C,'community %'!$B$36)),"")</f>
        <v/>
      </c>
      <c r="Q39" s="175" t="str">
        <f>IFERROR(SUM(SUMIFS('caseload data'!S:S,'caseload data'!$C:$C,'community %'!$B$36,'caseload data'!$D:$D,"PSO",'caseload data'!$B:$B,{"licence","community"}))/SUM(SUMIFS('caseload data'!S:S,'caseload data'!$B:$B,{"licence","community"},'caseload data'!$C:$C,'community %'!$B$36)),"")</f>
        <v/>
      </c>
      <c r="R39" s="175" t="str">
        <f>IFERROR(SUM(SUMIFS('caseload data'!T:T,'caseload data'!$C:$C,'community %'!$B$36,'caseload data'!$D:$D,"PSO",'caseload data'!$B:$B,{"licence","community"}))/SUM(SUMIFS('caseload data'!T:T,'caseload data'!$B:$B,{"licence","community"},'caseload data'!$C:$C,'community %'!$B$36)),"")</f>
        <v/>
      </c>
      <c r="S39" s="68"/>
      <c r="T39" s="101" t="s">
        <v>1172</v>
      </c>
      <c r="U39" s="175" t="str">
        <f>IFERROR(SUM(SUMIFS('caseload data'!E:E,'caseload data'!$C:$C,'community %'!$T$36,'caseload data'!$D:$D,"PSO",'caseload data'!$B:$B,{"licence","community"}))/SUM(SUMIFS('caseload data'!E:E,'caseload data'!$B:$B,{"licence","community"},'caseload data'!$C:$C,'community %'!$T$36)),"")</f>
        <v/>
      </c>
      <c r="V39" s="175" t="str">
        <f>IFERROR(SUM(SUMIFS('caseload data'!F:F,'caseload data'!$C:$C,'community %'!$T$36,'caseload data'!$D:$D,"PSO",'caseload data'!$B:$B,{"licence","community"}))/SUM(SUMIFS('caseload data'!F:F,'caseload data'!$B:$B,{"licence","community"},'caseload data'!$C:$C,'community %'!$T$36)),"")</f>
        <v/>
      </c>
      <c r="W39" s="175" t="str">
        <f>IFERROR(SUM(SUMIFS('caseload data'!G:G,'caseload data'!$C:$C,'community %'!$T$36,'caseload data'!$D:$D,"PSO",'caseload data'!$B:$B,{"licence","community"}))/SUM(SUMIFS('caseload data'!G:G,'caseload data'!$B:$B,{"licence","community"},'caseload data'!$C:$C,'community %'!$T$36)),"")</f>
        <v/>
      </c>
      <c r="X39" s="175" t="str">
        <f>IFERROR(SUM(SUMIFS('caseload data'!H:H,'caseload data'!$C:$C,'community %'!$T$36,'caseload data'!$D:$D,"PSO",'caseload data'!$B:$B,{"licence","community"}))/SUM(SUMIFS('caseload data'!H:H,'caseload data'!$B:$B,{"licence","community"},'caseload data'!$C:$C,'community %'!$T$36)),"")</f>
        <v/>
      </c>
      <c r="Y39" s="175" t="str">
        <f>IFERROR(SUM(SUMIFS('caseload data'!I:I,'caseload data'!$C:$C,'community %'!$T$36,'caseload data'!$D:$D,"PSO",'caseload data'!$B:$B,{"licence","community"}))/SUM(SUMIFS('caseload data'!I:I,'caseload data'!$B:$B,{"licence","community"},'caseload data'!$C:$C,'community %'!$T$36)),"")</f>
        <v/>
      </c>
      <c r="Z39" s="175" t="str">
        <f>IFERROR(SUM(SUMIFS('caseload data'!J:J,'caseload data'!$C:$C,'community %'!$T$36,'caseload data'!$D:$D,"PSO",'caseload data'!$B:$B,{"licence","community"}))/SUM(SUMIFS('caseload data'!J:J,'caseload data'!$B:$B,{"licence","community"},'caseload data'!$C:$C,'community %'!$T$36)),"")</f>
        <v/>
      </c>
      <c r="AA39" s="175" t="str">
        <f>IFERROR(SUM(SUMIFS('caseload data'!K:K,'caseload data'!$C:$C,'community %'!$T$36,'caseload data'!$D:$D,"PSO",'caseload data'!$B:$B,{"licence","community"}))/SUM(SUMIFS('caseload data'!K:K,'caseload data'!$B:$B,{"licence","community"},'caseload data'!$C:$C,'community %'!$T$36)),"")</f>
        <v/>
      </c>
      <c r="AB39" s="175" t="str">
        <f>IFERROR(SUM(SUMIFS('caseload data'!L:L,'caseload data'!$C:$C,'community %'!$T$36,'caseload data'!$D:$D,"PSO",'caseload data'!$B:$B,{"licence","community"}))/SUM(SUMIFS('caseload data'!L:L,'caseload data'!$B:$B,{"licence","community"},'caseload data'!$C:$C,'community %'!$T$36)),"")</f>
        <v/>
      </c>
      <c r="AC39" s="175" t="str">
        <f>IFERROR(SUM(SUMIFS('caseload data'!M:M,'caseload data'!$C:$C,'community %'!$T$36,'caseload data'!$D:$D,"PSO",'caseload data'!$B:$B,{"licence","community"}))/SUM(SUMIFS('caseload data'!M:M,'caseload data'!$B:$B,{"licence","community"},'caseload data'!$C:$C,'community %'!$T$36)),"")</f>
        <v/>
      </c>
      <c r="AD39" s="175" t="str">
        <f>IFERROR(SUM(SUMIFS('caseload data'!N:N,'caseload data'!$C:$C,'community %'!$T$36,'caseload data'!$D:$D,"PSO",'caseload data'!$B:$B,{"licence","community"}))/SUM(SUMIFS('caseload data'!N:N,'caseload data'!$B:$B,{"licence","community"},'caseload data'!$C:$C,'community %'!$T$36)),"")</f>
        <v/>
      </c>
      <c r="AE39" s="175" t="str">
        <f>IFERROR(SUM(SUMIFS('caseload data'!O:O,'caseload data'!$C:$C,'community %'!$T$36,'caseload data'!$D:$D,"PSO",'caseload data'!$B:$B,{"licence","community"}))/SUM(SUMIFS('caseload data'!O:O,'caseload data'!$B:$B,{"licence","community"},'caseload data'!$C:$C,'community %'!$T$36)),"")</f>
        <v/>
      </c>
      <c r="AF39" s="175" t="str">
        <f>IFERROR(SUM(SUMIFS('caseload data'!P:P,'caseload data'!$C:$C,'community %'!$T$36,'caseload data'!$D:$D,"PSO",'caseload data'!$B:$B,{"licence","community"}))/SUM(SUMIFS('caseload data'!P:P,'caseload data'!$B:$B,{"licence","community"},'caseload data'!$C:$C,'community %'!$T$36)),"")</f>
        <v/>
      </c>
      <c r="AG39" s="175" t="str">
        <f>IFERROR(SUM(SUMIFS('caseload data'!Q:Q,'caseload data'!$C:$C,'community %'!$T$36,'caseload data'!$D:$D,"PSO",'caseload data'!$B:$B,{"licence","community"}))/SUM(SUMIFS('caseload data'!Q:Q,'caseload data'!$B:$B,{"licence","community"},'caseload data'!$C:$C,'community %'!$T$36)),"")</f>
        <v/>
      </c>
      <c r="AH39" s="175" t="str">
        <f>IFERROR(SUM(SUMIFS('caseload data'!R:R,'caseload data'!$C:$C,'community %'!$T$36,'caseload data'!$D:$D,"PSO",'caseload data'!$B:$B,{"licence","community"}))/SUM(SUMIFS('caseload data'!R:R,'caseload data'!$B:$B,{"licence","community"},'caseload data'!$C:$C,'community %'!$T$36)),"")</f>
        <v/>
      </c>
      <c r="AI39" s="175" t="str">
        <f>IFERROR(SUM(SUMIFS('caseload data'!S:S,'caseload data'!$C:$C,'community %'!$T$36,'caseload data'!$D:$D,"PSO",'caseload data'!$B:$B,{"licence","community"}))/SUM(SUMIFS('caseload data'!S:S,'caseload data'!$B:$B,{"licence","community"},'caseload data'!$C:$C,'community %'!$T$36)),"")</f>
        <v/>
      </c>
      <c r="AJ39" s="175" t="str">
        <f>IFERROR(SUM(SUMIFS('caseload data'!T:T,'caseload data'!$C:$C,'community %'!$T$36,'caseload data'!$D:$D,"PSO",'caseload data'!$B:$B,{"licence","community"}))/SUM(SUMIFS('caseload data'!T:T,'caseload data'!$B:$B,{"licence","community"},'caseload data'!$C:$C,'community %'!$T$36)),"")</f>
        <v/>
      </c>
    </row>
    <row r="40" spans="2:36" x14ac:dyDescent="0.15">
      <c r="B40" s="101" t="s">
        <v>1173</v>
      </c>
      <c r="C40" s="175" t="str">
        <f>IFERROR(SUM(SUMIFS('caseload data'!E:E,'caseload data'!$C:$C,'community %'!$B$36,'caseload data'!$D:$D,"TPO",'caseload data'!$B:$B,{"licence","community"}))/SUM(SUMIFS('caseload data'!E:E,'caseload data'!$B:$B,{"licence","community"},'caseload data'!$C:$C,'community %'!$B$36)),"")</f>
        <v/>
      </c>
      <c r="D40" s="175" t="str">
        <f>IFERROR(SUM(SUMIFS('caseload data'!F:F,'caseload data'!$C:$C,'community %'!$B$36,'caseload data'!$D:$D,"TPO",'caseload data'!$B:$B,{"licence","community"}))/SUM(SUMIFS('caseload data'!F:F,'caseload data'!$B:$B,{"licence","community"},'caseload data'!$C:$C,'community %'!$B$36)),"")</f>
        <v/>
      </c>
      <c r="E40" s="175" t="str">
        <f>IFERROR(SUM(SUMIFS('caseload data'!G:G,'caseload data'!$C:$C,'community %'!$B$36,'caseload data'!$D:$D,"TPO",'caseload data'!$B:$B,{"licence","community"}))/SUM(SUMIFS('caseload data'!G:G,'caseload data'!$B:$B,{"licence","community"},'caseload data'!$C:$C,'community %'!$B$36)),"")</f>
        <v/>
      </c>
      <c r="F40" s="175" t="str">
        <f>IFERROR(SUM(SUMIFS('caseload data'!H:H,'caseload data'!$C:$C,'community %'!$B$36,'caseload data'!$D:$D,"TPO",'caseload data'!$B:$B,{"licence","community"}))/SUM(SUMIFS('caseload data'!H:H,'caseload data'!$B:$B,{"licence","community"},'caseload data'!$C:$C,'community %'!$B$36)),"")</f>
        <v/>
      </c>
      <c r="G40" s="175" t="str">
        <f>IFERROR(SUM(SUMIFS('caseload data'!I:I,'caseload data'!$C:$C,'community %'!$B$36,'caseload data'!$D:$D,"TPO",'caseload data'!$B:$B,{"licence","community"}))/SUM(SUMIFS('caseload data'!I:I,'caseload data'!$B:$B,{"licence","community"},'caseload data'!$C:$C,'community %'!$B$36)),"")</f>
        <v/>
      </c>
      <c r="H40" s="175" t="str">
        <f>IFERROR(SUM(SUMIFS('caseload data'!J:J,'caseload data'!$C:$C,'community %'!$B$36,'caseload data'!$D:$D,"TPO",'caseload data'!$B:$B,{"licence","community"}))/SUM(SUMIFS('caseload data'!J:J,'caseload data'!$B:$B,{"licence","community"},'caseload data'!$C:$C,'community %'!$B$36)),"")</f>
        <v/>
      </c>
      <c r="I40" s="175" t="str">
        <f>IFERROR(SUM(SUMIFS('caseload data'!K:K,'caseload data'!$C:$C,'community %'!$B$36,'caseload data'!$D:$D,"TPO",'caseload data'!$B:$B,{"licence","community"}))/SUM(SUMIFS('caseload data'!K:K,'caseload data'!$B:$B,{"licence","community"},'caseload data'!$C:$C,'community %'!$B$36)),"")</f>
        <v/>
      </c>
      <c r="J40" s="175" t="str">
        <f>IFERROR(SUM(SUMIFS('caseload data'!L:L,'caseload data'!$C:$C,'community %'!$B$36,'caseload data'!$D:$D,"TPO",'caseload data'!$B:$B,{"licence","community"}))/SUM(SUMIFS('caseload data'!L:L,'caseload data'!$B:$B,{"licence","community"},'caseload data'!$C:$C,'community %'!$B$36)),"")</f>
        <v/>
      </c>
      <c r="K40" s="175" t="str">
        <f>IFERROR(SUM(SUMIFS('caseload data'!M:M,'caseload data'!$C:$C,'community %'!$B$36,'caseload data'!$D:$D,"TPO",'caseload data'!$B:$B,{"licence","community"}))/SUM(SUMIFS('caseload data'!M:M,'caseload data'!$B:$B,{"licence","community"},'caseload data'!$C:$C,'community %'!$B$36)),"")</f>
        <v/>
      </c>
      <c r="L40" s="175" t="str">
        <f>IFERROR(SUM(SUMIFS('caseload data'!N:N,'caseload data'!$C:$C,'community %'!$B$36,'caseload data'!$D:$D,"TPO",'caseload data'!$B:$B,{"licence","community"}))/SUM(SUMIFS('caseload data'!N:N,'caseload data'!$B:$B,{"licence","community"},'caseload data'!$C:$C,'community %'!$B$36)),"")</f>
        <v/>
      </c>
      <c r="M40" s="175" t="str">
        <f>IFERROR(SUM(SUMIFS('caseload data'!O:O,'caseload data'!$C:$C,'community %'!$B$36,'caseload data'!$D:$D,"TPO",'caseload data'!$B:$B,{"licence","community"}))/SUM(SUMIFS('caseload data'!O:O,'caseload data'!$B:$B,{"licence","community"},'caseload data'!$C:$C,'community %'!$B$36)),"")</f>
        <v/>
      </c>
      <c r="N40" s="175" t="str">
        <f>IFERROR(SUM(SUMIFS('caseload data'!P:P,'caseload data'!$C:$C,'community %'!$B$36,'caseload data'!$D:$D,"TPO",'caseload data'!$B:$B,{"licence","community"}))/SUM(SUMIFS('caseload data'!P:P,'caseload data'!$B:$B,{"licence","community"},'caseload data'!$C:$C,'community %'!$B$36)),"")</f>
        <v/>
      </c>
      <c r="O40" s="175" t="str">
        <f>IFERROR(SUM(SUMIFS('caseload data'!Q:Q,'caseload data'!$C:$C,'community %'!$B$36,'caseload data'!$D:$D,"TPO",'caseload data'!$B:$B,{"licence","community"}))/SUM(SUMIFS('caseload data'!Q:Q,'caseload data'!$B:$B,{"licence","community"},'caseload data'!$C:$C,'community %'!$B$36)),"")</f>
        <v/>
      </c>
      <c r="P40" s="175" t="str">
        <f>IFERROR(SUM(SUMIFS('caseload data'!R:R,'caseload data'!$C:$C,'community %'!$B$36,'caseload data'!$D:$D,"TPO",'caseload data'!$B:$B,{"licence","community"}))/SUM(SUMIFS('caseload data'!R:R,'caseload data'!$B:$B,{"licence","community"},'caseload data'!$C:$C,'community %'!$B$36)),"")</f>
        <v/>
      </c>
      <c r="Q40" s="175" t="str">
        <f>IFERROR(SUM(SUMIFS('caseload data'!S:S,'caseload data'!$C:$C,'community %'!$B$36,'caseload data'!$D:$D,"TPO",'caseload data'!$B:$B,{"licence","community"}))/SUM(SUMIFS('caseload data'!S:S,'caseload data'!$B:$B,{"licence","community"},'caseload data'!$C:$C,'community %'!$B$36)),"")</f>
        <v/>
      </c>
      <c r="R40" s="175" t="str">
        <f>IFERROR(SUM(SUMIFS('caseload data'!T:T,'caseload data'!$C:$C,'community %'!$B$36,'caseload data'!$D:$D,"TPO",'caseload data'!$B:$B,{"licence","community"}))/SUM(SUMIFS('caseload data'!T:T,'caseload data'!$B:$B,{"licence","community"},'caseload data'!$C:$C,'community %'!$B$36)),"")</f>
        <v/>
      </c>
      <c r="S40" s="68"/>
      <c r="T40" s="101" t="s">
        <v>1173</v>
      </c>
      <c r="U40" s="175" t="str">
        <f>IFERROR(SUM(SUMIFS('caseload data'!E:E,'caseload data'!$C:$C,'community %'!$T$36,'caseload data'!$D:$D,"TPO",'caseload data'!$B:$B,{"licence","community"}))/SUM(SUMIFS('caseload data'!E:E,'caseload data'!$B:$B,{"licence","community"},'caseload data'!$C:$C,'community %'!$T$36)),"")</f>
        <v/>
      </c>
      <c r="V40" s="175" t="str">
        <f>IFERROR(SUM(SUMIFS('caseload data'!F:F,'caseload data'!$C:$C,'community %'!$T$36,'caseload data'!$D:$D,"TPO",'caseload data'!$B:$B,{"licence","community"}))/SUM(SUMIFS('caseload data'!F:F,'caseload data'!$B:$B,{"licence","community"},'caseload data'!$C:$C,'community %'!$T$36)),"")</f>
        <v/>
      </c>
      <c r="W40" s="175" t="str">
        <f>IFERROR(SUM(SUMIFS('caseload data'!G:G,'caseload data'!$C:$C,'community %'!$T$36,'caseload data'!$D:$D,"TPO",'caseload data'!$B:$B,{"licence","community"}))/SUM(SUMIFS('caseload data'!G:G,'caseload data'!$B:$B,{"licence","community"},'caseload data'!$C:$C,'community %'!$T$36)),"")</f>
        <v/>
      </c>
      <c r="X40" s="175" t="str">
        <f>IFERROR(SUM(SUMIFS('caseload data'!H:H,'caseload data'!$C:$C,'community %'!$T$36,'caseload data'!$D:$D,"TPO",'caseload data'!$B:$B,{"licence","community"}))/SUM(SUMIFS('caseload data'!H:H,'caseload data'!$B:$B,{"licence","community"},'caseload data'!$C:$C,'community %'!$T$36)),"")</f>
        <v/>
      </c>
      <c r="Y40" s="175" t="str">
        <f>IFERROR(SUM(SUMIFS('caseload data'!I:I,'caseload data'!$C:$C,'community %'!$T$36,'caseload data'!$D:$D,"TPO",'caseload data'!$B:$B,{"licence","community"}))/SUM(SUMIFS('caseload data'!I:I,'caseload data'!$B:$B,{"licence","community"},'caseload data'!$C:$C,'community %'!$T$36)),"")</f>
        <v/>
      </c>
      <c r="Z40" s="175" t="str">
        <f>IFERROR(SUM(SUMIFS('caseload data'!J:J,'caseload data'!$C:$C,'community %'!$T$36,'caseload data'!$D:$D,"TPO",'caseload data'!$B:$B,{"licence","community"}))/SUM(SUMIFS('caseload data'!J:J,'caseload data'!$B:$B,{"licence","community"},'caseload data'!$C:$C,'community %'!$T$36)),"")</f>
        <v/>
      </c>
      <c r="AA40" s="175" t="str">
        <f>IFERROR(SUM(SUMIFS('caseload data'!K:K,'caseload data'!$C:$C,'community %'!$T$36,'caseload data'!$D:$D,"TPO",'caseload data'!$B:$B,{"licence","community"}))/SUM(SUMIFS('caseload data'!K:K,'caseload data'!$B:$B,{"licence","community"},'caseload data'!$C:$C,'community %'!$T$36)),"")</f>
        <v/>
      </c>
      <c r="AB40" s="175" t="str">
        <f>IFERROR(SUM(SUMIFS('caseload data'!L:L,'caseload data'!$C:$C,'community %'!$T$36,'caseload data'!$D:$D,"TPO",'caseload data'!$B:$B,{"licence","community"}))/SUM(SUMIFS('caseload data'!L:L,'caseload data'!$B:$B,{"licence","community"},'caseload data'!$C:$C,'community %'!$T$36)),"")</f>
        <v/>
      </c>
      <c r="AC40" s="175" t="str">
        <f>IFERROR(SUM(SUMIFS('caseload data'!M:M,'caseload data'!$C:$C,'community %'!$T$36,'caseload data'!$D:$D,"TPO",'caseload data'!$B:$B,{"licence","community"}))/SUM(SUMIFS('caseload data'!M:M,'caseload data'!$B:$B,{"licence","community"},'caseload data'!$C:$C,'community %'!$T$36)),"")</f>
        <v/>
      </c>
      <c r="AD40" s="175" t="str">
        <f>IFERROR(SUM(SUMIFS('caseload data'!N:N,'caseload data'!$C:$C,'community %'!$T$36,'caseload data'!$D:$D,"TPO",'caseload data'!$B:$B,{"licence","community"}))/SUM(SUMIFS('caseload data'!N:N,'caseload data'!$B:$B,{"licence","community"},'caseload data'!$C:$C,'community %'!$T$36)),"")</f>
        <v/>
      </c>
      <c r="AE40" s="175" t="str">
        <f>IFERROR(SUM(SUMIFS('caseload data'!O:O,'caseload data'!$C:$C,'community %'!$T$36,'caseload data'!$D:$D,"TPO",'caseload data'!$B:$B,{"licence","community"}))/SUM(SUMIFS('caseload data'!O:O,'caseload data'!$B:$B,{"licence","community"},'caseload data'!$C:$C,'community %'!$T$36)),"")</f>
        <v/>
      </c>
      <c r="AF40" s="175" t="str">
        <f>IFERROR(SUM(SUMIFS('caseload data'!P:P,'caseload data'!$C:$C,'community %'!$T$36,'caseload data'!$D:$D,"TPO",'caseload data'!$B:$B,{"licence","community"}))/SUM(SUMIFS('caseload data'!P:P,'caseload data'!$B:$B,{"licence","community"},'caseload data'!$C:$C,'community %'!$T$36)),"")</f>
        <v/>
      </c>
      <c r="AG40" s="175" t="str">
        <f>IFERROR(SUM(SUMIFS('caseload data'!Q:Q,'caseload data'!$C:$C,'community %'!$T$36,'caseload data'!$D:$D,"TPO",'caseload data'!$B:$B,{"licence","community"}))/SUM(SUMIFS('caseload data'!Q:Q,'caseload data'!$B:$B,{"licence","community"},'caseload data'!$C:$C,'community %'!$T$36)),"")</f>
        <v/>
      </c>
      <c r="AH40" s="175" t="str">
        <f>IFERROR(SUM(SUMIFS('caseload data'!R:R,'caseload data'!$C:$C,'community %'!$T$36,'caseload data'!$D:$D,"TPO",'caseload data'!$B:$B,{"licence","community"}))/SUM(SUMIFS('caseload data'!R:R,'caseload data'!$B:$B,{"licence","community"},'caseload data'!$C:$C,'community %'!$T$36)),"")</f>
        <v/>
      </c>
      <c r="AI40" s="175" t="str">
        <f>IFERROR(SUM(SUMIFS('caseload data'!S:S,'caseload data'!$C:$C,'community %'!$T$36,'caseload data'!$D:$D,"TPO",'caseload data'!$B:$B,{"licence","community"}))/SUM(SUMIFS('caseload data'!S:S,'caseload data'!$B:$B,{"licence","community"},'caseload data'!$C:$C,'community %'!$T$36)),"")</f>
        <v/>
      </c>
      <c r="AJ40" s="175" t="str">
        <f>IFERROR(SUM(SUMIFS('caseload data'!T:T,'caseload data'!$C:$C,'community %'!$T$36,'caseload data'!$D:$D,"TPO",'caseload data'!$B:$B,{"licence","community"}))/SUM(SUMIFS('caseload data'!T:T,'caseload data'!$B:$B,{"licence","community"},'caseload data'!$C:$C,'community %'!$T$36)),"")</f>
        <v/>
      </c>
    </row>
    <row r="41" spans="2:36" x14ac:dyDescent="0.15">
      <c r="B41" s="102" t="s">
        <v>1174</v>
      </c>
      <c r="C41" s="175" t="str">
        <f>IFERROR(SUM(SUMIFS('caseload data'!E:E,'caseload data'!$C:$C,'community %'!$B$36,'caseload data'!$D:$D,"SPO",'caseload data'!$B:$B,{"licence","community"}))/SUM(SUMIFS('caseload data'!E:E,'caseload data'!$B:$B,{"licence","community"},'caseload data'!$C:$C,'community %'!$B$36)),"")</f>
        <v/>
      </c>
      <c r="D41" s="175" t="str">
        <f>IFERROR(SUM(SUMIFS('caseload data'!F:F,'caseload data'!$C:$C,'community %'!$B$36,'caseload data'!$D:$D,"SPO",'caseload data'!$B:$B,{"licence","community"}))/SUM(SUMIFS('caseload data'!F:F,'caseload data'!$B:$B,{"licence","community"},'caseload data'!$C:$C,'community %'!$B$36)),"")</f>
        <v/>
      </c>
      <c r="E41" s="175" t="str">
        <f>IFERROR(SUM(SUMIFS('caseload data'!G:G,'caseload data'!$C:$C,'community %'!$B$36,'caseload data'!$D:$D,"SPO",'caseload data'!$B:$B,{"licence","community"}))/SUM(SUMIFS('caseload data'!G:G,'caseload data'!$B:$B,{"licence","community"},'caseload data'!$C:$C,'community %'!$B$36)),"")</f>
        <v/>
      </c>
      <c r="F41" s="175" t="str">
        <f>IFERROR(SUM(SUMIFS('caseload data'!H:H,'caseload data'!$C:$C,'community %'!$B$36,'caseload data'!$D:$D,"SPO",'caseload data'!$B:$B,{"licence","community"}))/SUM(SUMIFS('caseload data'!H:H,'caseload data'!$B:$B,{"licence","community"},'caseload data'!$C:$C,'community %'!$B$36)),"")</f>
        <v/>
      </c>
      <c r="G41" s="175" t="str">
        <f>IFERROR(SUM(SUMIFS('caseload data'!I:I,'caseload data'!$C:$C,'community %'!$B$36,'caseload data'!$D:$D,"SPO",'caseload data'!$B:$B,{"licence","community"}))/SUM(SUMIFS('caseload data'!I:I,'caseload data'!$B:$B,{"licence","community"},'caseload data'!$C:$C,'community %'!$B$36)),"")</f>
        <v/>
      </c>
      <c r="H41" s="175" t="str">
        <f>IFERROR(SUM(SUMIFS('caseload data'!J:J,'caseload data'!$C:$C,'community %'!$B$36,'caseload data'!$D:$D,"SPO",'caseload data'!$B:$B,{"licence","community"}))/SUM(SUMIFS('caseload data'!J:J,'caseload data'!$B:$B,{"licence","community"},'caseload data'!$C:$C,'community %'!$B$36)),"")</f>
        <v/>
      </c>
      <c r="I41" s="175" t="str">
        <f>IFERROR(SUM(SUMIFS('caseload data'!K:K,'caseload data'!$C:$C,'community %'!$B$36,'caseload data'!$D:$D,"SPO",'caseload data'!$B:$B,{"licence","community"}))/SUM(SUMIFS('caseload data'!K:K,'caseload data'!$B:$B,{"licence","community"},'caseload data'!$C:$C,'community %'!$B$36)),"")</f>
        <v/>
      </c>
      <c r="J41" s="175" t="str">
        <f>IFERROR(SUM(SUMIFS('caseload data'!L:L,'caseload data'!$C:$C,'community %'!$B$36,'caseload data'!$D:$D,"SPO",'caseload data'!$B:$B,{"licence","community"}))/SUM(SUMIFS('caseload data'!L:L,'caseload data'!$B:$B,{"licence","community"},'caseload data'!$C:$C,'community %'!$B$36)),"")</f>
        <v/>
      </c>
      <c r="K41" s="175" t="str">
        <f>IFERROR(SUM(SUMIFS('caseload data'!M:M,'caseload data'!$C:$C,'community %'!$B$36,'caseload data'!$D:$D,"SPO",'caseload data'!$B:$B,{"licence","community"}))/SUM(SUMIFS('caseload data'!M:M,'caseload data'!$B:$B,{"licence","community"},'caseload data'!$C:$C,'community %'!$B$36)),"")</f>
        <v/>
      </c>
      <c r="L41" s="175" t="str">
        <f>IFERROR(SUM(SUMIFS('caseload data'!N:N,'caseload data'!$C:$C,'community %'!$B$36,'caseload data'!$D:$D,"SPO",'caseload data'!$B:$B,{"licence","community"}))/SUM(SUMIFS('caseload data'!N:N,'caseload data'!$B:$B,{"licence","community"},'caseload data'!$C:$C,'community %'!$B$36)),"")</f>
        <v/>
      </c>
      <c r="M41" s="175" t="str">
        <f>IFERROR(SUM(SUMIFS('caseload data'!O:O,'caseload data'!$C:$C,'community %'!$B$36,'caseload data'!$D:$D,"SPO",'caseload data'!$B:$B,{"licence","community"}))/SUM(SUMIFS('caseload data'!O:O,'caseload data'!$B:$B,{"licence","community"},'caseload data'!$C:$C,'community %'!$B$36)),"")</f>
        <v/>
      </c>
      <c r="N41" s="175" t="str">
        <f>IFERROR(SUM(SUMIFS('caseload data'!P:P,'caseload data'!$C:$C,'community %'!$B$36,'caseload data'!$D:$D,"SPO",'caseload data'!$B:$B,{"licence","community"}))/SUM(SUMIFS('caseload data'!P:P,'caseload data'!$B:$B,{"licence","community"},'caseload data'!$C:$C,'community %'!$B$36)),"")</f>
        <v/>
      </c>
      <c r="O41" s="175" t="str">
        <f>IFERROR(SUM(SUMIFS('caseload data'!Q:Q,'caseload data'!$C:$C,'community %'!$B$36,'caseload data'!$D:$D,"SPO",'caseload data'!$B:$B,{"licence","community"}))/SUM(SUMIFS('caseload data'!Q:Q,'caseload data'!$B:$B,{"licence","community"},'caseload data'!$C:$C,'community %'!$B$36)),"")</f>
        <v/>
      </c>
      <c r="P41" s="175" t="str">
        <f>IFERROR(SUM(SUMIFS('caseload data'!R:R,'caseload data'!$C:$C,'community %'!$B$36,'caseload data'!$D:$D,"SPO",'caseload data'!$B:$B,{"licence","community"}))/SUM(SUMIFS('caseload data'!R:R,'caseload data'!$B:$B,{"licence","community"},'caseload data'!$C:$C,'community %'!$B$36)),"")</f>
        <v/>
      </c>
      <c r="Q41" s="175" t="str">
        <f>IFERROR(SUM(SUMIFS('caseload data'!S:S,'caseload data'!$C:$C,'community %'!$B$36,'caseload data'!$D:$D,"SPO",'caseload data'!$B:$B,{"licence","community"}))/SUM(SUMIFS('caseload data'!S:S,'caseload data'!$B:$B,{"licence","community"},'caseload data'!$C:$C,'community %'!$B$36)),"")</f>
        <v/>
      </c>
      <c r="R41" s="175" t="str">
        <f>IFERROR(SUM(SUMIFS('caseload data'!T:T,'caseload data'!$C:$C,'community %'!$B$36,'caseload data'!$D:$D,"SPO",'caseload data'!$B:$B,{"licence","community"}))/SUM(SUMIFS('caseload data'!T:T,'caseload data'!$B:$B,{"licence","community"},'caseload data'!$C:$C,'community %'!$B$36)),"")</f>
        <v/>
      </c>
      <c r="S41" s="68"/>
      <c r="T41" s="102" t="s">
        <v>1174</v>
      </c>
      <c r="U41" s="175" t="str">
        <f>IFERROR(SUM(SUMIFS('caseload data'!E:E,'caseload data'!$C:$C,'community %'!$T$36,'caseload data'!$D:$D,"SPO",'caseload data'!$B:$B,{"licence","community"}))/SUM(SUMIFS('caseload data'!E:E,'caseload data'!$B:$B,{"licence","community"},'caseload data'!$C:$C,'community %'!$T$36)),"")</f>
        <v/>
      </c>
      <c r="V41" s="175" t="str">
        <f>IFERROR(SUM(SUMIFS('caseload data'!F:F,'caseload data'!$C:$C,'community %'!$T$36,'caseload data'!$D:$D,"SPO",'caseload data'!$B:$B,{"licence","community"}))/SUM(SUMIFS('caseload data'!F:F,'caseload data'!$B:$B,{"licence","community"},'caseload data'!$C:$C,'community %'!$T$36)),"")</f>
        <v/>
      </c>
      <c r="W41" s="175" t="str">
        <f>IFERROR(SUM(SUMIFS('caseload data'!G:G,'caseload data'!$C:$C,'community %'!$T$36,'caseload data'!$D:$D,"SPO",'caseload data'!$B:$B,{"licence","community"}))/SUM(SUMIFS('caseload data'!G:G,'caseload data'!$B:$B,{"licence","community"},'caseload data'!$C:$C,'community %'!$T$36)),"")</f>
        <v/>
      </c>
      <c r="X41" s="175" t="str">
        <f>IFERROR(SUM(SUMIFS('caseload data'!H:H,'caseload data'!$C:$C,'community %'!$T$36,'caseload data'!$D:$D,"SPO",'caseload data'!$B:$B,{"licence","community"}))/SUM(SUMIFS('caseload data'!H:H,'caseload data'!$B:$B,{"licence","community"},'caseload data'!$C:$C,'community %'!$T$36)),"")</f>
        <v/>
      </c>
      <c r="Y41" s="175" t="str">
        <f>IFERROR(SUM(SUMIFS('caseload data'!I:I,'caseload data'!$C:$C,'community %'!$T$36,'caseload data'!$D:$D,"SPO",'caseload data'!$B:$B,{"licence","community"}))/SUM(SUMIFS('caseload data'!I:I,'caseload data'!$B:$B,{"licence","community"},'caseload data'!$C:$C,'community %'!$T$36)),"")</f>
        <v/>
      </c>
      <c r="Z41" s="175" t="str">
        <f>IFERROR(SUM(SUMIFS('caseload data'!J:J,'caseload data'!$C:$C,'community %'!$T$36,'caseload data'!$D:$D,"SPO",'caseload data'!$B:$B,{"licence","community"}))/SUM(SUMIFS('caseload data'!J:J,'caseload data'!$B:$B,{"licence","community"},'caseload data'!$C:$C,'community %'!$T$36)),"")</f>
        <v/>
      </c>
      <c r="AA41" s="175" t="str">
        <f>IFERROR(SUM(SUMIFS('caseload data'!K:K,'caseload data'!$C:$C,'community %'!$T$36,'caseload data'!$D:$D,"SPO",'caseload data'!$B:$B,{"licence","community"}))/SUM(SUMIFS('caseload data'!K:K,'caseload data'!$B:$B,{"licence","community"},'caseload data'!$C:$C,'community %'!$T$36)),"")</f>
        <v/>
      </c>
      <c r="AB41" s="175" t="str">
        <f>IFERROR(SUM(SUMIFS('caseload data'!L:L,'caseload data'!$C:$C,'community %'!$T$36,'caseload data'!$D:$D,"SPO",'caseload data'!$B:$B,{"licence","community"}))/SUM(SUMIFS('caseload data'!L:L,'caseload data'!$B:$B,{"licence","community"},'caseload data'!$C:$C,'community %'!$T$36)),"")</f>
        <v/>
      </c>
      <c r="AC41" s="175" t="str">
        <f>IFERROR(SUM(SUMIFS('caseload data'!M:M,'caseload data'!$C:$C,'community %'!$T$36,'caseload data'!$D:$D,"SPO",'caseload data'!$B:$B,{"licence","community"}))/SUM(SUMIFS('caseload data'!M:M,'caseload data'!$B:$B,{"licence","community"},'caseload data'!$C:$C,'community %'!$T$36)),"")</f>
        <v/>
      </c>
      <c r="AD41" s="175" t="str">
        <f>IFERROR(SUM(SUMIFS('caseload data'!N:N,'caseload data'!$C:$C,'community %'!$T$36,'caseload data'!$D:$D,"SPO",'caseload data'!$B:$B,{"licence","community"}))/SUM(SUMIFS('caseload data'!N:N,'caseload data'!$B:$B,{"licence","community"},'caseload data'!$C:$C,'community %'!$T$36)),"")</f>
        <v/>
      </c>
      <c r="AE41" s="175" t="str">
        <f>IFERROR(SUM(SUMIFS('caseload data'!O:O,'caseload data'!$C:$C,'community %'!$T$36,'caseload data'!$D:$D,"SPO",'caseload data'!$B:$B,{"licence","community"}))/SUM(SUMIFS('caseload data'!O:O,'caseload data'!$B:$B,{"licence","community"},'caseload data'!$C:$C,'community %'!$T$36)),"")</f>
        <v/>
      </c>
      <c r="AF41" s="175" t="str">
        <f>IFERROR(SUM(SUMIFS('caseload data'!P:P,'caseload data'!$C:$C,'community %'!$T$36,'caseload data'!$D:$D,"SPO",'caseload data'!$B:$B,{"licence","community"}))/SUM(SUMIFS('caseload data'!P:P,'caseload data'!$B:$B,{"licence","community"},'caseload data'!$C:$C,'community %'!$T$36)),"")</f>
        <v/>
      </c>
      <c r="AG41" s="175" t="str">
        <f>IFERROR(SUM(SUMIFS('caseload data'!Q:Q,'caseload data'!$C:$C,'community %'!$T$36,'caseload data'!$D:$D,"SPO",'caseload data'!$B:$B,{"licence","community"}))/SUM(SUMIFS('caseload data'!Q:Q,'caseload data'!$B:$B,{"licence","community"},'caseload data'!$C:$C,'community %'!$T$36)),"")</f>
        <v/>
      </c>
      <c r="AH41" s="175" t="str">
        <f>IFERROR(SUM(SUMIFS('caseload data'!R:R,'caseload data'!$C:$C,'community %'!$T$36,'caseload data'!$D:$D,"SPO",'caseload data'!$B:$B,{"licence","community"}))/SUM(SUMIFS('caseload data'!R:R,'caseload data'!$B:$B,{"licence","community"},'caseload data'!$C:$C,'community %'!$T$36)),"")</f>
        <v/>
      </c>
      <c r="AI41" s="175" t="str">
        <f>IFERROR(SUM(SUMIFS('caseload data'!S:S,'caseload data'!$C:$C,'community %'!$T$36,'caseload data'!$D:$D,"SPO",'caseload data'!$B:$B,{"licence","community"}))/SUM(SUMIFS('caseload data'!S:S,'caseload data'!$B:$B,{"licence","community"},'caseload data'!$C:$C,'community %'!$T$36)),"")</f>
        <v/>
      </c>
      <c r="AJ41" s="175" t="str">
        <f>IFERROR(SUM(SUMIFS('caseload data'!T:T,'caseload data'!$C:$C,'community %'!$T$36,'caseload data'!$D:$D,"SPO",'caseload data'!$B:$B,{"licence","community"}))/SUM(SUMIFS('caseload data'!T:T,'caseload data'!$B:$B,{"licence","community"},'caseload data'!$C:$C,'community %'!$T$36)),"")</f>
        <v/>
      </c>
    </row>
    <row r="42" spans="2:36" x14ac:dyDescent="0.15">
      <c r="B42" s="95"/>
      <c r="C42" s="68"/>
      <c r="D42" s="68"/>
      <c r="E42" s="68"/>
      <c r="F42" s="68"/>
      <c r="G42" s="68"/>
      <c r="H42" s="68"/>
      <c r="I42" s="68"/>
      <c r="J42" s="68"/>
      <c r="K42" s="68"/>
      <c r="L42" s="68"/>
      <c r="M42" s="68"/>
      <c r="N42" s="68"/>
      <c r="O42" s="68"/>
      <c r="P42" s="68"/>
      <c r="Q42" s="68"/>
      <c r="R42" s="68"/>
      <c r="S42" s="68"/>
      <c r="T42" s="95"/>
      <c r="U42" s="68"/>
      <c r="V42" s="68"/>
      <c r="W42" s="68"/>
      <c r="X42" s="68"/>
      <c r="Y42" s="68"/>
      <c r="Z42" s="68"/>
      <c r="AA42" s="68"/>
      <c r="AB42" s="68"/>
      <c r="AC42" s="68"/>
      <c r="AD42" s="68"/>
      <c r="AE42" s="68"/>
      <c r="AF42" s="68"/>
      <c r="AG42" s="68"/>
      <c r="AH42" s="68"/>
      <c r="AI42" s="68"/>
      <c r="AJ42" s="68"/>
    </row>
    <row r="43" spans="2:36" ht="33.75" customHeight="1" x14ac:dyDescent="0.15">
      <c r="B43" s="302" t="str">
        <f>HLOOKUP($B$5,Region_Table,12,0)</f>
        <v>Hammersmith, Fulham, Kensington, Chelsea and Westminster</v>
      </c>
      <c r="C43" s="459" t="s">
        <v>1313</v>
      </c>
      <c r="D43" s="460"/>
      <c r="E43" s="460"/>
      <c r="F43" s="460"/>
      <c r="G43" s="460"/>
      <c r="H43" s="460"/>
      <c r="I43" s="460"/>
      <c r="J43" s="460"/>
      <c r="K43" s="460"/>
      <c r="L43" s="460"/>
      <c r="M43" s="489"/>
      <c r="N43" s="489"/>
      <c r="O43" s="490"/>
      <c r="P43" s="462" cm="1">
        <f t="array" ref="P43">SUM(SUMIFS('caseload data'!V:V,'caseload data'!B:B,{"licence","community"},'caseload data'!$C:$C,B43))</f>
        <v>0</v>
      </c>
      <c r="Q43" s="479"/>
      <c r="R43" s="480"/>
      <c r="S43" s="68"/>
      <c r="T43" s="302" t="str">
        <f>HLOOKUP($B$5,Region_Table,13,0)</f>
        <v>Harrow and Barnet</v>
      </c>
      <c r="U43" s="459" t="s">
        <v>1313</v>
      </c>
      <c r="V43" s="460"/>
      <c r="W43" s="460"/>
      <c r="X43" s="460"/>
      <c r="Y43" s="460"/>
      <c r="Z43" s="460"/>
      <c r="AA43" s="460"/>
      <c r="AB43" s="460"/>
      <c r="AC43" s="460"/>
      <c r="AD43" s="460"/>
      <c r="AE43" s="489"/>
      <c r="AF43" s="489"/>
      <c r="AG43" s="490"/>
      <c r="AH43" s="462" cm="1">
        <f t="array" ref="AH43">SUM(SUMIFS('caseload data'!V:V,'caseload data'!B:B,{"licence","community"},'caseload data'!$C:$C,T43))</f>
        <v>0</v>
      </c>
      <c r="AI43" s="479"/>
      <c r="AJ43" s="480"/>
    </row>
    <row r="44" spans="2:36" x14ac:dyDescent="0.15">
      <c r="B44" s="99" t="s">
        <v>1170</v>
      </c>
      <c r="C44" s="40" t="s">
        <v>1022</v>
      </c>
      <c r="D44" s="40" t="s">
        <v>1023</v>
      </c>
      <c r="E44" s="40" t="s">
        <v>1024</v>
      </c>
      <c r="F44" s="40" t="s">
        <v>1025</v>
      </c>
      <c r="G44" s="40" t="s">
        <v>1026</v>
      </c>
      <c r="H44" s="40" t="s">
        <v>1027</v>
      </c>
      <c r="I44" s="40" t="s">
        <v>1028</v>
      </c>
      <c r="J44" s="40" t="s">
        <v>1029</v>
      </c>
      <c r="K44" s="40" t="s">
        <v>1030</v>
      </c>
      <c r="L44" s="40" t="s">
        <v>1031</v>
      </c>
      <c r="M44" s="40" t="s">
        <v>1032</v>
      </c>
      <c r="N44" s="40" t="s">
        <v>1033</v>
      </c>
      <c r="O44" s="40" t="s">
        <v>1034</v>
      </c>
      <c r="P44" s="40" t="s">
        <v>1035</v>
      </c>
      <c r="Q44" s="40" t="s">
        <v>1036</v>
      </c>
      <c r="R44" s="40" t="s">
        <v>1037</v>
      </c>
      <c r="S44" s="68"/>
      <c r="T44" s="99" t="s">
        <v>1170</v>
      </c>
      <c r="U44" s="40" t="s">
        <v>1022</v>
      </c>
      <c r="V44" s="40" t="s">
        <v>1023</v>
      </c>
      <c r="W44" s="40" t="s">
        <v>1024</v>
      </c>
      <c r="X44" s="40" t="s">
        <v>1025</v>
      </c>
      <c r="Y44" s="40" t="s">
        <v>1026</v>
      </c>
      <c r="Z44" s="40" t="s">
        <v>1027</v>
      </c>
      <c r="AA44" s="40" t="s">
        <v>1028</v>
      </c>
      <c r="AB44" s="40" t="s">
        <v>1029</v>
      </c>
      <c r="AC44" s="40" t="s">
        <v>1030</v>
      </c>
      <c r="AD44" s="40" t="s">
        <v>1031</v>
      </c>
      <c r="AE44" s="40" t="s">
        <v>1032</v>
      </c>
      <c r="AF44" s="40" t="s">
        <v>1033</v>
      </c>
      <c r="AG44" s="40" t="s">
        <v>1034</v>
      </c>
      <c r="AH44" s="40" t="s">
        <v>1035</v>
      </c>
      <c r="AI44" s="40" t="s">
        <v>1036</v>
      </c>
      <c r="AJ44" s="40" t="s">
        <v>1037</v>
      </c>
    </row>
    <row r="45" spans="2:36" x14ac:dyDescent="0.15">
      <c r="B45" s="100" t="s">
        <v>1166</v>
      </c>
      <c r="C45" s="175" t="str">
        <f>IFERROR(SUM(SUMIFS('caseload data'!E:E,'caseload data'!$C:$C,'community %'!$B$43,'caseload data'!$D:$D,"PO",'caseload data'!$B:$B,{"licence","community"}))/SUM(SUMIFS('caseload data'!E:E,'caseload data'!$B:$B,{"licence","community"},'caseload data'!$C:$C,'community %'!$B$43)),"")</f>
        <v/>
      </c>
      <c r="D45" s="175" t="str">
        <f>IFERROR(SUM(SUMIFS('caseload data'!F:F,'caseload data'!$C:$C,'community %'!$B$43,'caseload data'!$D:$D,"PO",'caseload data'!$B:$B,{"licence","community"}))/SUM(SUMIFS('caseload data'!F:F,'caseload data'!$B:$B,{"licence","community"},'caseload data'!$C:$C,'community %'!$B$43)),"")</f>
        <v/>
      </c>
      <c r="E45" s="175" t="str">
        <f>IFERROR(SUM(SUMIFS('caseload data'!G:G,'caseload data'!$C:$C,'community %'!$B$43,'caseload data'!$D:$D,"PO",'caseload data'!$B:$B,{"licence","community"}))/SUM(SUMIFS('caseload data'!G:G,'caseload data'!$B:$B,{"licence","community"},'caseload data'!$C:$C,'community %'!$B$43)),"")</f>
        <v/>
      </c>
      <c r="F45" s="175" t="str">
        <f>IFERROR(SUM(SUMIFS('caseload data'!H:H,'caseload data'!$C:$C,'community %'!$B$43,'caseload data'!$D:$D,"PO",'caseload data'!$B:$B,{"licence","community"}))/SUM(SUMIFS('caseload data'!H:H,'caseload data'!$B:$B,{"licence","community"},'caseload data'!$C:$C,'community %'!$B$43)),"")</f>
        <v/>
      </c>
      <c r="G45" s="175" t="str">
        <f>IFERROR(SUM(SUMIFS('caseload data'!I:I,'caseload data'!$C:$C,'community %'!$B$43,'caseload data'!$D:$D,"PO",'caseload data'!$B:$B,{"licence","community"}))/SUM(SUMIFS('caseload data'!I:I,'caseload data'!$B:$B,{"licence","community"},'caseload data'!$C:$C,'community %'!$B$43)),"")</f>
        <v/>
      </c>
      <c r="H45" s="175" t="str">
        <f>IFERROR(SUM(SUMIFS('caseload data'!J:J,'caseload data'!$C:$C,'community %'!$B$43,'caseload data'!$D:$D,"PO",'caseload data'!$B:$B,{"licence","community"}))/SUM(SUMIFS('caseload data'!J:J,'caseload data'!$B:$B,{"licence","community"},'caseload data'!$C:$C,'community %'!$B$43)),"")</f>
        <v/>
      </c>
      <c r="I45" s="175" t="str">
        <f>IFERROR(SUM(SUMIFS('caseload data'!K:K,'caseload data'!$C:$C,'community %'!$B$43,'caseload data'!$D:$D,"PO",'caseload data'!$B:$B,{"licence","community"}))/SUM(SUMIFS('caseload data'!K:K,'caseload data'!$B:$B,{"licence","community"},'caseload data'!$C:$C,'community %'!$B$43)),"")</f>
        <v/>
      </c>
      <c r="J45" s="175" t="str">
        <f>IFERROR(SUM(SUMIFS('caseload data'!L:L,'caseload data'!$C:$C,'community %'!$B$43,'caseload data'!$D:$D,"PO",'caseload data'!$B:$B,{"licence","community"}))/SUM(SUMIFS('caseload data'!L:L,'caseload data'!$B:$B,{"licence","community"},'caseload data'!$C:$C,'community %'!$B$43)),"")</f>
        <v/>
      </c>
      <c r="K45" s="175" t="str">
        <f>IFERROR(SUM(SUMIFS('caseload data'!M:M,'caseload data'!$C:$C,'community %'!$B$43,'caseload data'!$D:$D,"PO",'caseload data'!$B:$B,{"licence","community"}))/SUM(SUMIFS('caseload data'!M:M,'caseload data'!$B:$B,{"licence","community"},'caseload data'!$C:$C,'community %'!$B$43)),"")</f>
        <v/>
      </c>
      <c r="L45" s="175" t="str">
        <f>IFERROR(SUM(SUMIFS('caseload data'!N:N,'caseload data'!$C:$C,'community %'!$B$43,'caseload data'!$D:$D,"PO",'caseload data'!$B:$B,{"licence","community"}))/SUM(SUMIFS('caseload data'!N:N,'caseload data'!$B:$B,{"licence","community"},'caseload data'!$C:$C,'community %'!$B$43)),"")</f>
        <v/>
      </c>
      <c r="M45" s="175" t="str">
        <f>IFERROR(SUM(SUMIFS('caseload data'!O:O,'caseload data'!$C:$C,'community %'!$B$43,'caseload data'!$D:$D,"PO",'caseload data'!$B:$B,{"licence","community"}))/SUM(SUMIFS('caseload data'!O:O,'caseload data'!$B:$B,{"licence","community"},'caseload data'!$C:$C,'community %'!$B$43)),"")</f>
        <v/>
      </c>
      <c r="N45" s="175" t="str">
        <f>IFERROR(SUM(SUMIFS('caseload data'!P:P,'caseload data'!$C:$C,'community %'!$B$43,'caseload data'!$D:$D,"PO",'caseload data'!$B:$B,{"licence","community"}))/SUM(SUMIFS('caseload data'!P:P,'caseload data'!$B:$B,{"licence","community"},'caseload data'!$C:$C,'community %'!$B$43)),"")</f>
        <v/>
      </c>
      <c r="O45" s="175" t="str">
        <f>IFERROR(SUM(SUMIFS('caseload data'!Q:Q,'caseload data'!$C:$C,'community %'!$B$43,'caseload data'!$D:$D,"PO",'caseload data'!$B:$B,{"licence","community"}))/SUM(SUMIFS('caseload data'!Q:Q,'caseload data'!$B:$B,{"licence","community"},'caseload data'!$C:$C,'community %'!$B$43)),"")</f>
        <v/>
      </c>
      <c r="P45" s="175" t="str">
        <f>IFERROR(SUM(SUMIFS('caseload data'!R:R,'caseload data'!$C:$C,'community %'!$B$43,'caseload data'!$D:$D,"PO",'caseload data'!$B:$B,{"licence","community"}))/SUM(SUMIFS('caseload data'!R:R,'caseload data'!$B:$B,{"licence","community"},'caseload data'!$C:$C,'community %'!$B$43)),"")</f>
        <v/>
      </c>
      <c r="Q45" s="175" t="str">
        <f>IFERROR(SUM(SUMIFS('caseload data'!S:S,'caseload data'!$C:$C,'community %'!$B$43,'caseload data'!$D:$D,"PO",'caseload data'!$B:$B,{"licence","community"}))/SUM(SUMIFS('caseload data'!S:S,'caseload data'!$B:$B,{"licence","community"},'caseload data'!$C:$C,'community %'!$B$43)),"")</f>
        <v/>
      </c>
      <c r="R45" s="175" t="str">
        <f>IFERROR(SUM(SUMIFS('caseload data'!T:T,'caseload data'!$C:$C,'community %'!$B$43,'caseload data'!$D:$D,"PO",'caseload data'!$B:$B,{"licence","community"}))/SUM(SUMIFS('caseload data'!T:T,'caseload data'!$B:$B,{"licence","community"},'caseload data'!$C:$C,'community %'!$B$43)),"")</f>
        <v/>
      </c>
      <c r="S45" s="68"/>
      <c r="T45" s="100" t="s">
        <v>1166</v>
      </c>
      <c r="U45" s="175" t="str">
        <f>IFERROR(SUM(SUMIFS('caseload data'!E:E,'caseload data'!$C:$C,'community %'!$T$43,'caseload data'!$D:$D,"PO",'caseload data'!$B:$B,{"licence","community"}))/SUM(SUMIFS('caseload data'!E:E,'caseload data'!$B:$B,{"licence","community"},'caseload data'!$C:$C,'community %'!$T$43)),"")</f>
        <v/>
      </c>
      <c r="V45" s="175" t="str">
        <f>IFERROR(SUM(SUMIFS('caseload data'!F:F,'caseload data'!$C:$C,'community %'!$T$43,'caseload data'!$D:$D,"PO",'caseload data'!$B:$B,{"licence","community"}))/SUM(SUMIFS('caseload data'!F:F,'caseload data'!$B:$B,{"licence","community"},'caseload data'!$C:$C,'community %'!$T$43)),"")</f>
        <v/>
      </c>
      <c r="W45" s="175" t="str">
        <f>IFERROR(SUM(SUMIFS('caseload data'!G:G,'caseload data'!$C:$C,'community %'!$T$43,'caseload data'!$D:$D,"PO",'caseload data'!$B:$B,{"licence","community"}))/SUM(SUMIFS('caseload data'!G:G,'caseload data'!$B:$B,{"licence","community"},'caseload data'!$C:$C,'community %'!$T$43)),"")</f>
        <v/>
      </c>
      <c r="X45" s="175" t="str">
        <f>IFERROR(SUM(SUMIFS('caseload data'!H:H,'caseload data'!$C:$C,'community %'!$T$43,'caseload data'!$D:$D,"PO",'caseload data'!$B:$B,{"licence","community"}))/SUM(SUMIFS('caseload data'!H:H,'caseload data'!$B:$B,{"licence","community"},'caseload data'!$C:$C,'community %'!$T$43)),"")</f>
        <v/>
      </c>
      <c r="Y45" s="175" t="str">
        <f>IFERROR(SUM(SUMIFS('caseload data'!I:I,'caseload data'!$C:$C,'community %'!$T$43,'caseload data'!$D:$D,"PO",'caseload data'!$B:$B,{"licence","community"}))/SUM(SUMIFS('caseload data'!I:I,'caseload data'!$B:$B,{"licence","community"},'caseload data'!$C:$C,'community %'!$T$43)),"")</f>
        <v/>
      </c>
      <c r="Z45" s="175" t="str">
        <f>IFERROR(SUM(SUMIFS('caseload data'!J:J,'caseload data'!$C:$C,'community %'!$T$43,'caseload data'!$D:$D,"PO",'caseload data'!$B:$B,{"licence","community"}))/SUM(SUMIFS('caseload data'!J:J,'caseload data'!$B:$B,{"licence","community"},'caseload data'!$C:$C,'community %'!$T$43)),"")</f>
        <v/>
      </c>
      <c r="AA45" s="175" t="str">
        <f>IFERROR(SUM(SUMIFS('caseload data'!K:K,'caseload data'!$C:$C,'community %'!$T$43,'caseload data'!$D:$D,"PO",'caseload data'!$B:$B,{"licence","community"}))/SUM(SUMIFS('caseload data'!K:K,'caseload data'!$B:$B,{"licence","community"},'caseload data'!$C:$C,'community %'!$T$43)),"")</f>
        <v/>
      </c>
      <c r="AB45" s="175" t="str">
        <f>IFERROR(SUM(SUMIFS('caseload data'!L:L,'caseload data'!$C:$C,'community %'!$T$43,'caseload data'!$D:$D,"PO",'caseload data'!$B:$B,{"licence","community"}))/SUM(SUMIFS('caseload data'!L:L,'caseload data'!$B:$B,{"licence","community"},'caseload data'!$C:$C,'community %'!$T$43)),"")</f>
        <v/>
      </c>
      <c r="AC45" s="175" t="str">
        <f>IFERROR(SUM(SUMIFS('caseload data'!M:M,'caseload data'!$C:$C,'community %'!$T$43,'caseload data'!$D:$D,"PO",'caseload data'!$B:$B,{"licence","community"}))/SUM(SUMIFS('caseload data'!M:M,'caseload data'!$B:$B,{"licence","community"},'caseload data'!$C:$C,'community %'!$T$43)),"")</f>
        <v/>
      </c>
      <c r="AD45" s="175" t="str">
        <f>IFERROR(SUM(SUMIFS('caseload data'!N:N,'caseload data'!$C:$C,'community %'!$T$43,'caseload data'!$D:$D,"PO",'caseload data'!$B:$B,{"licence","community"}))/SUM(SUMIFS('caseload data'!N:N,'caseload data'!$B:$B,{"licence","community"},'caseload data'!$C:$C,'community %'!$T$43)),"")</f>
        <v/>
      </c>
      <c r="AE45" s="175" t="str">
        <f>IFERROR(SUM(SUMIFS('caseload data'!O:O,'caseload data'!$C:$C,'community %'!$T$43,'caseload data'!$D:$D,"PO",'caseload data'!$B:$B,{"licence","community"}))/SUM(SUMIFS('caseload data'!O:O,'caseload data'!$B:$B,{"licence","community"},'caseload data'!$C:$C,'community %'!$T$43)),"")</f>
        <v/>
      </c>
      <c r="AF45" s="175" t="str">
        <f>IFERROR(SUM(SUMIFS('caseload data'!P:P,'caseload data'!$C:$C,'community %'!$T$43,'caseload data'!$D:$D,"PO",'caseload data'!$B:$B,{"licence","community"}))/SUM(SUMIFS('caseload data'!P:P,'caseload data'!$B:$B,{"licence","community"},'caseload data'!$C:$C,'community %'!$T$43)),"")</f>
        <v/>
      </c>
      <c r="AG45" s="175" t="str">
        <f>IFERROR(SUM(SUMIFS('caseload data'!Q:Q,'caseload data'!$C:$C,'community %'!$T$43,'caseload data'!$D:$D,"PO",'caseload data'!$B:$B,{"licence","community"}))/SUM(SUMIFS('caseload data'!Q:Q,'caseload data'!$B:$B,{"licence","community"},'caseload data'!$C:$C,'community %'!$T$43)),"")</f>
        <v/>
      </c>
      <c r="AH45" s="175" t="str">
        <f>IFERROR(SUM(SUMIFS('caseload data'!R:R,'caseload data'!$C:$C,'community %'!$T$43,'caseload data'!$D:$D,"PO",'caseload data'!$B:$B,{"licence","community"}))/SUM(SUMIFS('caseload data'!R:R,'caseload data'!$B:$B,{"licence","community"},'caseload data'!$C:$C,'community %'!$T$43)),"")</f>
        <v/>
      </c>
      <c r="AI45" s="175" t="str">
        <f>IFERROR(SUM(SUMIFS('caseload data'!S:S,'caseload data'!$C:$C,'community %'!$T$43,'caseload data'!$D:$D,"PO",'caseload data'!$B:$B,{"licence","community"}))/SUM(SUMIFS('caseload data'!S:S,'caseload data'!$B:$B,{"licence","community"},'caseload data'!$C:$C,'community %'!$T$43)),"")</f>
        <v/>
      </c>
      <c r="AJ45" s="175" t="str">
        <f>IFERROR(SUM(SUMIFS('caseload data'!T:T,'caseload data'!$C:$C,'community %'!$T$43,'caseload data'!$D:$D,"PO",'caseload data'!$B:$B,{"licence","community"}))/SUM(SUMIFS('caseload data'!T:T,'caseload data'!$B:$B,{"licence","community"},'caseload data'!$C:$C,'community %'!$T$43)),"")</f>
        <v/>
      </c>
    </row>
    <row r="46" spans="2:36" x14ac:dyDescent="0.15">
      <c r="B46" s="101" t="s">
        <v>1172</v>
      </c>
      <c r="C46" s="175" t="str">
        <f>IFERROR(SUM(SUMIFS('caseload data'!E:E,'caseload data'!$C:$C,'community %'!$B$43,'caseload data'!$D:$D,"PSO",'caseload data'!$B:$B,{"licence","community"}))/SUM(SUMIFS('caseload data'!E:E,'caseload data'!$B:$B,{"licence","community"},'caseload data'!$C:$C,'community %'!$B$43)),"")</f>
        <v/>
      </c>
      <c r="D46" s="175" t="str">
        <f>IFERROR(SUM(SUMIFS('caseload data'!F:F,'caseload data'!$C:$C,'community %'!$B$43,'caseload data'!$D:$D,"PSO",'caseload data'!$B:$B,{"licence","community"}))/SUM(SUMIFS('caseload data'!F:F,'caseload data'!$B:$B,{"licence","community"},'caseload data'!$C:$C,'community %'!$B$43)),"")</f>
        <v/>
      </c>
      <c r="E46" s="175" t="str">
        <f>IFERROR(SUM(SUMIFS('caseload data'!G:G,'caseload data'!$C:$C,'community %'!$B$43,'caseload data'!$D:$D,"PSO",'caseload data'!$B:$B,{"licence","community"}))/SUM(SUMIFS('caseload data'!G:G,'caseload data'!$B:$B,{"licence","community"},'caseload data'!$C:$C,'community %'!$B$43)),"")</f>
        <v/>
      </c>
      <c r="F46" s="175" t="str">
        <f>IFERROR(SUM(SUMIFS('caseload data'!H:H,'caseload data'!$C:$C,'community %'!$B$43,'caseload data'!$D:$D,"PSO",'caseload data'!$B:$B,{"licence","community"}))/SUM(SUMIFS('caseload data'!H:H,'caseload data'!$B:$B,{"licence","community"},'caseload data'!$C:$C,'community %'!$B$43)),"")</f>
        <v/>
      </c>
      <c r="G46" s="175" t="str">
        <f>IFERROR(SUM(SUMIFS('caseload data'!I:I,'caseload data'!$C:$C,'community %'!$B$43,'caseload data'!$D:$D,"PSO",'caseload data'!$B:$B,{"licence","community"}))/SUM(SUMIFS('caseload data'!I:I,'caseload data'!$B:$B,{"licence","community"},'caseload data'!$C:$C,'community %'!$B$43)),"")</f>
        <v/>
      </c>
      <c r="H46" s="175" t="str">
        <f>IFERROR(SUM(SUMIFS('caseload data'!J:J,'caseload data'!$C:$C,'community %'!$B$43,'caseload data'!$D:$D,"PSO",'caseload data'!$B:$B,{"licence","community"}))/SUM(SUMIFS('caseload data'!J:J,'caseload data'!$B:$B,{"licence","community"},'caseload data'!$C:$C,'community %'!$B$43)),"")</f>
        <v/>
      </c>
      <c r="I46" s="175" t="str">
        <f>IFERROR(SUM(SUMIFS('caseload data'!K:K,'caseload data'!$C:$C,'community %'!$B$43,'caseload data'!$D:$D,"PSO",'caseload data'!$B:$B,{"licence","community"}))/SUM(SUMIFS('caseload data'!K:K,'caseload data'!$B:$B,{"licence","community"},'caseload data'!$C:$C,'community %'!$B$43)),"")</f>
        <v/>
      </c>
      <c r="J46" s="175" t="str">
        <f>IFERROR(SUM(SUMIFS('caseload data'!L:L,'caseload data'!$C:$C,'community %'!$B$43,'caseload data'!$D:$D,"PSO",'caseload data'!$B:$B,{"licence","community"}))/SUM(SUMIFS('caseload data'!L:L,'caseload data'!$B:$B,{"licence","community"},'caseload data'!$C:$C,'community %'!$B$43)),"")</f>
        <v/>
      </c>
      <c r="K46" s="175" t="str">
        <f>IFERROR(SUM(SUMIFS('caseload data'!M:M,'caseload data'!$C:$C,'community %'!$B$43,'caseload data'!$D:$D,"PSO",'caseload data'!$B:$B,{"licence","community"}))/SUM(SUMIFS('caseload data'!M:M,'caseload data'!$B:$B,{"licence","community"},'caseload data'!$C:$C,'community %'!$B$43)),"")</f>
        <v/>
      </c>
      <c r="L46" s="175" t="str">
        <f>IFERROR(SUM(SUMIFS('caseload data'!N:N,'caseload data'!$C:$C,'community %'!$B$43,'caseload data'!$D:$D,"PSO",'caseload data'!$B:$B,{"licence","community"}))/SUM(SUMIFS('caseload data'!N:N,'caseload data'!$B:$B,{"licence","community"},'caseload data'!$C:$C,'community %'!$B$43)),"")</f>
        <v/>
      </c>
      <c r="M46" s="175" t="str">
        <f>IFERROR(SUM(SUMIFS('caseload data'!O:O,'caseload data'!$C:$C,'community %'!$B$43,'caseload data'!$D:$D,"PSO",'caseload data'!$B:$B,{"licence","community"}))/SUM(SUMIFS('caseload data'!O:O,'caseload data'!$B:$B,{"licence","community"},'caseload data'!$C:$C,'community %'!$B$43)),"")</f>
        <v/>
      </c>
      <c r="N46" s="175" t="str">
        <f>IFERROR(SUM(SUMIFS('caseload data'!P:P,'caseload data'!$C:$C,'community %'!$B$43,'caseload data'!$D:$D,"PSO",'caseload data'!$B:$B,{"licence","community"}))/SUM(SUMIFS('caseload data'!P:P,'caseload data'!$B:$B,{"licence","community"},'caseload data'!$C:$C,'community %'!$B$43)),"")</f>
        <v/>
      </c>
      <c r="O46" s="175" t="str">
        <f>IFERROR(SUM(SUMIFS('caseload data'!Q:Q,'caseload data'!$C:$C,'community %'!$B$43,'caseload data'!$D:$D,"PSO",'caseload data'!$B:$B,{"licence","community"}))/SUM(SUMIFS('caseload data'!Q:Q,'caseload data'!$B:$B,{"licence","community"},'caseload data'!$C:$C,'community %'!$B$43)),"")</f>
        <v/>
      </c>
      <c r="P46" s="175" t="str">
        <f>IFERROR(SUM(SUMIFS('caseload data'!R:R,'caseload data'!$C:$C,'community %'!$B$43,'caseload data'!$D:$D,"PSO",'caseload data'!$B:$B,{"licence","community"}))/SUM(SUMIFS('caseload data'!R:R,'caseload data'!$B:$B,{"licence","community"},'caseload data'!$C:$C,'community %'!$B$43)),"")</f>
        <v/>
      </c>
      <c r="Q46" s="175" t="str">
        <f>IFERROR(SUM(SUMIFS('caseload data'!S:S,'caseload data'!$C:$C,'community %'!$B$43,'caseload data'!$D:$D,"PSO",'caseload data'!$B:$B,{"licence","community"}))/SUM(SUMIFS('caseload data'!S:S,'caseload data'!$B:$B,{"licence","community"},'caseload data'!$C:$C,'community %'!$B$43)),"")</f>
        <v/>
      </c>
      <c r="R46" s="175" t="str">
        <f>IFERROR(SUM(SUMIFS('caseload data'!T:T,'caseload data'!$C:$C,'community %'!$B$43,'caseload data'!$D:$D,"PSO",'caseload data'!$B:$B,{"licence","community"}))/SUM(SUMIFS('caseload data'!T:T,'caseload data'!$B:$B,{"licence","community"},'caseload data'!$C:$C,'community %'!$B$43)),"")</f>
        <v/>
      </c>
      <c r="S46" s="68"/>
      <c r="T46" s="101" t="s">
        <v>1172</v>
      </c>
      <c r="U46" s="175" t="str">
        <f>IFERROR(SUM(SUMIFS('caseload data'!E:E,'caseload data'!$C:$C,'community %'!$T$43,'caseload data'!$D:$D,"PSO",'caseload data'!$B:$B,{"licence","community"}))/SUM(SUMIFS('caseload data'!E:E,'caseload data'!$B:$B,{"licence","community"},'caseload data'!$C:$C,'community %'!$T$43)),"")</f>
        <v/>
      </c>
      <c r="V46" s="175" t="str">
        <f>IFERROR(SUM(SUMIFS('caseload data'!F:F,'caseload data'!$C:$C,'community %'!$T$43,'caseload data'!$D:$D,"PSO",'caseload data'!$B:$B,{"licence","community"}))/SUM(SUMIFS('caseload data'!F:F,'caseload data'!$B:$B,{"licence","community"},'caseload data'!$C:$C,'community %'!$T$43)),"")</f>
        <v/>
      </c>
      <c r="W46" s="175" t="str">
        <f>IFERROR(SUM(SUMIFS('caseload data'!G:G,'caseload data'!$C:$C,'community %'!$T$43,'caseload data'!$D:$D,"PSO",'caseload data'!$B:$B,{"licence","community"}))/SUM(SUMIFS('caseload data'!G:G,'caseload data'!$B:$B,{"licence","community"},'caseload data'!$C:$C,'community %'!$T$43)),"")</f>
        <v/>
      </c>
      <c r="X46" s="175" t="str">
        <f>IFERROR(SUM(SUMIFS('caseload data'!H:H,'caseload data'!$C:$C,'community %'!$T$43,'caseload data'!$D:$D,"PSO",'caseload data'!$B:$B,{"licence","community"}))/SUM(SUMIFS('caseload data'!H:H,'caseload data'!$B:$B,{"licence","community"},'caseload data'!$C:$C,'community %'!$T$43)),"")</f>
        <v/>
      </c>
      <c r="Y46" s="175" t="str">
        <f>IFERROR(SUM(SUMIFS('caseload data'!I:I,'caseload data'!$C:$C,'community %'!$T$43,'caseload data'!$D:$D,"PSO",'caseload data'!$B:$B,{"licence","community"}))/SUM(SUMIFS('caseload data'!I:I,'caseload data'!$B:$B,{"licence","community"},'caseload data'!$C:$C,'community %'!$T$43)),"")</f>
        <v/>
      </c>
      <c r="Z46" s="175" t="str">
        <f>IFERROR(SUM(SUMIFS('caseload data'!J:J,'caseload data'!$C:$C,'community %'!$T$43,'caseload data'!$D:$D,"PSO",'caseload data'!$B:$B,{"licence","community"}))/SUM(SUMIFS('caseload data'!J:J,'caseload data'!$B:$B,{"licence","community"},'caseload data'!$C:$C,'community %'!$T$43)),"")</f>
        <v/>
      </c>
      <c r="AA46" s="175" t="str">
        <f>IFERROR(SUM(SUMIFS('caseload data'!K:K,'caseload data'!$C:$C,'community %'!$T$43,'caseload data'!$D:$D,"PSO",'caseload data'!$B:$B,{"licence","community"}))/SUM(SUMIFS('caseload data'!K:K,'caseload data'!$B:$B,{"licence","community"},'caseload data'!$C:$C,'community %'!$T$43)),"")</f>
        <v/>
      </c>
      <c r="AB46" s="175" t="str">
        <f>IFERROR(SUM(SUMIFS('caseload data'!L:L,'caseload data'!$C:$C,'community %'!$T$43,'caseload data'!$D:$D,"PSO",'caseload data'!$B:$B,{"licence","community"}))/SUM(SUMIFS('caseload data'!L:L,'caseload data'!$B:$B,{"licence","community"},'caseload data'!$C:$C,'community %'!$T$43)),"")</f>
        <v/>
      </c>
      <c r="AC46" s="175" t="str">
        <f>IFERROR(SUM(SUMIFS('caseload data'!M:M,'caseload data'!$C:$C,'community %'!$T$43,'caseload data'!$D:$D,"PSO",'caseload data'!$B:$B,{"licence","community"}))/SUM(SUMIFS('caseload data'!M:M,'caseload data'!$B:$B,{"licence","community"},'caseload data'!$C:$C,'community %'!$T$43)),"")</f>
        <v/>
      </c>
      <c r="AD46" s="175" t="str">
        <f>IFERROR(SUM(SUMIFS('caseload data'!N:N,'caseload data'!$C:$C,'community %'!$T$43,'caseload data'!$D:$D,"PSO",'caseload data'!$B:$B,{"licence","community"}))/SUM(SUMIFS('caseload data'!N:N,'caseload data'!$B:$B,{"licence","community"},'caseload data'!$C:$C,'community %'!$T$43)),"")</f>
        <v/>
      </c>
      <c r="AE46" s="175" t="str">
        <f>IFERROR(SUM(SUMIFS('caseload data'!O:O,'caseload data'!$C:$C,'community %'!$T$43,'caseload data'!$D:$D,"PSO",'caseload data'!$B:$B,{"licence","community"}))/SUM(SUMIFS('caseload data'!O:O,'caseload data'!$B:$B,{"licence","community"},'caseload data'!$C:$C,'community %'!$T$43)),"")</f>
        <v/>
      </c>
      <c r="AF46" s="175" t="str">
        <f>IFERROR(SUM(SUMIFS('caseload data'!P:P,'caseload data'!$C:$C,'community %'!$T$43,'caseload data'!$D:$D,"PSO",'caseload data'!$B:$B,{"licence","community"}))/SUM(SUMIFS('caseload data'!P:P,'caseload data'!$B:$B,{"licence","community"},'caseload data'!$C:$C,'community %'!$T$43)),"")</f>
        <v/>
      </c>
      <c r="AG46" s="175" t="str">
        <f>IFERROR(SUM(SUMIFS('caseload data'!Q:Q,'caseload data'!$C:$C,'community %'!$T$43,'caseload data'!$D:$D,"PSO",'caseload data'!$B:$B,{"licence","community"}))/SUM(SUMIFS('caseload data'!Q:Q,'caseload data'!$B:$B,{"licence","community"},'caseload data'!$C:$C,'community %'!$T$43)),"")</f>
        <v/>
      </c>
      <c r="AH46" s="175" t="str">
        <f>IFERROR(SUM(SUMIFS('caseload data'!R:R,'caseload data'!$C:$C,'community %'!$T$43,'caseload data'!$D:$D,"PSO",'caseload data'!$B:$B,{"licence","community"}))/SUM(SUMIFS('caseload data'!R:R,'caseload data'!$B:$B,{"licence","community"},'caseload data'!$C:$C,'community %'!$T$43)),"")</f>
        <v/>
      </c>
      <c r="AI46" s="175" t="str">
        <f>IFERROR(SUM(SUMIFS('caseload data'!S:S,'caseload data'!$C:$C,'community %'!$T$43,'caseload data'!$D:$D,"PSO",'caseload data'!$B:$B,{"licence","community"}))/SUM(SUMIFS('caseload data'!S:S,'caseload data'!$B:$B,{"licence","community"},'caseload data'!$C:$C,'community %'!$T$43)),"")</f>
        <v/>
      </c>
      <c r="AJ46" s="175" t="str">
        <f>IFERROR(SUM(SUMIFS('caseload data'!T:T,'caseload data'!$C:$C,'community %'!$T$43,'caseload data'!$D:$D,"PSO",'caseload data'!$B:$B,{"licence","community"}))/SUM(SUMIFS('caseload data'!T:T,'caseload data'!$B:$B,{"licence","community"},'caseload data'!$C:$C,'community %'!$T$43)),"")</f>
        <v/>
      </c>
    </row>
    <row r="47" spans="2:36" x14ac:dyDescent="0.15">
      <c r="B47" s="101" t="s">
        <v>1173</v>
      </c>
      <c r="C47" s="175" t="str">
        <f>IFERROR(SUM(SUMIFS('caseload data'!E:E,'caseload data'!$C:$C,'community %'!$B$43,'caseload data'!$D:$D,"TPO",'caseload data'!$B:$B,{"licence","community"}))/SUM(SUMIFS('caseload data'!E:E,'caseload data'!$B:$B,{"licence","community"},'caseload data'!$C:$C,'community %'!$B$43)),"")</f>
        <v/>
      </c>
      <c r="D47" s="175" t="str">
        <f>IFERROR(SUM(SUMIFS('caseload data'!F:F,'caseload data'!$C:$C,'community %'!$B$43,'caseload data'!$D:$D,"TPO",'caseload data'!$B:$B,{"licence","community"}))/SUM(SUMIFS('caseload data'!F:F,'caseload data'!$B:$B,{"licence","community"},'caseload data'!$C:$C,'community %'!$B$43)),"")</f>
        <v/>
      </c>
      <c r="E47" s="175" t="str">
        <f>IFERROR(SUM(SUMIFS('caseload data'!G:G,'caseload data'!$C:$C,'community %'!$B$43,'caseload data'!$D:$D,"TPO",'caseload data'!$B:$B,{"licence","community"}))/SUM(SUMIFS('caseload data'!G:G,'caseload data'!$B:$B,{"licence","community"},'caseload data'!$C:$C,'community %'!$B$43)),"")</f>
        <v/>
      </c>
      <c r="F47" s="175" t="str">
        <f>IFERROR(SUM(SUMIFS('caseload data'!H:H,'caseload data'!$C:$C,'community %'!$B$43,'caseload data'!$D:$D,"TPO",'caseload data'!$B:$B,{"licence","community"}))/SUM(SUMIFS('caseload data'!H:H,'caseload data'!$B:$B,{"licence","community"},'caseload data'!$C:$C,'community %'!$B$43)),"")</f>
        <v/>
      </c>
      <c r="G47" s="175" t="str">
        <f>IFERROR(SUM(SUMIFS('caseload data'!I:I,'caseload data'!$C:$C,'community %'!$B$43,'caseload data'!$D:$D,"TPO",'caseload data'!$B:$B,{"licence","community"}))/SUM(SUMIFS('caseload data'!I:I,'caseload data'!$B:$B,{"licence","community"},'caseload data'!$C:$C,'community %'!$B$43)),"")</f>
        <v/>
      </c>
      <c r="H47" s="175" t="str">
        <f>IFERROR(SUM(SUMIFS('caseload data'!J:J,'caseload data'!$C:$C,'community %'!$B$43,'caseload data'!$D:$D,"TPO",'caseload data'!$B:$B,{"licence","community"}))/SUM(SUMIFS('caseload data'!J:J,'caseload data'!$B:$B,{"licence","community"},'caseload data'!$C:$C,'community %'!$B$43)),"")</f>
        <v/>
      </c>
      <c r="I47" s="175" t="str">
        <f>IFERROR(SUM(SUMIFS('caseload data'!K:K,'caseload data'!$C:$C,'community %'!$B$43,'caseload data'!$D:$D,"TPO",'caseload data'!$B:$B,{"licence","community"}))/SUM(SUMIFS('caseload data'!K:K,'caseload data'!$B:$B,{"licence","community"},'caseload data'!$C:$C,'community %'!$B$43)),"")</f>
        <v/>
      </c>
      <c r="J47" s="175" t="str">
        <f>IFERROR(SUM(SUMIFS('caseload data'!L:L,'caseload data'!$C:$C,'community %'!$B$43,'caseload data'!$D:$D,"TPO",'caseload data'!$B:$B,{"licence","community"}))/SUM(SUMIFS('caseload data'!L:L,'caseload data'!$B:$B,{"licence","community"},'caseload data'!$C:$C,'community %'!$B$43)),"")</f>
        <v/>
      </c>
      <c r="K47" s="175" t="str">
        <f>IFERROR(SUM(SUMIFS('caseload data'!M:M,'caseload data'!$C:$C,'community %'!$B$43,'caseload data'!$D:$D,"TPO",'caseload data'!$B:$B,{"licence","community"}))/SUM(SUMIFS('caseload data'!M:M,'caseload data'!$B:$B,{"licence","community"},'caseload data'!$C:$C,'community %'!$B$43)),"")</f>
        <v/>
      </c>
      <c r="L47" s="175" t="str">
        <f>IFERROR(SUM(SUMIFS('caseload data'!N:N,'caseload data'!$C:$C,'community %'!$B$43,'caseload data'!$D:$D,"TPO",'caseload data'!$B:$B,{"licence","community"}))/SUM(SUMIFS('caseload data'!N:N,'caseload data'!$B:$B,{"licence","community"},'caseload data'!$C:$C,'community %'!$B$43)),"")</f>
        <v/>
      </c>
      <c r="M47" s="175" t="str">
        <f>IFERROR(SUM(SUMIFS('caseload data'!O:O,'caseload data'!$C:$C,'community %'!$B$43,'caseload data'!$D:$D,"TPO",'caseload data'!$B:$B,{"licence","community"}))/SUM(SUMIFS('caseload data'!O:O,'caseload data'!$B:$B,{"licence","community"},'caseload data'!$C:$C,'community %'!$B$43)),"")</f>
        <v/>
      </c>
      <c r="N47" s="175" t="str">
        <f>IFERROR(SUM(SUMIFS('caseload data'!P:P,'caseload data'!$C:$C,'community %'!$B$43,'caseload data'!$D:$D,"TPO",'caseload data'!$B:$B,{"licence","community"}))/SUM(SUMIFS('caseload data'!P:P,'caseload data'!$B:$B,{"licence","community"},'caseload data'!$C:$C,'community %'!$B$43)),"")</f>
        <v/>
      </c>
      <c r="O47" s="175" t="str">
        <f>IFERROR(SUM(SUMIFS('caseload data'!Q:Q,'caseload data'!$C:$C,'community %'!$B$43,'caseload data'!$D:$D,"TPO",'caseload data'!$B:$B,{"licence","community"}))/SUM(SUMIFS('caseload data'!Q:Q,'caseload data'!$B:$B,{"licence","community"},'caseload data'!$C:$C,'community %'!$B$43)),"")</f>
        <v/>
      </c>
      <c r="P47" s="175" t="str">
        <f>IFERROR(SUM(SUMIFS('caseload data'!R:R,'caseload data'!$C:$C,'community %'!$B$43,'caseload data'!$D:$D,"TPO",'caseload data'!$B:$B,{"licence","community"}))/SUM(SUMIFS('caseload data'!R:R,'caseload data'!$B:$B,{"licence","community"},'caseload data'!$C:$C,'community %'!$B$43)),"")</f>
        <v/>
      </c>
      <c r="Q47" s="175" t="str">
        <f>IFERROR(SUM(SUMIFS('caseload data'!S:S,'caseload data'!$C:$C,'community %'!$B$43,'caseload data'!$D:$D,"TPO",'caseload data'!$B:$B,{"licence","community"}))/SUM(SUMIFS('caseload data'!S:S,'caseload data'!$B:$B,{"licence","community"},'caseload data'!$C:$C,'community %'!$B$43)),"")</f>
        <v/>
      </c>
      <c r="R47" s="175" t="str">
        <f>IFERROR(SUM(SUMIFS('caseload data'!T:T,'caseload data'!$C:$C,'community %'!$B$43,'caseload data'!$D:$D,"TPO",'caseload data'!$B:$B,{"licence","community"}))/SUM(SUMIFS('caseload data'!T:T,'caseload data'!$B:$B,{"licence","community"},'caseload data'!$C:$C,'community %'!$B$43)),"")</f>
        <v/>
      </c>
      <c r="S47" s="68"/>
      <c r="T47" s="101" t="s">
        <v>1173</v>
      </c>
      <c r="U47" s="175" t="str">
        <f>IFERROR(SUM(SUMIFS('caseload data'!E:E,'caseload data'!$C:$C,'community %'!$T$43,'caseload data'!$D:$D,"TPO",'caseload data'!$B:$B,{"licence","community"}))/SUM(SUMIFS('caseload data'!E:E,'caseload data'!$B:$B,{"licence","community"},'caseload data'!$C:$C,'community %'!$T$43)),"")</f>
        <v/>
      </c>
      <c r="V47" s="175" t="str">
        <f>IFERROR(SUM(SUMIFS('caseload data'!F:F,'caseload data'!$C:$C,'community %'!$T$43,'caseload data'!$D:$D,"TPO",'caseload data'!$B:$B,{"licence","community"}))/SUM(SUMIFS('caseload data'!F:F,'caseload data'!$B:$B,{"licence","community"},'caseload data'!$C:$C,'community %'!$T$43)),"")</f>
        <v/>
      </c>
      <c r="W47" s="175" t="str">
        <f>IFERROR(SUM(SUMIFS('caseload data'!G:G,'caseload data'!$C:$C,'community %'!$T$43,'caseload data'!$D:$D,"TPO",'caseload data'!$B:$B,{"licence","community"}))/SUM(SUMIFS('caseload data'!G:G,'caseload data'!$B:$B,{"licence","community"},'caseload data'!$C:$C,'community %'!$T$43)),"")</f>
        <v/>
      </c>
      <c r="X47" s="175" t="str">
        <f>IFERROR(SUM(SUMIFS('caseload data'!H:H,'caseload data'!$C:$C,'community %'!$T$43,'caseload data'!$D:$D,"TPO",'caseload data'!$B:$B,{"licence","community"}))/SUM(SUMIFS('caseload data'!H:H,'caseload data'!$B:$B,{"licence","community"},'caseload data'!$C:$C,'community %'!$T$43)),"")</f>
        <v/>
      </c>
      <c r="Y47" s="175" t="str">
        <f>IFERROR(SUM(SUMIFS('caseload data'!I:I,'caseload data'!$C:$C,'community %'!$T$43,'caseload data'!$D:$D,"TPO",'caseload data'!$B:$B,{"licence","community"}))/SUM(SUMIFS('caseload data'!I:I,'caseload data'!$B:$B,{"licence","community"},'caseload data'!$C:$C,'community %'!$T$43)),"")</f>
        <v/>
      </c>
      <c r="Z47" s="175" t="str">
        <f>IFERROR(SUM(SUMIFS('caseload data'!J:J,'caseload data'!$C:$C,'community %'!$T$43,'caseload data'!$D:$D,"TPO",'caseload data'!$B:$B,{"licence","community"}))/SUM(SUMIFS('caseload data'!J:J,'caseload data'!$B:$B,{"licence","community"},'caseload data'!$C:$C,'community %'!$T$43)),"")</f>
        <v/>
      </c>
      <c r="AA47" s="175" t="str">
        <f>IFERROR(SUM(SUMIFS('caseload data'!K:K,'caseload data'!$C:$C,'community %'!$T$43,'caseload data'!$D:$D,"TPO",'caseload data'!$B:$B,{"licence","community"}))/SUM(SUMIFS('caseload data'!K:K,'caseload data'!$B:$B,{"licence","community"},'caseload data'!$C:$C,'community %'!$T$43)),"")</f>
        <v/>
      </c>
      <c r="AB47" s="175" t="str">
        <f>IFERROR(SUM(SUMIFS('caseload data'!L:L,'caseload data'!$C:$C,'community %'!$T$43,'caseload data'!$D:$D,"TPO",'caseload data'!$B:$B,{"licence","community"}))/SUM(SUMIFS('caseload data'!L:L,'caseload data'!$B:$B,{"licence","community"},'caseload data'!$C:$C,'community %'!$T$43)),"")</f>
        <v/>
      </c>
      <c r="AC47" s="175" t="str">
        <f>IFERROR(SUM(SUMIFS('caseload data'!M:M,'caseload data'!$C:$C,'community %'!$T$43,'caseload data'!$D:$D,"TPO",'caseload data'!$B:$B,{"licence","community"}))/SUM(SUMIFS('caseload data'!M:M,'caseload data'!$B:$B,{"licence","community"},'caseload data'!$C:$C,'community %'!$T$43)),"")</f>
        <v/>
      </c>
      <c r="AD47" s="175" t="str">
        <f>IFERROR(SUM(SUMIFS('caseload data'!N:N,'caseload data'!$C:$C,'community %'!$T$43,'caseload data'!$D:$D,"TPO",'caseload data'!$B:$B,{"licence","community"}))/SUM(SUMIFS('caseload data'!N:N,'caseload data'!$B:$B,{"licence","community"},'caseload data'!$C:$C,'community %'!$T$43)),"")</f>
        <v/>
      </c>
      <c r="AE47" s="175" t="str">
        <f>IFERROR(SUM(SUMIFS('caseload data'!O:O,'caseload data'!$C:$C,'community %'!$T$43,'caseload data'!$D:$D,"TPO",'caseload data'!$B:$B,{"licence","community"}))/SUM(SUMIFS('caseload data'!O:O,'caseload data'!$B:$B,{"licence","community"},'caseload data'!$C:$C,'community %'!$T$43)),"")</f>
        <v/>
      </c>
      <c r="AF47" s="175" t="str">
        <f>IFERROR(SUM(SUMIFS('caseload data'!P:P,'caseload data'!$C:$C,'community %'!$T$43,'caseload data'!$D:$D,"TPO",'caseload data'!$B:$B,{"licence","community"}))/SUM(SUMIFS('caseload data'!P:P,'caseload data'!$B:$B,{"licence","community"},'caseload data'!$C:$C,'community %'!$T$43)),"")</f>
        <v/>
      </c>
      <c r="AG47" s="175" t="str">
        <f>IFERROR(SUM(SUMIFS('caseload data'!Q:Q,'caseload data'!$C:$C,'community %'!$T$43,'caseload data'!$D:$D,"TPO",'caseload data'!$B:$B,{"licence","community"}))/SUM(SUMIFS('caseload data'!Q:Q,'caseload data'!$B:$B,{"licence","community"},'caseload data'!$C:$C,'community %'!$T$43)),"")</f>
        <v/>
      </c>
      <c r="AH47" s="175" t="str">
        <f>IFERROR(SUM(SUMIFS('caseload data'!R:R,'caseload data'!$C:$C,'community %'!$T$43,'caseload data'!$D:$D,"TPO",'caseload data'!$B:$B,{"licence","community"}))/SUM(SUMIFS('caseload data'!R:R,'caseload data'!$B:$B,{"licence","community"},'caseload data'!$C:$C,'community %'!$T$43)),"")</f>
        <v/>
      </c>
      <c r="AI47" s="175" t="str">
        <f>IFERROR(SUM(SUMIFS('caseload data'!S:S,'caseload data'!$C:$C,'community %'!$T$43,'caseload data'!$D:$D,"TPO",'caseload data'!$B:$B,{"licence","community"}))/SUM(SUMIFS('caseload data'!S:S,'caseload data'!$B:$B,{"licence","community"},'caseload data'!$C:$C,'community %'!$T$43)),"")</f>
        <v/>
      </c>
      <c r="AJ47" s="175" t="str">
        <f>IFERROR(SUM(SUMIFS('caseload data'!T:T,'caseload data'!$C:$C,'community %'!$T$43,'caseload data'!$D:$D,"TPO",'caseload data'!$B:$B,{"licence","community"}))/SUM(SUMIFS('caseload data'!T:T,'caseload data'!$B:$B,{"licence","community"},'caseload data'!$C:$C,'community %'!$T$43)),"")</f>
        <v/>
      </c>
    </row>
    <row r="48" spans="2:36" x14ac:dyDescent="0.15">
      <c r="B48" s="102" t="s">
        <v>1174</v>
      </c>
      <c r="C48" s="175" t="str">
        <f>IFERROR(SUM(SUMIFS('caseload data'!E:E,'caseload data'!$C:$C,'community %'!$B$43,'caseload data'!$D:$D,"SPO",'caseload data'!$B:$B,{"licence","community"}))/SUM(SUMIFS('caseload data'!E:E,'caseload data'!$B:$B,{"licence","community"},'caseload data'!$C:$C,'community %'!$B$43)),"")</f>
        <v/>
      </c>
      <c r="D48" s="175" t="str">
        <f>IFERROR(SUM(SUMIFS('caseload data'!F:F,'caseload data'!$C:$C,'community %'!$B$43,'caseload data'!$D:$D,"SPO",'caseload data'!$B:$B,{"licence","community"}))/SUM(SUMIFS('caseload data'!F:F,'caseload data'!$B:$B,{"licence","community"},'caseload data'!$C:$C,'community %'!$B$43)),"")</f>
        <v/>
      </c>
      <c r="E48" s="175" t="str">
        <f>IFERROR(SUM(SUMIFS('caseload data'!G:G,'caseload data'!$C:$C,'community %'!$B$43,'caseload data'!$D:$D,"SPO",'caseload data'!$B:$B,{"licence","community"}))/SUM(SUMIFS('caseload data'!G:G,'caseload data'!$B:$B,{"licence","community"},'caseload data'!$C:$C,'community %'!$B$43)),"")</f>
        <v/>
      </c>
      <c r="F48" s="175" t="str">
        <f>IFERROR(SUM(SUMIFS('caseload data'!H:H,'caseload data'!$C:$C,'community %'!$B$43,'caseload data'!$D:$D,"SPO",'caseload data'!$B:$B,{"licence","community"}))/SUM(SUMIFS('caseload data'!H:H,'caseload data'!$B:$B,{"licence","community"},'caseload data'!$C:$C,'community %'!$B$43)),"")</f>
        <v/>
      </c>
      <c r="G48" s="175" t="str">
        <f>IFERROR(SUM(SUMIFS('caseload data'!I:I,'caseload data'!$C:$C,'community %'!$B$43,'caseload data'!$D:$D,"SPO",'caseload data'!$B:$B,{"licence","community"}))/SUM(SUMIFS('caseload data'!I:I,'caseload data'!$B:$B,{"licence","community"},'caseload data'!$C:$C,'community %'!$B$43)),"")</f>
        <v/>
      </c>
      <c r="H48" s="175" t="str">
        <f>IFERROR(SUM(SUMIFS('caseload data'!J:J,'caseload data'!$C:$C,'community %'!$B$43,'caseload data'!$D:$D,"SPO",'caseload data'!$B:$B,{"licence","community"}))/SUM(SUMIFS('caseload data'!J:J,'caseload data'!$B:$B,{"licence","community"},'caseload data'!$C:$C,'community %'!$B$43)),"")</f>
        <v/>
      </c>
      <c r="I48" s="175" t="str">
        <f>IFERROR(SUM(SUMIFS('caseload data'!K:K,'caseload data'!$C:$C,'community %'!$B$43,'caseload data'!$D:$D,"SPO",'caseload data'!$B:$B,{"licence","community"}))/SUM(SUMIFS('caseload data'!K:K,'caseload data'!$B:$B,{"licence","community"},'caseload data'!$C:$C,'community %'!$B$43)),"")</f>
        <v/>
      </c>
      <c r="J48" s="175" t="str">
        <f>IFERROR(SUM(SUMIFS('caseload data'!L:L,'caseload data'!$C:$C,'community %'!$B$43,'caseload data'!$D:$D,"SPO",'caseload data'!$B:$B,{"licence","community"}))/SUM(SUMIFS('caseload data'!L:L,'caseload data'!$B:$B,{"licence","community"},'caseload data'!$C:$C,'community %'!$B$43)),"")</f>
        <v/>
      </c>
      <c r="K48" s="175" t="str">
        <f>IFERROR(SUM(SUMIFS('caseload data'!M:M,'caseload data'!$C:$C,'community %'!$B$43,'caseload data'!$D:$D,"SPO",'caseload data'!$B:$B,{"licence","community"}))/SUM(SUMIFS('caseload data'!M:M,'caseload data'!$B:$B,{"licence","community"},'caseload data'!$C:$C,'community %'!$B$43)),"")</f>
        <v/>
      </c>
      <c r="L48" s="175" t="str">
        <f>IFERROR(SUM(SUMIFS('caseload data'!N:N,'caseload data'!$C:$C,'community %'!$B$43,'caseload data'!$D:$D,"SPO",'caseload data'!$B:$B,{"licence","community"}))/SUM(SUMIFS('caseload data'!N:N,'caseload data'!$B:$B,{"licence","community"},'caseload data'!$C:$C,'community %'!$B$43)),"")</f>
        <v/>
      </c>
      <c r="M48" s="175" t="str">
        <f>IFERROR(SUM(SUMIFS('caseload data'!O:O,'caseload data'!$C:$C,'community %'!$B$43,'caseload data'!$D:$D,"SPO",'caseload data'!$B:$B,{"licence","community"}))/SUM(SUMIFS('caseload data'!O:O,'caseload data'!$B:$B,{"licence","community"},'caseload data'!$C:$C,'community %'!$B$43)),"")</f>
        <v/>
      </c>
      <c r="N48" s="175" t="str">
        <f>IFERROR(SUM(SUMIFS('caseload data'!P:P,'caseload data'!$C:$C,'community %'!$B$43,'caseload data'!$D:$D,"SPO",'caseload data'!$B:$B,{"licence","community"}))/SUM(SUMIFS('caseload data'!P:P,'caseload data'!$B:$B,{"licence","community"},'caseload data'!$C:$C,'community %'!$B$43)),"")</f>
        <v/>
      </c>
      <c r="O48" s="175" t="str">
        <f>IFERROR(SUM(SUMIFS('caseload data'!Q:Q,'caseload data'!$C:$C,'community %'!$B$43,'caseload data'!$D:$D,"SPO",'caseload data'!$B:$B,{"licence","community"}))/SUM(SUMIFS('caseload data'!Q:Q,'caseload data'!$B:$B,{"licence","community"},'caseload data'!$C:$C,'community %'!$B$43)),"")</f>
        <v/>
      </c>
      <c r="P48" s="175" t="str">
        <f>IFERROR(SUM(SUMIFS('caseload data'!R:R,'caseload data'!$C:$C,'community %'!$B$43,'caseload data'!$D:$D,"SPO",'caseload data'!$B:$B,{"licence","community"}))/SUM(SUMIFS('caseload data'!R:R,'caseload data'!$B:$B,{"licence","community"},'caseload data'!$C:$C,'community %'!$B$43)),"")</f>
        <v/>
      </c>
      <c r="Q48" s="175" t="str">
        <f>IFERROR(SUM(SUMIFS('caseload data'!S:S,'caseload data'!$C:$C,'community %'!$B$43,'caseload data'!$D:$D,"SPO",'caseload data'!$B:$B,{"licence","community"}))/SUM(SUMIFS('caseload data'!S:S,'caseload data'!$B:$B,{"licence","community"},'caseload data'!$C:$C,'community %'!$B$43)),"")</f>
        <v/>
      </c>
      <c r="R48" s="175" t="str">
        <f>IFERROR(SUM(SUMIFS('caseload data'!T:T,'caseload data'!$C:$C,'community %'!$B$43,'caseload data'!$D:$D,"SPO",'caseload data'!$B:$B,{"licence","community"}))/SUM(SUMIFS('caseload data'!T:T,'caseload data'!$B:$B,{"licence","community"},'caseload data'!$C:$C,'community %'!$B$43)),"")</f>
        <v/>
      </c>
      <c r="S48" s="68"/>
      <c r="T48" s="102" t="s">
        <v>1174</v>
      </c>
      <c r="U48" s="175" t="str">
        <f>IFERROR(SUM(SUMIFS('caseload data'!E:E,'caseload data'!$C:$C,'community %'!$T$43,'caseload data'!$D:$D,"SPO",'caseload data'!$B:$B,{"licence","community"}))/SUM(SUMIFS('caseload data'!E:E,'caseload data'!$B:$B,{"licence","community"},'caseload data'!$C:$C,'community %'!$T$43)),"")</f>
        <v/>
      </c>
      <c r="V48" s="175" t="str">
        <f>IFERROR(SUM(SUMIFS('caseload data'!F:F,'caseload data'!$C:$C,'community %'!$T$43,'caseload data'!$D:$D,"SPO",'caseload data'!$B:$B,{"licence","community"}))/SUM(SUMIFS('caseload data'!F:F,'caseload data'!$B:$B,{"licence","community"},'caseload data'!$C:$C,'community %'!$T$43)),"")</f>
        <v/>
      </c>
      <c r="W48" s="175" t="str">
        <f>IFERROR(SUM(SUMIFS('caseload data'!G:G,'caseload data'!$C:$C,'community %'!$T$43,'caseload data'!$D:$D,"SPO",'caseload data'!$B:$B,{"licence","community"}))/SUM(SUMIFS('caseload data'!G:G,'caseload data'!$B:$B,{"licence","community"},'caseload data'!$C:$C,'community %'!$T$43)),"")</f>
        <v/>
      </c>
      <c r="X48" s="175" t="str">
        <f>IFERROR(SUM(SUMIFS('caseload data'!H:H,'caseload data'!$C:$C,'community %'!$T$43,'caseload data'!$D:$D,"SPO",'caseload data'!$B:$B,{"licence","community"}))/SUM(SUMIFS('caseload data'!H:H,'caseload data'!$B:$B,{"licence","community"},'caseload data'!$C:$C,'community %'!$T$43)),"")</f>
        <v/>
      </c>
      <c r="Y48" s="175" t="str">
        <f>IFERROR(SUM(SUMIFS('caseload data'!I:I,'caseload data'!$C:$C,'community %'!$T$43,'caseload data'!$D:$D,"SPO",'caseload data'!$B:$B,{"licence","community"}))/SUM(SUMIFS('caseload data'!I:I,'caseload data'!$B:$B,{"licence","community"},'caseload data'!$C:$C,'community %'!$T$43)),"")</f>
        <v/>
      </c>
      <c r="Z48" s="175" t="str">
        <f>IFERROR(SUM(SUMIFS('caseload data'!J:J,'caseload data'!$C:$C,'community %'!$T$43,'caseload data'!$D:$D,"SPO",'caseload data'!$B:$B,{"licence","community"}))/SUM(SUMIFS('caseload data'!J:J,'caseload data'!$B:$B,{"licence","community"},'caseload data'!$C:$C,'community %'!$T$43)),"")</f>
        <v/>
      </c>
      <c r="AA48" s="175" t="str">
        <f>IFERROR(SUM(SUMIFS('caseload data'!K:K,'caseload data'!$C:$C,'community %'!$T$43,'caseload data'!$D:$D,"SPO",'caseload data'!$B:$B,{"licence","community"}))/SUM(SUMIFS('caseload data'!K:K,'caseload data'!$B:$B,{"licence","community"},'caseload data'!$C:$C,'community %'!$T$43)),"")</f>
        <v/>
      </c>
      <c r="AB48" s="175" t="str">
        <f>IFERROR(SUM(SUMIFS('caseload data'!L:L,'caseload data'!$C:$C,'community %'!$T$43,'caseload data'!$D:$D,"SPO",'caseload data'!$B:$B,{"licence","community"}))/SUM(SUMIFS('caseload data'!L:L,'caseload data'!$B:$B,{"licence","community"},'caseload data'!$C:$C,'community %'!$T$43)),"")</f>
        <v/>
      </c>
      <c r="AC48" s="175" t="str">
        <f>IFERROR(SUM(SUMIFS('caseload data'!M:M,'caseload data'!$C:$C,'community %'!$T$43,'caseload data'!$D:$D,"SPO",'caseload data'!$B:$B,{"licence","community"}))/SUM(SUMIFS('caseload data'!M:M,'caseload data'!$B:$B,{"licence","community"},'caseload data'!$C:$C,'community %'!$T$43)),"")</f>
        <v/>
      </c>
      <c r="AD48" s="175" t="str">
        <f>IFERROR(SUM(SUMIFS('caseload data'!N:N,'caseload data'!$C:$C,'community %'!$T$43,'caseload data'!$D:$D,"SPO",'caseload data'!$B:$B,{"licence","community"}))/SUM(SUMIFS('caseload data'!N:N,'caseload data'!$B:$B,{"licence","community"},'caseload data'!$C:$C,'community %'!$T$43)),"")</f>
        <v/>
      </c>
      <c r="AE48" s="175" t="str">
        <f>IFERROR(SUM(SUMIFS('caseload data'!O:O,'caseload data'!$C:$C,'community %'!$T$43,'caseload data'!$D:$D,"SPO",'caseload data'!$B:$B,{"licence","community"}))/SUM(SUMIFS('caseload data'!O:O,'caseload data'!$B:$B,{"licence","community"},'caseload data'!$C:$C,'community %'!$T$43)),"")</f>
        <v/>
      </c>
      <c r="AF48" s="175" t="str">
        <f>IFERROR(SUM(SUMIFS('caseload data'!P:P,'caseload data'!$C:$C,'community %'!$T$43,'caseload data'!$D:$D,"SPO",'caseload data'!$B:$B,{"licence","community"}))/SUM(SUMIFS('caseload data'!P:P,'caseload data'!$B:$B,{"licence","community"},'caseload data'!$C:$C,'community %'!$T$43)),"")</f>
        <v/>
      </c>
      <c r="AG48" s="175" t="str">
        <f>IFERROR(SUM(SUMIFS('caseload data'!Q:Q,'caseload data'!$C:$C,'community %'!$T$43,'caseload data'!$D:$D,"SPO",'caseload data'!$B:$B,{"licence","community"}))/SUM(SUMIFS('caseload data'!Q:Q,'caseload data'!$B:$B,{"licence","community"},'caseload data'!$C:$C,'community %'!$T$43)),"")</f>
        <v/>
      </c>
      <c r="AH48" s="175" t="str">
        <f>IFERROR(SUM(SUMIFS('caseload data'!R:R,'caseload data'!$C:$C,'community %'!$T$43,'caseload data'!$D:$D,"SPO",'caseload data'!$B:$B,{"licence","community"}))/SUM(SUMIFS('caseload data'!R:R,'caseload data'!$B:$B,{"licence","community"},'caseload data'!$C:$C,'community %'!$T$43)),"")</f>
        <v/>
      </c>
      <c r="AI48" s="175" t="str">
        <f>IFERROR(SUM(SUMIFS('caseload data'!S:S,'caseload data'!$C:$C,'community %'!$T$43,'caseload data'!$D:$D,"SPO",'caseload data'!$B:$B,{"licence","community"}))/SUM(SUMIFS('caseload data'!S:S,'caseload data'!$B:$B,{"licence","community"},'caseload data'!$C:$C,'community %'!$T$43)),"")</f>
        <v/>
      </c>
      <c r="AJ48" s="175" t="str">
        <f>IFERROR(SUM(SUMIFS('caseload data'!T:T,'caseload data'!$C:$C,'community %'!$T$43,'caseload data'!$D:$D,"SPO",'caseload data'!$B:$B,{"licence","community"}))/SUM(SUMIFS('caseload data'!T:T,'caseload data'!$B:$B,{"licence","community"},'caseload data'!$C:$C,'community %'!$T$43)),"")</f>
        <v/>
      </c>
    </row>
    <row r="49" spans="2:36" x14ac:dyDescent="0.15">
      <c r="B49" s="95"/>
      <c r="C49" s="68"/>
      <c r="D49" s="68"/>
      <c r="E49" s="68"/>
      <c r="F49" s="68"/>
      <c r="G49" s="68"/>
      <c r="H49" s="68"/>
      <c r="I49" s="68"/>
      <c r="J49" s="68"/>
      <c r="K49" s="68"/>
      <c r="L49" s="68"/>
      <c r="M49" s="68"/>
      <c r="N49" s="68"/>
      <c r="O49" s="68"/>
      <c r="P49" s="68"/>
      <c r="Q49" s="68"/>
      <c r="R49" s="68"/>
      <c r="S49" s="68"/>
      <c r="T49" s="95"/>
      <c r="U49" s="68"/>
      <c r="V49" s="68"/>
      <c r="W49" s="68"/>
      <c r="X49" s="68"/>
      <c r="Y49" s="68"/>
      <c r="Z49" s="68"/>
      <c r="AA49" s="68"/>
      <c r="AB49" s="68"/>
      <c r="AC49" s="68"/>
      <c r="AD49" s="68"/>
      <c r="AE49" s="68"/>
      <c r="AF49" s="68"/>
      <c r="AG49" s="68"/>
      <c r="AH49" s="68"/>
      <c r="AI49" s="68"/>
      <c r="AJ49" s="68"/>
    </row>
    <row r="50" spans="2:36" ht="24.75" customHeight="1" x14ac:dyDescent="0.15">
      <c r="B50" s="302" t="str">
        <f>HLOOKUP($B$5,Region_Table,14,0)</f>
        <v>Inactive Level 2(N07)</v>
      </c>
      <c r="C50" s="459" t="s">
        <v>1313</v>
      </c>
      <c r="D50" s="460"/>
      <c r="E50" s="460"/>
      <c r="F50" s="460"/>
      <c r="G50" s="460"/>
      <c r="H50" s="460"/>
      <c r="I50" s="460"/>
      <c r="J50" s="460"/>
      <c r="K50" s="460"/>
      <c r="L50" s="460"/>
      <c r="M50" s="489"/>
      <c r="N50" s="489"/>
      <c r="O50" s="490"/>
      <c r="P50" s="462" cm="1">
        <f t="array" ref="P50">SUM(SUMIFS('caseload data'!V:V,'caseload data'!B:B,{"licence","community"},'caseload data'!$C:$C,B50))</f>
        <v>0</v>
      </c>
      <c r="Q50" s="479"/>
      <c r="R50" s="480"/>
      <c r="S50" s="68"/>
      <c r="T50" s="302" t="str">
        <f>HLOOKUP($B$5,Region_Table,15,0)</f>
        <v>Kingston, Richmond and Hounslow</v>
      </c>
      <c r="U50" s="459" t="s">
        <v>1313</v>
      </c>
      <c r="V50" s="460"/>
      <c r="W50" s="460"/>
      <c r="X50" s="460"/>
      <c r="Y50" s="460"/>
      <c r="Z50" s="460"/>
      <c r="AA50" s="460"/>
      <c r="AB50" s="460"/>
      <c r="AC50" s="460"/>
      <c r="AD50" s="460"/>
      <c r="AE50" s="489"/>
      <c r="AF50" s="489"/>
      <c r="AG50" s="490"/>
      <c r="AH50" s="462" cm="1">
        <f t="array" ref="AH50">SUM(SUMIFS('caseload data'!V:V,'caseload data'!B:B,{"licence","community"},'caseload data'!$C:$C,T50))</f>
        <v>0</v>
      </c>
      <c r="AI50" s="479"/>
      <c r="AJ50" s="480"/>
    </row>
    <row r="51" spans="2:36" x14ac:dyDescent="0.15">
      <c r="B51" s="99" t="s">
        <v>1170</v>
      </c>
      <c r="C51" s="40" t="s">
        <v>1022</v>
      </c>
      <c r="D51" s="40" t="s">
        <v>1023</v>
      </c>
      <c r="E51" s="40" t="s">
        <v>1024</v>
      </c>
      <c r="F51" s="40" t="s">
        <v>1025</v>
      </c>
      <c r="G51" s="40" t="s">
        <v>1026</v>
      </c>
      <c r="H51" s="40" t="s">
        <v>1027</v>
      </c>
      <c r="I51" s="40" t="s">
        <v>1028</v>
      </c>
      <c r="J51" s="40" t="s">
        <v>1029</v>
      </c>
      <c r="K51" s="40" t="s">
        <v>1030</v>
      </c>
      <c r="L51" s="40" t="s">
        <v>1031</v>
      </c>
      <c r="M51" s="40" t="s">
        <v>1032</v>
      </c>
      <c r="N51" s="40" t="s">
        <v>1033</v>
      </c>
      <c r="O51" s="40" t="s">
        <v>1034</v>
      </c>
      <c r="P51" s="40" t="s">
        <v>1035</v>
      </c>
      <c r="Q51" s="40" t="s">
        <v>1036</v>
      </c>
      <c r="R51" s="40" t="s">
        <v>1037</v>
      </c>
      <c r="S51" s="68"/>
      <c r="T51" s="99" t="s">
        <v>1170</v>
      </c>
      <c r="U51" s="40" t="s">
        <v>1022</v>
      </c>
      <c r="V51" s="40" t="s">
        <v>1023</v>
      </c>
      <c r="W51" s="40" t="s">
        <v>1024</v>
      </c>
      <c r="X51" s="40" t="s">
        <v>1025</v>
      </c>
      <c r="Y51" s="40" t="s">
        <v>1026</v>
      </c>
      <c r="Z51" s="40" t="s">
        <v>1027</v>
      </c>
      <c r="AA51" s="40" t="s">
        <v>1028</v>
      </c>
      <c r="AB51" s="40" t="s">
        <v>1029</v>
      </c>
      <c r="AC51" s="40" t="s">
        <v>1030</v>
      </c>
      <c r="AD51" s="40" t="s">
        <v>1031</v>
      </c>
      <c r="AE51" s="40" t="s">
        <v>1032</v>
      </c>
      <c r="AF51" s="40" t="s">
        <v>1033</v>
      </c>
      <c r="AG51" s="40" t="s">
        <v>1034</v>
      </c>
      <c r="AH51" s="40" t="s">
        <v>1035</v>
      </c>
      <c r="AI51" s="40" t="s">
        <v>1036</v>
      </c>
      <c r="AJ51" s="40" t="s">
        <v>1037</v>
      </c>
    </row>
    <row r="52" spans="2:36" x14ac:dyDescent="0.15">
      <c r="B52" s="100" t="s">
        <v>1166</v>
      </c>
      <c r="C52" s="175" t="str">
        <f>IFERROR(SUM(SUMIFS('caseload data'!E:E,'caseload data'!$C:$C,'community %'!$B$50,'caseload data'!$D:$D,"PO",'caseload data'!$B:$B,{"licence","community"}))/SUM(SUMIFS('caseload data'!E:E,'caseload data'!$B:$B,{"licence","community"},'caseload data'!$C:$C,'community %'!$B$50)),"")</f>
        <v/>
      </c>
      <c r="D52" s="175" t="str">
        <f>IFERROR(SUM(SUMIFS('caseload data'!F:F,'caseload data'!$C:$C,'community %'!$B$50,'caseload data'!$D:$D,"PO",'caseload data'!$B:$B,{"licence","community"}))/SUM(SUMIFS('caseload data'!F:F,'caseload data'!$B:$B,{"licence","community"},'caseload data'!$C:$C,'community %'!$B$50)),"")</f>
        <v/>
      </c>
      <c r="E52" s="175" t="str">
        <f>IFERROR(SUM(SUMIFS('caseload data'!G:G,'caseload data'!$C:$C,'community %'!$B$50,'caseload data'!$D:$D,"PO",'caseload data'!$B:$B,{"licence","community"}))/SUM(SUMIFS('caseload data'!G:G,'caseload data'!$B:$B,{"licence","community"},'caseload data'!$C:$C,'community %'!$B$50)),"")</f>
        <v/>
      </c>
      <c r="F52" s="175" t="str">
        <f>IFERROR(SUM(SUMIFS('caseload data'!H:H,'caseload data'!$C:$C,'community %'!$B$50,'caseload data'!$D:$D,"PO",'caseload data'!$B:$B,{"licence","community"}))/SUM(SUMIFS('caseload data'!H:H,'caseload data'!$B:$B,{"licence","community"},'caseload data'!$C:$C,'community %'!$B$50)),"")</f>
        <v/>
      </c>
      <c r="G52" s="175" t="str">
        <f>IFERROR(SUM(SUMIFS('caseload data'!I:I,'caseload data'!$C:$C,'community %'!$B$50,'caseload data'!$D:$D,"PO",'caseload data'!$B:$B,{"licence","community"}))/SUM(SUMIFS('caseload data'!I:I,'caseload data'!$B:$B,{"licence","community"},'caseload data'!$C:$C,'community %'!$B$50)),"")</f>
        <v/>
      </c>
      <c r="H52" s="175" t="str">
        <f>IFERROR(SUM(SUMIFS('caseload data'!J:J,'caseload data'!$C:$C,'community %'!$B$50,'caseload data'!$D:$D,"PO",'caseload data'!$B:$B,{"licence","community"}))/SUM(SUMIFS('caseload data'!J:J,'caseload data'!$B:$B,{"licence","community"},'caseload data'!$C:$C,'community %'!$B$50)),"")</f>
        <v/>
      </c>
      <c r="I52" s="175" t="str">
        <f>IFERROR(SUM(SUMIFS('caseload data'!K:K,'caseload data'!$C:$C,'community %'!$B$50,'caseload data'!$D:$D,"PO",'caseload data'!$B:$B,{"licence","community"}))/SUM(SUMIFS('caseload data'!K:K,'caseload data'!$B:$B,{"licence","community"},'caseload data'!$C:$C,'community %'!$B$50)),"")</f>
        <v/>
      </c>
      <c r="J52" s="175" t="str">
        <f>IFERROR(SUM(SUMIFS('caseload data'!L:L,'caseload data'!$C:$C,'community %'!$B$50,'caseload data'!$D:$D,"PO",'caseload data'!$B:$B,{"licence","community"}))/SUM(SUMIFS('caseload data'!L:L,'caseload data'!$B:$B,{"licence","community"},'caseload data'!$C:$C,'community %'!$B$50)),"")</f>
        <v/>
      </c>
      <c r="K52" s="175" t="str">
        <f>IFERROR(SUM(SUMIFS('caseload data'!M:M,'caseload data'!$C:$C,'community %'!$B$50,'caseload data'!$D:$D,"PO",'caseload data'!$B:$B,{"licence","community"}))/SUM(SUMIFS('caseload data'!M:M,'caseload data'!$B:$B,{"licence","community"},'caseload data'!$C:$C,'community %'!$B$50)),"")</f>
        <v/>
      </c>
      <c r="L52" s="175" t="str">
        <f>IFERROR(SUM(SUMIFS('caseload data'!N:N,'caseload data'!$C:$C,'community %'!$B$50,'caseload data'!$D:$D,"PO",'caseload data'!$B:$B,{"licence","community"}))/SUM(SUMIFS('caseload data'!N:N,'caseload data'!$B:$B,{"licence","community"},'caseload data'!$C:$C,'community %'!$B$50)),"")</f>
        <v/>
      </c>
      <c r="M52" s="175" t="str">
        <f>IFERROR(SUM(SUMIFS('caseload data'!O:O,'caseload data'!$C:$C,'community %'!$B$50,'caseload data'!$D:$D,"PO",'caseload data'!$B:$B,{"licence","community"}))/SUM(SUMIFS('caseload data'!O:O,'caseload data'!$B:$B,{"licence","community"},'caseload data'!$C:$C,'community %'!$B$50)),"")</f>
        <v/>
      </c>
      <c r="N52" s="175" t="str">
        <f>IFERROR(SUM(SUMIFS('caseload data'!P:P,'caseload data'!$C:$C,'community %'!$B$50,'caseload data'!$D:$D,"PO",'caseload data'!$B:$B,{"licence","community"}))/SUM(SUMIFS('caseload data'!P:P,'caseload data'!$B:$B,{"licence","community"},'caseload data'!$C:$C,'community %'!$B$50)),"")</f>
        <v/>
      </c>
      <c r="O52" s="175" t="str">
        <f>IFERROR(SUM(SUMIFS('caseload data'!Q:Q,'caseload data'!$C:$C,'community %'!$B$50,'caseload data'!$D:$D,"PO",'caseload data'!$B:$B,{"licence","community"}))/SUM(SUMIFS('caseload data'!Q:Q,'caseload data'!$B:$B,{"licence","community"},'caseload data'!$C:$C,'community %'!$B$50)),"")</f>
        <v/>
      </c>
      <c r="P52" s="175" t="str">
        <f>IFERROR(SUM(SUMIFS('caseload data'!R:R,'caseload data'!$C:$C,'community %'!$B$50,'caseload data'!$D:$D,"PO",'caseload data'!$B:$B,{"licence","community"}))/SUM(SUMIFS('caseload data'!R:R,'caseload data'!$B:$B,{"licence","community"},'caseload data'!$C:$C,'community %'!$B$50)),"")</f>
        <v/>
      </c>
      <c r="Q52" s="175" t="str">
        <f>IFERROR(SUM(SUMIFS('caseload data'!S:S,'caseload data'!$C:$C,'community %'!$B$50,'caseload data'!$D:$D,"PO",'caseload data'!$B:$B,{"licence","community"}))/SUM(SUMIFS('caseload data'!S:S,'caseload data'!$B:$B,{"licence","community"},'caseload data'!$C:$C,'community %'!$B$50)),"")</f>
        <v/>
      </c>
      <c r="R52" s="175" t="str">
        <f>IFERROR(SUM(SUMIFS('caseload data'!T:T,'caseload data'!$C:$C,'community %'!$B$50,'caseload data'!$D:$D,"PO",'caseload data'!$B:$B,{"licence","community"}))/SUM(SUMIFS('caseload data'!T:T,'caseload data'!$B:$B,{"licence","community"},'caseload data'!$C:$C,'community %'!$B$50)),"")</f>
        <v/>
      </c>
      <c r="S52" s="68"/>
      <c r="T52" s="100" t="s">
        <v>1166</v>
      </c>
      <c r="U52" s="175" t="str">
        <f>IFERROR(SUM(SUMIFS('caseload data'!E:E,'caseload data'!$C:$C,'community %'!$T$50,'caseload data'!$D:$D,"PO",'caseload data'!$B:$B,{"licence","community"}))/SUM(SUMIFS('caseload data'!E:E,'caseload data'!$B:$B,{"licence","community"},'caseload data'!$C:$C,'community %'!$T$50)),"")</f>
        <v/>
      </c>
      <c r="V52" s="175" t="str">
        <f>IFERROR(SUM(SUMIFS('caseload data'!F:F,'caseload data'!$C:$C,'community %'!$T$50,'caseload data'!$D:$D,"PO",'caseload data'!$B:$B,{"licence","community"}))/SUM(SUMIFS('caseload data'!F:F,'caseload data'!$B:$B,{"licence","community"},'caseload data'!$C:$C,'community %'!$T$50)),"")</f>
        <v/>
      </c>
      <c r="W52" s="175" t="str">
        <f>IFERROR(SUM(SUMIFS('caseload data'!G:G,'caseload data'!$C:$C,'community %'!$T$50,'caseload data'!$D:$D,"PO",'caseload data'!$B:$B,{"licence","community"}))/SUM(SUMIFS('caseload data'!G:G,'caseload data'!$B:$B,{"licence","community"},'caseload data'!$C:$C,'community %'!$T$50)),"")</f>
        <v/>
      </c>
      <c r="X52" s="175" t="str">
        <f>IFERROR(SUM(SUMIFS('caseload data'!H:H,'caseload data'!$C:$C,'community %'!$T$50,'caseload data'!$D:$D,"PO",'caseload data'!$B:$B,{"licence","community"}))/SUM(SUMIFS('caseload data'!H:H,'caseload data'!$B:$B,{"licence","community"},'caseload data'!$C:$C,'community %'!$T$50)),"")</f>
        <v/>
      </c>
      <c r="Y52" s="175" t="str">
        <f>IFERROR(SUM(SUMIFS('caseload data'!I:I,'caseload data'!$C:$C,'community %'!$T$50,'caseload data'!$D:$D,"PO",'caseload data'!$B:$B,{"licence","community"}))/SUM(SUMIFS('caseload data'!I:I,'caseload data'!$B:$B,{"licence","community"},'caseload data'!$C:$C,'community %'!$T$50)),"")</f>
        <v/>
      </c>
      <c r="Z52" s="175" t="str">
        <f>IFERROR(SUM(SUMIFS('caseload data'!J:J,'caseload data'!$C:$C,'community %'!$T$50,'caseload data'!$D:$D,"PO",'caseload data'!$B:$B,{"licence","community"}))/SUM(SUMIFS('caseload data'!J:J,'caseload data'!$B:$B,{"licence","community"},'caseload data'!$C:$C,'community %'!$T$50)),"")</f>
        <v/>
      </c>
      <c r="AA52" s="175" t="str">
        <f>IFERROR(SUM(SUMIFS('caseload data'!K:K,'caseload data'!$C:$C,'community %'!$T$50,'caseload data'!$D:$D,"PO",'caseload data'!$B:$B,{"licence","community"}))/SUM(SUMIFS('caseload data'!K:K,'caseload data'!$B:$B,{"licence","community"},'caseload data'!$C:$C,'community %'!$T$50)),"")</f>
        <v/>
      </c>
      <c r="AB52" s="175" t="str">
        <f>IFERROR(SUM(SUMIFS('caseload data'!L:L,'caseload data'!$C:$C,'community %'!$T$50,'caseload data'!$D:$D,"PO",'caseload data'!$B:$B,{"licence","community"}))/SUM(SUMIFS('caseload data'!L:L,'caseload data'!$B:$B,{"licence","community"},'caseload data'!$C:$C,'community %'!$T$50)),"")</f>
        <v/>
      </c>
      <c r="AC52" s="175" t="str">
        <f>IFERROR(SUM(SUMIFS('caseload data'!M:M,'caseload data'!$C:$C,'community %'!$T$50,'caseload data'!$D:$D,"PO",'caseload data'!$B:$B,{"licence","community"}))/SUM(SUMIFS('caseload data'!M:M,'caseload data'!$B:$B,{"licence","community"},'caseload data'!$C:$C,'community %'!$T$50)),"")</f>
        <v/>
      </c>
      <c r="AD52" s="175" t="str">
        <f>IFERROR(SUM(SUMIFS('caseload data'!N:N,'caseload data'!$C:$C,'community %'!$T$50,'caseload data'!$D:$D,"PO",'caseload data'!$B:$B,{"licence","community"}))/SUM(SUMIFS('caseload data'!N:N,'caseload data'!$B:$B,{"licence","community"},'caseload data'!$C:$C,'community %'!$T$50)),"")</f>
        <v/>
      </c>
      <c r="AE52" s="175" t="str">
        <f>IFERROR(SUM(SUMIFS('caseload data'!O:O,'caseload data'!$C:$C,'community %'!$T$50,'caseload data'!$D:$D,"PO",'caseload data'!$B:$B,{"licence","community"}))/SUM(SUMIFS('caseload data'!O:O,'caseload data'!$B:$B,{"licence","community"},'caseload data'!$C:$C,'community %'!$T$50)),"")</f>
        <v/>
      </c>
      <c r="AF52" s="175" t="str">
        <f>IFERROR(SUM(SUMIFS('caseload data'!P:P,'caseload data'!$C:$C,'community %'!$T$50,'caseload data'!$D:$D,"PO",'caseload data'!$B:$B,{"licence","community"}))/SUM(SUMIFS('caseload data'!P:P,'caseload data'!$B:$B,{"licence","community"},'caseload data'!$C:$C,'community %'!$T$50)),"")</f>
        <v/>
      </c>
      <c r="AG52" s="175" t="str">
        <f>IFERROR(SUM(SUMIFS('caseload data'!Q:Q,'caseload data'!$C:$C,'community %'!$T$50,'caseload data'!$D:$D,"PO",'caseload data'!$B:$B,{"licence","community"}))/SUM(SUMIFS('caseload data'!Q:Q,'caseload data'!$B:$B,{"licence","community"},'caseload data'!$C:$C,'community %'!$T$50)),"")</f>
        <v/>
      </c>
      <c r="AH52" s="175" t="str">
        <f>IFERROR(SUM(SUMIFS('caseload data'!R:R,'caseload data'!$C:$C,'community %'!$T$50,'caseload data'!$D:$D,"PO",'caseload data'!$B:$B,{"licence","community"}))/SUM(SUMIFS('caseload data'!R:R,'caseload data'!$B:$B,{"licence","community"},'caseload data'!$C:$C,'community %'!$T$50)),"")</f>
        <v/>
      </c>
      <c r="AI52" s="175" t="str">
        <f>IFERROR(SUM(SUMIFS('caseload data'!S:S,'caseload data'!$C:$C,'community %'!$T$50,'caseload data'!$D:$D,"PO",'caseload data'!$B:$B,{"licence","community"}))/SUM(SUMIFS('caseload data'!S:S,'caseload data'!$B:$B,{"licence","community"},'caseload data'!$C:$C,'community %'!$T$50)),"")</f>
        <v/>
      </c>
      <c r="AJ52" s="175" t="str">
        <f>IFERROR(SUM(SUMIFS('caseload data'!T:T,'caseload data'!$C:$C,'community %'!$T$50,'caseload data'!$D:$D,"PO",'caseload data'!$B:$B,{"licence","community"}))/SUM(SUMIFS('caseload data'!T:T,'caseload data'!$B:$B,{"licence","community"},'caseload data'!$C:$C,'community %'!$T$50)),"")</f>
        <v/>
      </c>
    </row>
    <row r="53" spans="2:36" x14ac:dyDescent="0.15">
      <c r="B53" s="101" t="s">
        <v>1172</v>
      </c>
      <c r="C53" s="175" t="str">
        <f>IFERROR(SUM(SUMIFS('caseload data'!E:E,'caseload data'!$C:$C,'community %'!$B$50,'caseload data'!$D:$D,"PSO",'caseload data'!$B:$B,{"licence","community"}))/SUM(SUMIFS('caseload data'!E:E,'caseload data'!$B:$B,{"licence","community"},'caseload data'!$C:$C,'community %'!$B$50)),"")</f>
        <v/>
      </c>
      <c r="D53" s="175" t="str">
        <f>IFERROR(SUM(SUMIFS('caseload data'!F:F,'caseload data'!$C:$C,'community %'!$B$50,'caseload data'!$D:$D,"PSO",'caseload data'!$B:$B,{"licence","community"}))/SUM(SUMIFS('caseload data'!F:F,'caseload data'!$B:$B,{"licence","community"},'caseload data'!$C:$C,'community %'!$B$50)),"")</f>
        <v/>
      </c>
      <c r="E53" s="175" t="str">
        <f>IFERROR(SUM(SUMIFS('caseload data'!G:G,'caseload data'!$C:$C,'community %'!$B$50,'caseload data'!$D:$D,"PSO",'caseload data'!$B:$B,{"licence","community"}))/SUM(SUMIFS('caseload data'!G:G,'caseload data'!$B:$B,{"licence","community"},'caseload data'!$C:$C,'community %'!$B$50)),"")</f>
        <v/>
      </c>
      <c r="F53" s="175" t="str">
        <f>IFERROR(SUM(SUMIFS('caseload data'!H:H,'caseload data'!$C:$C,'community %'!$B$50,'caseload data'!$D:$D,"PSO",'caseload data'!$B:$B,{"licence","community"}))/SUM(SUMIFS('caseload data'!H:H,'caseload data'!$B:$B,{"licence","community"},'caseload data'!$C:$C,'community %'!$B$50)),"")</f>
        <v/>
      </c>
      <c r="G53" s="175" t="str">
        <f>IFERROR(SUM(SUMIFS('caseload data'!I:I,'caseload data'!$C:$C,'community %'!$B$50,'caseload data'!$D:$D,"PSO",'caseload data'!$B:$B,{"licence","community"}))/SUM(SUMIFS('caseload data'!I:I,'caseload data'!$B:$B,{"licence","community"},'caseload data'!$C:$C,'community %'!$B$50)),"")</f>
        <v/>
      </c>
      <c r="H53" s="175" t="str">
        <f>IFERROR(SUM(SUMIFS('caseload data'!J:J,'caseload data'!$C:$C,'community %'!$B$50,'caseload data'!$D:$D,"PSO",'caseload data'!$B:$B,{"licence","community"}))/SUM(SUMIFS('caseload data'!J:J,'caseload data'!$B:$B,{"licence","community"},'caseload data'!$C:$C,'community %'!$B$50)),"")</f>
        <v/>
      </c>
      <c r="I53" s="175" t="str">
        <f>IFERROR(SUM(SUMIFS('caseload data'!K:K,'caseload data'!$C:$C,'community %'!$B$50,'caseload data'!$D:$D,"PSO",'caseload data'!$B:$B,{"licence","community"}))/SUM(SUMIFS('caseload data'!K:K,'caseload data'!$B:$B,{"licence","community"},'caseload data'!$C:$C,'community %'!$B$50)),"")</f>
        <v/>
      </c>
      <c r="J53" s="175" t="str">
        <f>IFERROR(SUM(SUMIFS('caseload data'!L:L,'caseload data'!$C:$C,'community %'!$B$50,'caseload data'!$D:$D,"PSO",'caseload data'!$B:$B,{"licence","community"}))/SUM(SUMIFS('caseload data'!L:L,'caseload data'!$B:$B,{"licence","community"},'caseload data'!$C:$C,'community %'!$B$50)),"")</f>
        <v/>
      </c>
      <c r="K53" s="175" t="str">
        <f>IFERROR(SUM(SUMIFS('caseload data'!M:M,'caseload data'!$C:$C,'community %'!$B$50,'caseload data'!$D:$D,"PSO",'caseload data'!$B:$B,{"licence","community"}))/SUM(SUMIFS('caseload data'!M:M,'caseload data'!$B:$B,{"licence","community"},'caseload data'!$C:$C,'community %'!$B$50)),"")</f>
        <v/>
      </c>
      <c r="L53" s="175" t="str">
        <f>IFERROR(SUM(SUMIFS('caseload data'!N:N,'caseload data'!$C:$C,'community %'!$B$50,'caseload data'!$D:$D,"PSO",'caseload data'!$B:$B,{"licence","community"}))/SUM(SUMIFS('caseload data'!N:N,'caseload data'!$B:$B,{"licence","community"},'caseload data'!$C:$C,'community %'!$B$50)),"")</f>
        <v/>
      </c>
      <c r="M53" s="175" t="str">
        <f>IFERROR(SUM(SUMIFS('caseload data'!O:O,'caseload data'!$C:$C,'community %'!$B$50,'caseload data'!$D:$D,"PSO",'caseload data'!$B:$B,{"licence","community"}))/SUM(SUMIFS('caseload data'!O:O,'caseload data'!$B:$B,{"licence","community"},'caseload data'!$C:$C,'community %'!$B$50)),"")</f>
        <v/>
      </c>
      <c r="N53" s="175" t="str">
        <f>IFERROR(SUM(SUMIFS('caseload data'!P:P,'caseload data'!$C:$C,'community %'!$B$50,'caseload data'!$D:$D,"PSO",'caseload data'!$B:$B,{"licence","community"}))/SUM(SUMIFS('caseload data'!P:P,'caseload data'!$B:$B,{"licence","community"},'caseload data'!$C:$C,'community %'!$B$50)),"")</f>
        <v/>
      </c>
      <c r="O53" s="175" t="str">
        <f>IFERROR(SUM(SUMIFS('caseload data'!Q:Q,'caseload data'!$C:$C,'community %'!$B$50,'caseload data'!$D:$D,"PSO",'caseload data'!$B:$B,{"licence","community"}))/SUM(SUMIFS('caseload data'!Q:Q,'caseload data'!$B:$B,{"licence","community"},'caseload data'!$C:$C,'community %'!$B$50)),"")</f>
        <v/>
      </c>
      <c r="P53" s="175" t="str">
        <f>IFERROR(SUM(SUMIFS('caseload data'!R:R,'caseload data'!$C:$C,'community %'!$B$50,'caseload data'!$D:$D,"PSO",'caseload data'!$B:$B,{"licence","community"}))/SUM(SUMIFS('caseload data'!R:R,'caseload data'!$B:$B,{"licence","community"},'caseload data'!$C:$C,'community %'!$B$50)),"")</f>
        <v/>
      </c>
      <c r="Q53" s="175" t="str">
        <f>IFERROR(SUM(SUMIFS('caseload data'!S:S,'caseload data'!$C:$C,'community %'!$B$50,'caseload data'!$D:$D,"PSO",'caseload data'!$B:$B,{"licence","community"}))/SUM(SUMIFS('caseload data'!S:S,'caseload data'!$B:$B,{"licence","community"},'caseload data'!$C:$C,'community %'!$B$50)),"")</f>
        <v/>
      </c>
      <c r="R53" s="175" t="str">
        <f>IFERROR(SUM(SUMIFS('caseload data'!T:T,'caseload data'!$C:$C,'community %'!$B$50,'caseload data'!$D:$D,"PSO",'caseload data'!$B:$B,{"licence","community"}))/SUM(SUMIFS('caseload data'!T:T,'caseload data'!$B:$B,{"licence","community"},'caseload data'!$C:$C,'community %'!$B$50)),"")</f>
        <v/>
      </c>
      <c r="S53" s="68"/>
      <c r="T53" s="101" t="s">
        <v>1172</v>
      </c>
      <c r="U53" s="175" t="str">
        <f>IFERROR(SUM(SUMIFS('caseload data'!E:E,'caseload data'!$C:$C,'community %'!$T$50,'caseload data'!$D:$D,"PSO",'caseload data'!$B:$B,{"licence","community"}))/SUM(SUMIFS('caseload data'!E:E,'caseload data'!$B:$B,{"licence","community"},'caseload data'!$C:$C,'community %'!$T$50)),"")</f>
        <v/>
      </c>
      <c r="V53" s="175" t="str">
        <f>IFERROR(SUM(SUMIFS('caseload data'!F:F,'caseload data'!$C:$C,'community %'!$T$50,'caseload data'!$D:$D,"PSO",'caseload data'!$B:$B,{"licence","community"}))/SUM(SUMIFS('caseload data'!F:F,'caseload data'!$B:$B,{"licence","community"},'caseload data'!$C:$C,'community %'!$T$50)),"")</f>
        <v/>
      </c>
      <c r="W53" s="175" t="str">
        <f>IFERROR(SUM(SUMIFS('caseload data'!G:G,'caseload data'!$C:$C,'community %'!$T$50,'caseload data'!$D:$D,"PSO",'caseload data'!$B:$B,{"licence","community"}))/SUM(SUMIFS('caseload data'!G:G,'caseload data'!$B:$B,{"licence","community"},'caseload data'!$C:$C,'community %'!$T$50)),"")</f>
        <v/>
      </c>
      <c r="X53" s="175" t="str">
        <f>IFERROR(SUM(SUMIFS('caseload data'!H:H,'caseload data'!$C:$C,'community %'!$T$50,'caseload data'!$D:$D,"PSO",'caseload data'!$B:$B,{"licence","community"}))/SUM(SUMIFS('caseload data'!H:H,'caseload data'!$B:$B,{"licence","community"},'caseload data'!$C:$C,'community %'!$T$50)),"")</f>
        <v/>
      </c>
      <c r="Y53" s="175" t="str">
        <f>IFERROR(SUM(SUMIFS('caseload data'!I:I,'caseload data'!$C:$C,'community %'!$T$50,'caseload data'!$D:$D,"PSO",'caseload data'!$B:$B,{"licence","community"}))/SUM(SUMIFS('caseload data'!I:I,'caseload data'!$B:$B,{"licence","community"},'caseload data'!$C:$C,'community %'!$T$50)),"")</f>
        <v/>
      </c>
      <c r="Z53" s="175" t="str">
        <f>IFERROR(SUM(SUMIFS('caseload data'!J:J,'caseload data'!$C:$C,'community %'!$T$50,'caseload data'!$D:$D,"PSO",'caseload data'!$B:$B,{"licence","community"}))/SUM(SUMIFS('caseload data'!J:J,'caseload data'!$B:$B,{"licence","community"},'caseload data'!$C:$C,'community %'!$T$50)),"")</f>
        <v/>
      </c>
      <c r="AA53" s="175" t="str">
        <f>IFERROR(SUM(SUMIFS('caseload data'!K:K,'caseload data'!$C:$C,'community %'!$T$50,'caseload data'!$D:$D,"PSO",'caseload data'!$B:$B,{"licence","community"}))/SUM(SUMIFS('caseload data'!K:K,'caseload data'!$B:$B,{"licence","community"},'caseload data'!$C:$C,'community %'!$T$50)),"")</f>
        <v/>
      </c>
      <c r="AB53" s="175" t="str">
        <f>IFERROR(SUM(SUMIFS('caseload data'!L:L,'caseload data'!$C:$C,'community %'!$T$50,'caseload data'!$D:$D,"PSO",'caseload data'!$B:$B,{"licence","community"}))/SUM(SUMIFS('caseload data'!L:L,'caseload data'!$B:$B,{"licence","community"},'caseload data'!$C:$C,'community %'!$T$50)),"")</f>
        <v/>
      </c>
      <c r="AC53" s="175" t="str">
        <f>IFERROR(SUM(SUMIFS('caseload data'!M:M,'caseload data'!$C:$C,'community %'!$T$50,'caseload data'!$D:$D,"PSO",'caseload data'!$B:$B,{"licence","community"}))/SUM(SUMIFS('caseload data'!M:M,'caseload data'!$B:$B,{"licence","community"},'caseload data'!$C:$C,'community %'!$T$50)),"")</f>
        <v/>
      </c>
      <c r="AD53" s="175" t="str">
        <f>IFERROR(SUM(SUMIFS('caseload data'!N:N,'caseload data'!$C:$C,'community %'!$T$50,'caseload data'!$D:$D,"PSO",'caseload data'!$B:$B,{"licence","community"}))/SUM(SUMIFS('caseload data'!N:N,'caseload data'!$B:$B,{"licence","community"},'caseload data'!$C:$C,'community %'!$T$50)),"")</f>
        <v/>
      </c>
      <c r="AE53" s="175" t="str">
        <f>IFERROR(SUM(SUMIFS('caseload data'!O:O,'caseload data'!$C:$C,'community %'!$T$50,'caseload data'!$D:$D,"PSO",'caseload data'!$B:$B,{"licence","community"}))/SUM(SUMIFS('caseload data'!O:O,'caseload data'!$B:$B,{"licence","community"},'caseload data'!$C:$C,'community %'!$T$50)),"")</f>
        <v/>
      </c>
      <c r="AF53" s="175" t="str">
        <f>IFERROR(SUM(SUMIFS('caseload data'!P:P,'caseload data'!$C:$C,'community %'!$T$50,'caseload data'!$D:$D,"PSO",'caseload data'!$B:$B,{"licence","community"}))/SUM(SUMIFS('caseload data'!P:P,'caseload data'!$B:$B,{"licence","community"},'caseload data'!$C:$C,'community %'!$T$50)),"")</f>
        <v/>
      </c>
      <c r="AG53" s="175" t="str">
        <f>IFERROR(SUM(SUMIFS('caseload data'!Q:Q,'caseload data'!$C:$C,'community %'!$T$50,'caseload data'!$D:$D,"PSO",'caseload data'!$B:$B,{"licence","community"}))/SUM(SUMIFS('caseload data'!Q:Q,'caseload data'!$B:$B,{"licence","community"},'caseload data'!$C:$C,'community %'!$T$50)),"")</f>
        <v/>
      </c>
      <c r="AH53" s="175" t="str">
        <f>IFERROR(SUM(SUMIFS('caseload data'!R:R,'caseload data'!$C:$C,'community %'!$T$50,'caseload data'!$D:$D,"PSO",'caseload data'!$B:$B,{"licence","community"}))/SUM(SUMIFS('caseload data'!R:R,'caseload data'!$B:$B,{"licence","community"},'caseload data'!$C:$C,'community %'!$T$50)),"")</f>
        <v/>
      </c>
      <c r="AI53" s="175" t="str">
        <f>IFERROR(SUM(SUMIFS('caseload data'!S:S,'caseload data'!$C:$C,'community %'!$T$50,'caseload data'!$D:$D,"PSO",'caseload data'!$B:$B,{"licence","community"}))/SUM(SUMIFS('caseload data'!S:S,'caseload data'!$B:$B,{"licence","community"},'caseload data'!$C:$C,'community %'!$T$50)),"")</f>
        <v/>
      </c>
      <c r="AJ53" s="175" t="str">
        <f>IFERROR(SUM(SUMIFS('caseload data'!T:T,'caseload data'!$C:$C,'community %'!$T$50,'caseload data'!$D:$D,"PSO",'caseload data'!$B:$B,{"licence","community"}))/SUM(SUMIFS('caseload data'!T:T,'caseload data'!$B:$B,{"licence","community"},'caseload data'!$C:$C,'community %'!$T$50)),"")</f>
        <v/>
      </c>
    </row>
    <row r="54" spans="2:36" x14ac:dyDescent="0.15">
      <c r="B54" s="101" t="s">
        <v>1173</v>
      </c>
      <c r="C54" s="175" t="str">
        <f>IFERROR(SUM(SUMIFS('caseload data'!E:E,'caseload data'!$C:$C,'community %'!$B$50,'caseload data'!$D:$D,"TPO",'caseload data'!$B:$B,{"licence","community"}))/SUM(SUMIFS('caseload data'!E:E,'caseload data'!$B:$B,{"licence","community"},'caseload data'!$C:$C,'community %'!$B$50)),"")</f>
        <v/>
      </c>
      <c r="D54" s="175" t="str">
        <f>IFERROR(SUM(SUMIFS('caseload data'!F:F,'caseload data'!$C:$C,'community %'!$B$50,'caseload data'!$D:$D,"TPO",'caseload data'!$B:$B,{"licence","community"}))/SUM(SUMIFS('caseload data'!F:F,'caseload data'!$B:$B,{"licence","community"},'caseload data'!$C:$C,'community %'!$B$50)),"")</f>
        <v/>
      </c>
      <c r="E54" s="175" t="str">
        <f>IFERROR(SUM(SUMIFS('caseload data'!G:G,'caseload data'!$C:$C,'community %'!$B$50,'caseload data'!$D:$D,"TPO",'caseload data'!$B:$B,{"licence","community"}))/SUM(SUMIFS('caseload data'!G:G,'caseload data'!$B:$B,{"licence","community"},'caseload data'!$C:$C,'community %'!$B$50)),"")</f>
        <v/>
      </c>
      <c r="F54" s="175" t="str">
        <f>IFERROR(SUM(SUMIFS('caseload data'!H:H,'caseload data'!$C:$C,'community %'!$B$50,'caseload data'!$D:$D,"TPO",'caseload data'!$B:$B,{"licence","community"}))/SUM(SUMIFS('caseload data'!H:H,'caseload data'!$B:$B,{"licence","community"},'caseload data'!$C:$C,'community %'!$B$50)),"")</f>
        <v/>
      </c>
      <c r="G54" s="175" t="str">
        <f>IFERROR(SUM(SUMIFS('caseload data'!I:I,'caseload data'!$C:$C,'community %'!$B$50,'caseload data'!$D:$D,"TPO",'caseload data'!$B:$B,{"licence","community"}))/SUM(SUMIFS('caseload data'!I:I,'caseload data'!$B:$B,{"licence","community"},'caseload data'!$C:$C,'community %'!$B$50)),"")</f>
        <v/>
      </c>
      <c r="H54" s="175" t="str">
        <f>IFERROR(SUM(SUMIFS('caseload data'!J:J,'caseload data'!$C:$C,'community %'!$B$50,'caseload data'!$D:$D,"TPO",'caseload data'!$B:$B,{"licence","community"}))/SUM(SUMIFS('caseload data'!J:J,'caseload data'!$B:$B,{"licence","community"},'caseload data'!$C:$C,'community %'!$B$50)),"")</f>
        <v/>
      </c>
      <c r="I54" s="175" t="str">
        <f>IFERROR(SUM(SUMIFS('caseload data'!K:K,'caseload data'!$C:$C,'community %'!$B$50,'caseload data'!$D:$D,"TPO",'caseload data'!$B:$B,{"licence","community"}))/SUM(SUMIFS('caseload data'!K:K,'caseload data'!$B:$B,{"licence","community"},'caseload data'!$C:$C,'community %'!$B$50)),"")</f>
        <v/>
      </c>
      <c r="J54" s="175" t="str">
        <f>IFERROR(SUM(SUMIFS('caseload data'!L:L,'caseload data'!$C:$C,'community %'!$B$50,'caseload data'!$D:$D,"TPO",'caseload data'!$B:$B,{"licence","community"}))/SUM(SUMIFS('caseload data'!L:L,'caseload data'!$B:$B,{"licence","community"},'caseload data'!$C:$C,'community %'!$B$50)),"")</f>
        <v/>
      </c>
      <c r="K54" s="175" t="str">
        <f>IFERROR(SUM(SUMIFS('caseload data'!M:M,'caseload data'!$C:$C,'community %'!$B$50,'caseload data'!$D:$D,"TPO",'caseload data'!$B:$B,{"licence","community"}))/SUM(SUMIFS('caseload data'!M:M,'caseload data'!$B:$B,{"licence","community"},'caseload data'!$C:$C,'community %'!$B$50)),"")</f>
        <v/>
      </c>
      <c r="L54" s="175" t="str">
        <f>IFERROR(SUM(SUMIFS('caseload data'!N:N,'caseload data'!$C:$C,'community %'!$B$50,'caseload data'!$D:$D,"TPO",'caseload data'!$B:$B,{"licence","community"}))/SUM(SUMIFS('caseload data'!N:N,'caseload data'!$B:$B,{"licence","community"},'caseload data'!$C:$C,'community %'!$B$50)),"")</f>
        <v/>
      </c>
      <c r="M54" s="175" t="str">
        <f>IFERROR(SUM(SUMIFS('caseload data'!O:O,'caseload data'!$C:$C,'community %'!$B$50,'caseload data'!$D:$D,"TPO",'caseload data'!$B:$B,{"licence","community"}))/SUM(SUMIFS('caseload data'!O:O,'caseload data'!$B:$B,{"licence","community"},'caseload data'!$C:$C,'community %'!$B$50)),"")</f>
        <v/>
      </c>
      <c r="N54" s="175" t="str">
        <f>IFERROR(SUM(SUMIFS('caseload data'!P:P,'caseload data'!$C:$C,'community %'!$B$50,'caseload data'!$D:$D,"TPO",'caseload data'!$B:$B,{"licence","community"}))/SUM(SUMIFS('caseload data'!P:P,'caseload data'!$B:$B,{"licence","community"},'caseload data'!$C:$C,'community %'!$B$50)),"")</f>
        <v/>
      </c>
      <c r="O54" s="175" t="str">
        <f>IFERROR(SUM(SUMIFS('caseload data'!Q:Q,'caseload data'!$C:$C,'community %'!$B$50,'caseload data'!$D:$D,"TPO",'caseload data'!$B:$B,{"licence","community"}))/SUM(SUMIFS('caseload data'!Q:Q,'caseload data'!$B:$B,{"licence","community"},'caseload data'!$C:$C,'community %'!$B$50)),"")</f>
        <v/>
      </c>
      <c r="P54" s="175" t="str">
        <f>IFERROR(SUM(SUMIFS('caseload data'!R:R,'caseload data'!$C:$C,'community %'!$B$50,'caseload data'!$D:$D,"TPO",'caseload data'!$B:$B,{"licence","community"}))/SUM(SUMIFS('caseload data'!R:R,'caseload data'!$B:$B,{"licence","community"},'caseload data'!$C:$C,'community %'!$B$50)),"")</f>
        <v/>
      </c>
      <c r="Q54" s="175" t="str">
        <f>IFERROR(SUM(SUMIFS('caseload data'!S:S,'caseload data'!$C:$C,'community %'!$B$50,'caseload data'!$D:$D,"TPO",'caseload data'!$B:$B,{"licence","community"}))/SUM(SUMIFS('caseload data'!S:S,'caseload data'!$B:$B,{"licence","community"},'caseload data'!$C:$C,'community %'!$B$50)),"")</f>
        <v/>
      </c>
      <c r="R54" s="175" t="str">
        <f>IFERROR(SUM(SUMIFS('caseload data'!T:T,'caseload data'!$C:$C,'community %'!$B$50,'caseload data'!$D:$D,"TPO",'caseload data'!$B:$B,{"licence","community"}))/SUM(SUMIFS('caseload data'!T:T,'caseload data'!$B:$B,{"licence","community"},'caseload data'!$C:$C,'community %'!$B$50)),"")</f>
        <v/>
      </c>
      <c r="S54" s="68"/>
      <c r="T54" s="101" t="s">
        <v>1173</v>
      </c>
      <c r="U54" s="175" t="str">
        <f>IFERROR(SUM(SUMIFS('caseload data'!E:E,'caseload data'!$C:$C,'community %'!$T$50,'caseload data'!$D:$D,"TPO",'caseload data'!$B:$B,{"licence","community"}))/SUM(SUMIFS('caseload data'!E:E,'caseload data'!$B:$B,{"licence","community"},'caseload data'!$C:$C,'community %'!$T$50)),"")</f>
        <v/>
      </c>
      <c r="V54" s="175" t="str">
        <f>IFERROR(SUM(SUMIFS('caseload data'!F:F,'caseload data'!$C:$C,'community %'!$T$50,'caseload data'!$D:$D,"TPO",'caseload data'!$B:$B,{"licence","community"}))/SUM(SUMIFS('caseload data'!F:F,'caseload data'!$B:$B,{"licence","community"},'caseload data'!$C:$C,'community %'!$T$50)),"")</f>
        <v/>
      </c>
      <c r="W54" s="175" t="str">
        <f>IFERROR(SUM(SUMIFS('caseload data'!G:G,'caseload data'!$C:$C,'community %'!$T$50,'caseload data'!$D:$D,"TPO",'caseload data'!$B:$B,{"licence","community"}))/SUM(SUMIFS('caseload data'!G:G,'caseload data'!$B:$B,{"licence","community"},'caseload data'!$C:$C,'community %'!$T$50)),"")</f>
        <v/>
      </c>
      <c r="X54" s="175" t="str">
        <f>IFERROR(SUM(SUMIFS('caseload data'!H:H,'caseload data'!$C:$C,'community %'!$T$50,'caseload data'!$D:$D,"TPO",'caseload data'!$B:$B,{"licence","community"}))/SUM(SUMIFS('caseload data'!H:H,'caseload data'!$B:$B,{"licence","community"},'caseload data'!$C:$C,'community %'!$T$50)),"")</f>
        <v/>
      </c>
      <c r="Y54" s="175" t="str">
        <f>IFERROR(SUM(SUMIFS('caseload data'!I:I,'caseload data'!$C:$C,'community %'!$T$50,'caseload data'!$D:$D,"TPO",'caseload data'!$B:$B,{"licence","community"}))/SUM(SUMIFS('caseload data'!I:I,'caseload data'!$B:$B,{"licence","community"},'caseload data'!$C:$C,'community %'!$T$50)),"")</f>
        <v/>
      </c>
      <c r="Z54" s="175" t="str">
        <f>IFERROR(SUM(SUMIFS('caseload data'!J:J,'caseload data'!$C:$C,'community %'!$T$50,'caseload data'!$D:$D,"TPO",'caseload data'!$B:$B,{"licence","community"}))/SUM(SUMIFS('caseload data'!J:J,'caseload data'!$B:$B,{"licence","community"},'caseload data'!$C:$C,'community %'!$T$50)),"")</f>
        <v/>
      </c>
      <c r="AA54" s="175" t="str">
        <f>IFERROR(SUM(SUMIFS('caseload data'!K:K,'caseload data'!$C:$C,'community %'!$T$50,'caseload data'!$D:$D,"TPO",'caseload data'!$B:$B,{"licence","community"}))/SUM(SUMIFS('caseload data'!K:K,'caseload data'!$B:$B,{"licence","community"},'caseload data'!$C:$C,'community %'!$T$50)),"")</f>
        <v/>
      </c>
      <c r="AB54" s="175" t="str">
        <f>IFERROR(SUM(SUMIFS('caseload data'!L:L,'caseload data'!$C:$C,'community %'!$T$50,'caseload data'!$D:$D,"TPO",'caseload data'!$B:$B,{"licence","community"}))/SUM(SUMIFS('caseload data'!L:L,'caseload data'!$B:$B,{"licence","community"},'caseload data'!$C:$C,'community %'!$T$50)),"")</f>
        <v/>
      </c>
      <c r="AC54" s="175" t="str">
        <f>IFERROR(SUM(SUMIFS('caseload data'!M:M,'caseload data'!$C:$C,'community %'!$T$50,'caseload data'!$D:$D,"TPO",'caseload data'!$B:$B,{"licence","community"}))/SUM(SUMIFS('caseload data'!M:M,'caseload data'!$B:$B,{"licence","community"},'caseload data'!$C:$C,'community %'!$T$50)),"")</f>
        <v/>
      </c>
      <c r="AD54" s="175" t="str">
        <f>IFERROR(SUM(SUMIFS('caseload data'!N:N,'caseload data'!$C:$C,'community %'!$T$50,'caseload data'!$D:$D,"TPO",'caseload data'!$B:$B,{"licence","community"}))/SUM(SUMIFS('caseload data'!N:N,'caseload data'!$B:$B,{"licence","community"},'caseload data'!$C:$C,'community %'!$T$50)),"")</f>
        <v/>
      </c>
      <c r="AE54" s="175" t="str">
        <f>IFERROR(SUM(SUMIFS('caseload data'!O:O,'caseload data'!$C:$C,'community %'!$T$50,'caseload data'!$D:$D,"TPO",'caseload data'!$B:$B,{"licence","community"}))/SUM(SUMIFS('caseload data'!O:O,'caseload data'!$B:$B,{"licence","community"},'caseload data'!$C:$C,'community %'!$T$50)),"")</f>
        <v/>
      </c>
      <c r="AF54" s="175" t="str">
        <f>IFERROR(SUM(SUMIFS('caseload data'!P:P,'caseload data'!$C:$C,'community %'!$T$50,'caseload data'!$D:$D,"TPO",'caseload data'!$B:$B,{"licence","community"}))/SUM(SUMIFS('caseload data'!P:P,'caseload data'!$B:$B,{"licence","community"},'caseload data'!$C:$C,'community %'!$T$50)),"")</f>
        <v/>
      </c>
      <c r="AG54" s="175" t="str">
        <f>IFERROR(SUM(SUMIFS('caseload data'!Q:Q,'caseload data'!$C:$C,'community %'!$T$50,'caseload data'!$D:$D,"TPO",'caseload data'!$B:$B,{"licence","community"}))/SUM(SUMIFS('caseload data'!Q:Q,'caseload data'!$B:$B,{"licence","community"},'caseload data'!$C:$C,'community %'!$T$50)),"")</f>
        <v/>
      </c>
      <c r="AH54" s="175" t="str">
        <f>IFERROR(SUM(SUMIFS('caseload data'!R:R,'caseload data'!$C:$C,'community %'!$T$50,'caseload data'!$D:$D,"TPO",'caseload data'!$B:$B,{"licence","community"}))/SUM(SUMIFS('caseload data'!R:R,'caseload data'!$B:$B,{"licence","community"},'caseload data'!$C:$C,'community %'!$T$50)),"")</f>
        <v/>
      </c>
      <c r="AI54" s="175" t="str">
        <f>IFERROR(SUM(SUMIFS('caseload data'!S:S,'caseload data'!$C:$C,'community %'!$T$50,'caseload data'!$D:$D,"TPO",'caseload data'!$B:$B,{"licence","community"}))/SUM(SUMIFS('caseload data'!S:S,'caseload data'!$B:$B,{"licence","community"},'caseload data'!$C:$C,'community %'!$T$50)),"")</f>
        <v/>
      </c>
      <c r="AJ54" s="175" t="str">
        <f>IFERROR(SUM(SUMIFS('caseload data'!T:T,'caseload data'!$C:$C,'community %'!$T$50,'caseload data'!$D:$D,"TPO",'caseload data'!$B:$B,{"licence","community"}))/SUM(SUMIFS('caseload data'!T:T,'caseload data'!$B:$B,{"licence","community"},'caseload data'!$C:$C,'community %'!$T$50)),"")</f>
        <v/>
      </c>
    </row>
    <row r="55" spans="2:36" x14ac:dyDescent="0.15">
      <c r="B55" s="102" t="s">
        <v>1174</v>
      </c>
      <c r="C55" s="175" t="str">
        <f>IFERROR(SUM(SUMIFS('caseload data'!E:E,'caseload data'!$C:$C,'community %'!$B$50,'caseload data'!$D:$D,"SPO",'caseload data'!$B:$B,{"licence","community"}))/SUM(SUMIFS('caseload data'!E:E,'caseload data'!$B:$B,{"licence","community"},'caseload data'!$C:$C,'community %'!$B$50)),"")</f>
        <v/>
      </c>
      <c r="D55" s="175" t="str">
        <f>IFERROR(SUM(SUMIFS('caseload data'!F:F,'caseload data'!$C:$C,'community %'!$B$50,'caseload data'!$D:$D,"SPO",'caseload data'!$B:$B,{"licence","community"}))/SUM(SUMIFS('caseload data'!F:F,'caseload data'!$B:$B,{"licence","community"},'caseload data'!$C:$C,'community %'!$B$50)),"")</f>
        <v/>
      </c>
      <c r="E55" s="175" t="str">
        <f>IFERROR(SUM(SUMIFS('caseload data'!G:G,'caseload data'!$C:$C,'community %'!$B$50,'caseload data'!$D:$D,"SPO",'caseload data'!$B:$B,{"licence","community"}))/SUM(SUMIFS('caseload data'!G:G,'caseload data'!$B:$B,{"licence","community"},'caseload data'!$C:$C,'community %'!$B$50)),"")</f>
        <v/>
      </c>
      <c r="F55" s="175" t="str">
        <f>IFERROR(SUM(SUMIFS('caseload data'!H:H,'caseload data'!$C:$C,'community %'!$B$50,'caseload data'!$D:$D,"SPO",'caseload data'!$B:$B,{"licence","community"}))/SUM(SUMIFS('caseload data'!H:H,'caseload data'!$B:$B,{"licence","community"},'caseload data'!$C:$C,'community %'!$B$50)),"")</f>
        <v/>
      </c>
      <c r="G55" s="175" t="str">
        <f>IFERROR(SUM(SUMIFS('caseload data'!I:I,'caseload data'!$C:$C,'community %'!$B$50,'caseload data'!$D:$D,"SPO",'caseload data'!$B:$B,{"licence","community"}))/SUM(SUMIFS('caseload data'!I:I,'caseload data'!$B:$B,{"licence","community"},'caseload data'!$C:$C,'community %'!$B$50)),"")</f>
        <v/>
      </c>
      <c r="H55" s="175" t="str">
        <f>IFERROR(SUM(SUMIFS('caseload data'!J:J,'caseload data'!$C:$C,'community %'!$B$50,'caseload data'!$D:$D,"SPO",'caseload data'!$B:$B,{"licence","community"}))/SUM(SUMIFS('caseload data'!J:J,'caseload data'!$B:$B,{"licence","community"},'caseload data'!$C:$C,'community %'!$B$50)),"")</f>
        <v/>
      </c>
      <c r="I55" s="175" t="str">
        <f>IFERROR(SUM(SUMIFS('caseload data'!K:K,'caseload data'!$C:$C,'community %'!$B$50,'caseload data'!$D:$D,"SPO",'caseload data'!$B:$B,{"licence","community"}))/SUM(SUMIFS('caseload data'!K:K,'caseload data'!$B:$B,{"licence","community"},'caseload data'!$C:$C,'community %'!$B$50)),"")</f>
        <v/>
      </c>
      <c r="J55" s="175" t="str">
        <f>IFERROR(SUM(SUMIFS('caseload data'!L:L,'caseload data'!$C:$C,'community %'!$B$50,'caseload data'!$D:$D,"SPO",'caseload data'!$B:$B,{"licence","community"}))/SUM(SUMIFS('caseload data'!L:L,'caseload data'!$B:$B,{"licence","community"},'caseload data'!$C:$C,'community %'!$B$50)),"")</f>
        <v/>
      </c>
      <c r="K55" s="175" t="str">
        <f>IFERROR(SUM(SUMIFS('caseload data'!M:M,'caseload data'!$C:$C,'community %'!$B$50,'caseload data'!$D:$D,"SPO",'caseload data'!$B:$B,{"licence","community"}))/SUM(SUMIFS('caseload data'!M:M,'caseload data'!$B:$B,{"licence","community"},'caseload data'!$C:$C,'community %'!$B$50)),"")</f>
        <v/>
      </c>
      <c r="L55" s="175" t="str">
        <f>IFERROR(SUM(SUMIFS('caseload data'!N:N,'caseload data'!$C:$C,'community %'!$B$50,'caseload data'!$D:$D,"SPO",'caseload data'!$B:$B,{"licence","community"}))/SUM(SUMIFS('caseload data'!N:N,'caseload data'!$B:$B,{"licence","community"},'caseload data'!$C:$C,'community %'!$B$50)),"")</f>
        <v/>
      </c>
      <c r="M55" s="175" t="str">
        <f>IFERROR(SUM(SUMIFS('caseload data'!O:O,'caseload data'!$C:$C,'community %'!$B$50,'caseload data'!$D:$D,"SPO",'caseload data'!$B:$B,{"licence","community"}))/SUM(SUMIFS('caseload data'!O:O,'caseload data'!$B:$B,{"licence","community"},'caseload data'!$C:$C,'community %'!$B$50)),"")</f>
        <v/>
      </c>
      <c r="N55" s="175" t="str">
        <f>IFERROR(SUM(SUMIFS('caseload data'!P:P,'caseload data'!$C:$C,'community %'!$B$50,'caseload data'!$D:$D,"SPO",'caseload data'!$B:$B,{"licence","community"}))/SUM(SUMIFS('caseload data'!P:P,'caseload data'!$B:$B,{"licence","community"},'caseload data'!$C:$C,'community %'!$B$50)),"")</f>
        <v/>
      </c>
      <c r="O55" s="175" t="str">
        <f>IFERROR(SUM(SUMIFS('caseload data'!Q:Q,'caseload data'!$C:$C,'community %'!$B$50,'caseload data'!$D:$D,"SPO",'caseload data'!$B:$B,{"licence","community"}))/SUM(SUMIFS('caseload data'!Q:Q,'caseload data'!$B:$B,{"licence","community"},'caseload data'!$C:$C,'community %'!$B$50)),"")</f>
        <v/>
      </c>
      <c r="P55" s="175" t="str">
        <f>IFERROR(SUM(SUMIFS('caseload data'!R:R,'caseload data'!$C:$C,'community %'!$B$50,'caseload data'!$D:$D,"SPO",'caseload data'!$B:$B,{"licence","community"}))/SUM(SUMIFS('caseload data'!R:R,'caseload data'!$B:$B,{"licence","community"},'caseload data'!$C:$C,'community %'!$B$50)),"")</f>
        <v/>
      </c>
      <c r="Q55" s="175" t="str">
        <f>IFERROR(SUM(SUMIFS('caseload data'!S:S,'caseload data'!$C:$C,'community %'!$B$50,'caseload data'!$D:$D,"SPO",'caseload data'!$B:$B,{"licence","community"}))/SUM(SUMIFS('caseload data'!S:S,'caseload data'!$B:$B,{"licence","community"},'caseload data'!$C:$C,'community %'!$B$50)),"")</f>
        <v/>
      </c>
      <c r="R55" s="175" t="str">
        <f>IFERROR(SUM(SUMIFS('caseload data'!T:T,'caseload data'!$C:$C,'community %'!$B$50,'caseload data'!$D:$D,"SPO",'caseload data'!$B:$B,{"licence","community"}))/SUM(SUMIFS('caseload data'!T:T,'caseload data'!$B:$B,{"licence","community"},'caseload data'!$C:$C,'community %'!$B$50)),"")</f>
        <v/>
      </c>
      <c r="S55" s="68"/>
      <c r="T55" s="102" t="s">
        <v>1174</v>
      </c>
      <c r="U55" s="175" t="str">
        <f>IFERROR(SUM(SUMIFS('caseload data'!E:E,'caseload data'!$C:$C,'community %'!$T$50,'caseload data'!$D:$D,"SPO",'caseload data'!$B:$B,{"licence","community"}))/SUM(SUMIFS('caseload data'!E:E,'caseload data'!$B:$B,{"licence","community"},'caseload data'!$C:$C,'community %'!$T$50)),"")</f>
        <v/>
      </c>
      <c r="V55" s="175" t="str">
        <f>IFERROR(SUM(SUMIFS('caseload data'!F:F,'caseload data'!$C:$C,'community %'!$T$50,'caseload data'!$D:$D,"SPO",'caseload data'!$B:$B,{"licence","community"}))/SUM(SUMIFS('caseload data'!F:F,'caseload data'!$B:$B,{"licence","community"},'caseload data'!$C:$C,'community %'!$T$50)),"")</f>
        <v/>
      </c>
      <c r="W55" s="175" t="str">
        <f>IFERROR(SUM(SUMIFS('caseload data'!G:G,'caseload data'!$C:$C,'community %'!$T$50,'caseload data'!$D:$D,"SPO",'caseload data'!$B:$B,{"licence","community"}))/SUM(SUMIFS('caseload data'!G:G,'caseload data'!$B:$B,{"licence","community"},'caseload data'!$C:$C,'community %'!$T$50)),"")</f>
        <v/>
      </c>
      <c r="X55" s="175" t="str">
        <f>IFERROR(SUM(SUMIFS('caseload data'!H:H,'caseload data'!$C:$C,'community %'!$T$50,'caseload data'!$D:$D,"SPO",'caseload data'!$B:$B,{"licence","community"}))/SUM(SUMIFS('caseload data'!H:H,'caseload data'!$B:$B,{"licence","community"},'caseload data'!$C:$C,'community %'!$T$50)),"")</f>
        <v/>
      </c>
      <c r="Y55" s="175" t="str">
        <f>IFERROR(SUM(SUMIFS('caseload data'!I:I,'caseload data'!$C:$C,'community %'!$T$50,'caseload data'!$D:$D,"SPO",'caseload data'!$B:$B,{"licence","community"}))/SUM(SUMIFS('caseload data'!I:I,'caseload data'!$B:$B,{"licence","community"},'caseload data'!$C:$C,'community %'!$T$50)),"")</f>
        <v/>
      </c>
      <c r="Z55" s="175" t="str">
        <f>IFERROR(SUM(SUMIFS('caseload data'!J:J,'caseload data'!$C:$C,'community %'!$T$50,'caseload data'!$D:$D,"SPO",'caseload data'!$B:$B,{"licence","community"}))/SUM(SUMIFS('caseload data'!J:J,'caseload data'!$B:$B,{"licence","community"},'caseload data'!$C:$C,'community %'!$T$50)),"")</f>
        <v/>
      </c>
      <c r="AA55" s="175" t="str">
        <f>IFERROR(SUM(SUMIFS('caseload data'!K:K,'caseload data'!$C:$C,'community %'!$T$50,'caseload data'!$D:$D,"SPO",'caseload data'!$B:$B,{"licence","community"}))/SUM(SUMIFS('caseload data'!K:K,'caseload data'!$B:$B,{"licence","community"},'caseload data'!$C:$C,'community %'!$T$50)),"")</f>
        <v/>
      </c>
      <c r="AB55" s="175" t="str">
        <f>IFERROR(SUM(SUMIFS('caseload data'!L:L,'caseload data'!$C:$C,'community %'!$T$50,'caseload data'!$D:$D,"SPO",'caseload data'!$B:$B,{"licence","community"}))/SUM(SUMIFS('caseload data'!L:L,'caseload data'!$B:$B,{"licence","community"},'caseload data'!$C:$C,'community %'!$T$50)),"")</f>
        <v/>
      </c>
      <c r="AC55" s="175" t="str">
        <f>IFERROR(SUM(SUMIFS('caseload data'!M:M,'caseload data'!$C:$C,'community %'!$T$50,'caseload data'!$D:$D,"SPO",'caseload data'!$B:$B,{"licence","community"}))/SUM(SUMIFS('caseload data'!M:M,'caseload data'!$B:$B,{"licence","community"},'caseload data'!$C:$C,'community %'!$T$50)),"")</f>
        <v/>
      </c>
      <c r="AD55" s="175" t="str">
        <f>IFERROR(SUM(SUMIFS('caseload data'!N:N,'caseload data'!$C:$C,'community %'!$T$50,'caseload data'!$D:$D,"SPO",'caseload data'!$B:$B,{"licence","community"}))/SUM(SUMIFS('caseload data'!N:N,'caseload data'!$B:$B,{"licence","community"},'caseload data'!$C:$C,'community %'!$T$50)),"")</f>
        <v/>
      </c>
      <c r="AE55" s="175" t="str">
        <f>IFERROR(SUM(SUMIFS('caseload data'!O:O,'caseload data'!$C:$C,'community %'!$T$50,'caseload data'!$D:$D,"SPO",'caseload data'!$B:$B,{"licence","community"}))/SUM(SUMIFS('caseload data'!O:O,'caseload data'!$B:$B,{"licence","community"},'caseload data'!$C:$C,'community %'!$T$50)),"")</f>
        <v/>
      </c>
      <c r="AF55" s="175" t="str">
        <f>IFERROR(SUM(SUMIFS('caseload data'!P:P,'caseload data'!$C:$C,'community %'!$T$50,'caseload data'!$D:$D,"SPO",'caseload data'!$B:$B,{"licence","community"}))/SUM(SUMIFS('caseload data'!P:P,'caseload data'!$B:$B,{"licence","community"},'caseload data'!$C:$C,'community %'!$T$50)),"")</f>
        <v/>
      </c>
      <c r="AG55" s="175" t="str">
        <f>IFERROR(SUM(SUMIFS('caseload data'!Q:Q,'caseload data'!$C:$C,'community %'!$T$50,'caseload data'!$D:$D,"SPO",'caseload data'!$B:$B,{"licence","community"}))/SUM(SUMIFS('caseload data'!Q:Q,'caseload data'!$B:$B,{"licence","community"},'caseload data'!$C:$C,'community %'!$T$50)),"")</f>
        <v/>
      </c>
      <c r="AH55" s="175" t="str">
        <f>IFERROR(SUM(SUMIFS('caseload data'!R:R,'caseload data'!$C:$C,'community %'!$T$50,'caseload data'!$D:$D,"SPO",'caseload data'!$B:$B,{"licence","community"}))/SUM(SUMIFS('caseload data'!R:R,'caseload data'!$B:$B,{"licence","community"},'caseload data'!$C:$C,'community %'!$T$50)),"")</f>
        <v/>
      </c>
      <c r="AI55" s="175" t="str">
        <f>IFERROR(SUM(SUMIFS('caseload data'!S:S,'caseload data'!$C:$C,'community %'!$T$50,'caseload data'!$D:$D,"SPO",'caseload data'!$B:$B,{"licence","community"}))/SUM(SUMIFS('caseload data'!S:S,'caseload data'!$B:$B,{"licence","community"},'caseload data'!$C:$C,'community %'!$T$50)),"")</f>
        <v/>
      </c>
      <c r="AJ55" s="175" t="str">
        <f>IFERROR(SUM(SUMIFS('caseload data'!T:T,'caseload data'!$C:$C,'community %'!$T$50,'caseload data'!$D:$D,"SPO",'caseload data'!$B:$B,{"licence","community"}))/SUM(SUMIFS('caseload data'!T:T,'caseload data'!$B:$B,{"licence","community"},'caseload data'!$C:$C,'community %'!$T$50)),"")</f>
        <v/>
      </c>
    </row>
    <row r="56" spans="2:36" x14ac:dyDescent="0.15">
      <c r="B56" s="95"/>
      <c r="C56" s="68"/>
      <c r="D56" s="68"/>
      <c r="E56" s="68"/>
      <c r="F56" s="68"/>
      <c r="G56" s="68"/>
      <c r="H56" s="68"/>
      <c r="I56" s="68"/>
      <c r="J56" s="68"/>
      <c r="K56" s="68"/>
      <c r="L56" s="68"/>
      <c r="M56" s="68"/>
      <c r="N56" s="68"/>
      <c r="O56" s="68"/>
      <c r="P56" s="68"/>
      <c r="Q56" s="68"/>
      <c r="R56" s="68"/>
      <c r="S56" s="68"/>
      <c r="T56" s="95"/>
      <c r="U56" s="68"/>
      <c r="V56" s="68"/>
      <c r="W56" s="68"/>
      <c r="X56" s="68"/>
      <c r="Y56" s="68"/>
      <c r="Z56" s="68"/>
      <c r="AA56" s="68"/>
      <c r="AB56" s="68"/>
      <c r="AC56" s="68"/>
      <c r="AD56" s="68"/>
      <c r="AE56" s="68"/>
      <c r="AF56" s="68"/>
      <c r="AG56" s="68"/>
      <c r="AH56" s="68"/>
      <c r="AI56" s="68"/>
      <c r="AJ56" s="68"/>
    </row>
    <row r="57" spans="2:36" ht="21" customHeight="1" x14ac:dyDescent="0.15">
      <c r="B57" s="302" t="str">
        <f>HLOOKUP($B$5,Region_Table,16,0)</f>
        <v>Lambeth - N07</v>
      </c>
      <c r="C57" s="459" t="s">
        <v>1313</v>
      </c>
      <c r="D57" s="460"/>
      <c r="E57" s="460"/>
      <c r="F57" s="460"/>
      <c r="G57" s="460"/>
      <c r="H57" s="460"/>
      <c r="I57" s="460"/>
      <c r="J57" s="460"/>
      <c r="K57" s="460"/>
      <c r="L57" s="460"/>
      <c r="M57" s="489"/>
      <c r="N57" s="489"/>
      <c r="O57" s="490"/>
      <c r="P57" s="462" cm="1">
        <f t="array" ref="P57">SUM(SUMIFS('caseload data'!V:V,'caseload data'!B:B,{"licence","community"},'caseload data'!$C:$C,B57))</f>
        <v>0</v>
      </c>
      <c r="Q57" s="479"/>
      <c r="R57" s="480"/>
      <c r="S57" s="68"/>
      <c r="T57" s="302" t="str">
        <f>HLOOKUP($B$5,Region_Table,17,0)</f>
        <v>Lewisham and Bromley</v>
      </c>
      <c r="U57" s="459" t="s">
        <v>1313</v>
      </c>
      <c r="V57" s="460"/>
      <c r="W57" s="460"/>
      <c r="X57" s="460"/>
      <c r="Y57" s="460"/>
      <c r="Z57" s="460"/>
      <c r="AA57" s="460"/>
      <c r="AB57" s="460"/>
      <c r="AC57" s="460"/>
      <c r="AD57" s="460"/>
      <c r="AE57" s="489"/>
      <c r="AF57" s="489"/>
      <c r="AG57" s="490"/>
      <c r="AH57" s="462" cm="1">
        <f t="array" ref="AH57">SUM(SUMIFS('caseload data'!V:V,'caseload data'!B:B,{"licence","community"},'caseload data'!$C:$C,T57))</f>
        <v>0</v>
      </c>
      <c r="AI57" s="479"/>
      <c r="AJ57" s="480"/>
    </row>
    <row r="58" spans="2:36" x14ac:dyDescent="0.15">
      <c r="B58" s="99" t="s">
        <v>1170</v>
      </c>
      <c r="C58" s="40" t="s">
        <v>1022</v>
      </c>
      <c r="D58" s="40" t="s">
        <v>1023</v>
      </c>
      <c r="E58" s="40" t="s">
        <v>1024</v>
      </c>
      <c r="F58" s="40" t="s">
        <v>1025</v>
      </c>
      <c r="G58" s="40" t="s">
        <v>1026</v>
      </c>
      <c r="H58" s="40" t="s">
        <v>1027</v>
      </c>
      <c r="I58" s="40" t="s">
        <v>1028</v>
      </c>
      <c r="J58" s="40" t="s">
        <v>1029</v>
      </c>
      <c r="K58" s="40" t="s">
        <v>1030</v>
      </c>
      <c r="L58" s="40" t="s">
        <v>1031</v>
      </c>
      <c r="M58" s="40" t="s">
        <v>1032</v>
      </c>
      <c r="N58" s="40" t="s">
        <v>1033</v>
      </c>
      <c r="O58" s="40" t="s">
        <v>1034</v>
      </c>
      <c r="P58" s="40" t="s">
        <v>1035</v>
      </c>
      <c r="Q58" s="40" t="s">
        <v>1036</v>
      </c>
      <c r="R58" s="40" t="s">
        <v>1037</v>
      </c>
      <c r="S58" s="68"/>
      <c r="T58" s="99" t="s">
        <v>1170</v>
      </c>
      <c r="U58" s="40" t="s">
        <v>1022</v>
      </c>
      <c r="V58" s="40" t="s">
        <v>1023</v>
      </c>
      <c r="W58" s="40" t="s">
        <v>1024</v>
      </c>
      <c r="X58" s="40" t="s">
        <v>1025</v>
      </c>
      <c r="Y58" s="40" t="s">
        <v>1026</v>
      </c>
      <c r="Z58" s="40" t="s">
        <v>1027</v>
      </c>
      <c r="AA58" s="40" t="s">
        <v>1028</v>
      </c>
      <c r="AB58" s="40" t="s">
        <v>1029</v>
      </c>
      <c r="AC58" s="40" t="s">
        <v>1030</v>
      </c>
      <c r="AD58" s="40" t="s">
        <v>1031</v>
      </c>
      <c r="AE58" s="40" t="s">
        <v>1032</v>
      </c>
      <c r="AF58" s="40" t="s">
        <v>1033</v>
      </c>
      <c r="AG58" s="40" t="s">
        <v>1034</v>
      </c>
      <c r="AH58" s="40" t="s">
        <v>1035</v>
      </c>
      <c r="AI58" s="40" t="s">
        <v>1036</v>
      </c>
      <c r="AJ58" s="40" t="s">
        <v>1037</v>
      </c>
    </row>
    <row r="59" spans="2:36" x14ac:dyDescent="0.15">
      <c r="B59" s="100" t="s">
        <v>1166</v>
      </c>
      <c r="C59" s="175" t="str">
        <f>IFERROR(SUM(SUMIFS('caseload data'!E:E,'caseload data'!$C:$C,'community %'!$B$57,'caseload data'!$D:$D,"PO",'caseload data'!$B:$B,{"licence","community"}))/SUM(SUMIFS('caseload data'!E:E,'caseload data'!$B:$B,{"licence","community"},'caseload data'!$C:$C,'community %'!$B$57)),"")</f>
        <v/>
      </c>
      <c r="D59" s="175" t="str">
        <f>IFERROR(SUM(SUMIFS('caseload data'!F:F,'caseload data'!$C:$C,'community %'!$B$57,'caseload data'!$D:$D,"PO",'caseload data'!$B:$B,{"licence","community"}))/SUM(SUMIFS('caseload data'!F:F,'caseload data'!$B:$B,{"licence","community"},'caseload data'!$C:$C,'community %'!$B$57)),"")</f>
        <v/>
      </c>
      <c r="E59" s="175" t="str">
        <f>IFERROR(SUM(SUMIFS('caseload data'!G:G,'caseload data'!$C:$C,'community %'!$B$57,'caseload data'!$D:$D,"PO",'caseload data'!$B:$B,{"licence","community"}))/SUM(SUMIFS('caseload data'!G:G,'caseload data'!$B:$B,{"licence","community"},'caseload data'!$C:$C,'community %'!$B$57)),"")</f>
        <v/>
      </c>
      <c r="F59" s="175" t="str">
        <f>IFERROR(SUM(SUMIFS('caseload data'!H:H,'caseload data'!$C:$C,'community %'!$B$57,'caseload data'!$D:$D,"PO",'caseload data'!$B:$B,{"licence","community"}))/SUM(SUMIFS('caseload data'!H:H,'caseload data'!$B:$B,{"licence","community"},'caseload data'!$C:$C,'community %'!$B$57)),"")</f>
        <v/>
      </c>
      <c r="G59" s="175" t="str">
        <f>IFERROR(SUM(SUMIFS('caseload data'!I:I,'caseload data'!$C:$C,'community %'!$B$57,'caseload data'!$D:$D,"PO",'caseload data'!$B:$B,{"licence","community"}))/SUM(SUMIFS('caseload data'!I:I,'caseload data'!$B:$B,{"licence","community"},'caseload data'!$C:$C,'community %'!$B$57)),"")</f>
        <v/>
      </c>
      <c r="H59" s="175" t="str">
        <f>IFERROR(SUM(SUMIFS('caseload data'!J:J,'caseload data'!$C:$C,'community %'!$B$57,'caseload data'!$D:$D,"PO",'caseload data'!$B:$B,{"licence","community"}))/SUM(SUMIFS('caseload data'!J:J,'caseload data'!$B:$B,{"licence","community"},'caseload data'!$C:$C,'community %'!$B$57)),"")</f>
        <v/>
      </c>
      <c r="I59" s="175" t="str">
        <f>IFERROR(SUM(SUMIFS('caseload data'!K:K,'caseload data'!$C:$C,'community %'!$B$57,'caseload data'!$D:$D,"PO",'caseload data'!$B:$B,{"licence","community"}))/SUM(SUMIFS('caseload data'!K:K,'caseload data'!$B:$B,{"licence","community"},'caseload data'!$C:$C,'community %'!$B$57)),"")</f>
        <v/>
      </c>
      <c r="J59" s="175" t="str">
        <f>IFERROR(SUM(SUMIFS('caseload data'!L:L,'caseload data'!$C:$C,'community %'!$B$57,'caseload data'!$D:$D,"PO",'caseload data'!$B:$B,{"licence","community"}))/SUM(SUMIFS('caseload data'!L:L,'caseload data'!$B:$B,{"licence","community"},'caseload data'!$C:$C,'community %'!$B$57)),"")</f>
        <v/>
      </c>
      <c r="K59" s="175" t="str">
        <f>IFERROR(SUM(SUMIFS('caseload data'!M:M,'caseload data'!$C:$C,'community %'!$B$57,'caseload data'!$D:$D,"PO",'caseload data'!$B:$B,{"licence","community"}))/SUM(SUMIFS('caseload data'!M:M,'caseload data'!$B:$B,{"licence","community"},'caseload data'!$C:$C,'community %'!$B$57)),"")</f>
        <v/>
      </c>
      <c r="L59" s="175" t="str">
        <f>IFERROR(SUM(SUMIFS('caseload data'!N:N,'caseload data'!$C:$C,'community %'!$B$57,'caseload data'!$D:$D,"PO",'caseload data'!$B:$B,{"licence","community"}))/SUM(SUMIFS('caseload data'!N:N,'caseload data'!$B:$B,{"licence","community"},'caseload data'!$C:$C,'community %'!$B$57)),"")</f>
        <v/>
      </c>
      <c r="M59" s="175" t="str">
        <f>IFERROR(SUM(SUMIFS('caseload data'!O:O,'caseload data'!$C:$C,'community %'!$B$57,'caseload data'!$D:$D,"PO",'caseload data'!$B:$B,{"licence","community"}))/SUM(SUMIFS('caseload data'!O:O,'caseload data'!$B:$B,{"licence","community"},'caseload data'!$C:$C,'community %'!$B$57)),"")</f>
        <v/>
      </c>
      <c r="N59" s="175" t="str">
        <f>IFERROR(SUM(SUMIFS('caseload data'!P:P,'caseload data'!$C:$C,'community %'!$B$57,'caseload data'!$D:$D,"PO",'caseload data'!$B:$B,{"licence","community"}))/SUM(SUMIFS('caseload data'!P:P,'caseload data'!$B:$B,{"licence","community"},'caseload data'!$C:$C,'community %'!$B$57)),"")</f>
        <v/>
      </c>
      <c r="O59" s="175" t="str">
        <f>IFERROR(SUM(SUMIFS('caseload data'!Q:Q,'caseload data'!$C:$C,'community %'!$B$57,'caseload data'!$D:$D,"PO",'caseload data'!$B:$B,{"licence","community"}))/SUM(SUMIFS('caseload data'!Q:Q,'caseload data'!$B:$B,{"licence","community"},'caseload data'!$C:$C,'community %'!$B$57)),"")</f>
        <v/>
      </c>
      <c r="P59" s="175" t="str">
        <f>IFERROR(SUM(SUMIFS('caseload data'!R:R,'caseload data'!$C:$C,'community %'!$B$57,'caseload data'!$D:$D,"PO",'caseload data'!$B:$B,{"licence","community"}))/SUM(SUMIFS('caseload data'!R:R,'caseload data'!$B:$B,{"licence","community"},'caseload data'!$C:$C,'community %'!$B$57)),"")</f>
        <v/>
      </c>
      <c r="Q59" s="175" t="str">
        <f>IFERROR(SUM(SUMIFS('caseload data'!S:S,'caseload data'!$C:$C,'community %'!$B$57,'caseload data'!$D:$D,"PO",'caseload data'!$B:$B,{"licence","community"}))/SUM(SUMIFS('caseload data'!S:S,'caseload data'!$B:$B,{"licence","community"},'caseload data'!$C:$C,'community %'!$B$57)),"")</f>
        <v/>
      </c>
      <c r="R59" s="175" t="str">
        <f>IFERROR(SUM(SUMIFS('caseload data'!T:T,'caseload data'!$C:$C,'community %'!$B$57,'caseload data'!$D:$D,"PO",'caseload data'!$B:$B,{"licence","community"}))/SUM(SUMIFS('caseload data'!T:T,'caseload data'!$B:$B,{"licence","community"},'caseload data'!$C:$C,'community %'!$B$57)),"")</f>
        <v/>
      </c>
      <c r="S59" s="68"/>
      <c r="T59" s="100" t="s">
        <v>1166</v>
      </c>
      <c r="U59" s="175" t="str">
        <f>IFERROR(SUM(SUMIFS('caseload data'!E:E,'caseload data'!$C:$C,'community %'!$T$57,'caseload data'!$D:$D,"PO",'caseload data'!$B:$B,{"licence","community"}))/SUM(SUMIFS('caseload data'!E:E,'caseload data'!$B:$B,{"licence","community"},'caseload data'!$C:$C,'community %'!$T$57)),"")</f>
        <v/>
      </c>
      <c r="V59" s="175" t="str">
        <f>IFERROR(SUM(SUMIFS('caseload data'!F:F,'caseload data'!$C:$C,'community %'!$T$57,'caseload data'!$D:$D,"PO",'caseload data'!$B:$B,{"licence","community"}))/SUM(SUMIFS('caseload data'!F:F,'caseload data'!$B:$B,{"licence","community"},'caseload data'!$C:$C,'community %'!$T$57)),"")</f>
        <v/>
      </c>
      <c r="W59" s="175" t="str">
        <f>IFERROR(SUM(SUMIFS('caseload data'!G:G,'caseload data'!$C:$C,'community %'!$T$57,'caseload data'!$D:$D,"PO",'caseload data'!$B:$B,{"licence","community"}))/SUM(SUMIFS('caseload data'!G:G,'caseload data'!$B:$B,{"licence","community"},'caseload data'!$C:$C,'community %'!$T$57)),"")</f>
        <v/>
      </c>
      <c r="X59" s="175" t="str">
        <f>IFERROR(SUM(SUMIFS('caseload data'!H:H,'caseload data'!$C:$C,'community %'!$T$57,'caseload data'!$D:$D,"PO",'caseload data'!$B:$B,{"licence","community"}))/SUM(SUMIFS('caseload data'!H:H,'caseload data'!$B:$B,{"licence","community"},'caseload data'!$C:$C,'community %'!$T$57)),"")</f>
        <v/>
      </c>
      <c r="Y59" s="175" t="str">
        <f>IFERROR(SUM(SUMIFS('caseload data'!I:I,'caseload data'!$C:$C,'community %'!$T$57,'caseload data'!$D:$D,"PO",'caseload data'!$B:$B,{"licence","community"}))/SUM(SUMIFS('caseload data'!I:I,'caseload data'!$B:$B,{"licence","community"},'caseload data'!$C:$C,'community %'!$T$57)),"")</f>
        <v/>
      </c>
      <c r="Z59" s="175" t="str">
        <f>IFERROR(SUM(SUMIFS('caseload data'!J:J,'caseload data'!$C:$C,'community %'!$T$57,'caseload data'!$D:$D,"PO",'caseload data'!$B:$B,{"licence","community"}))/SUM(SUMIFS('caseload data'!J:J,'caseload data'!$B:$B,{"licence","community"},'caseload data'!$C:$C,'community %'!$T$57)),"")</f>
        <v/>
      </c>
      <c r="AA59" s="175" t="str">
        <f>IFERROR(SUM(SUMIFS('caseload data'!K:K,'caseload data'!$C:$C,'community %'!$T$57,'caseload data'!$D:$D,"PO",'caseload data'!$B:$B,{"licence","community"}))/SUM(SUMIFS('caseload data'!K:K,'caseload data'!$B:$B,{"licence","community"},'caseload data'!$C:$C,'community %'!$T$57)),"")</f>
        <v/>
      </c>
      <c r="AB59" s="175" t="str">
        <f>IFERROR(SUM(SUMIFS('caseload data'!L:L,'caseload data'!$C:$C,'community %'!$T$57,'caseload data'!$D:$D,"PO",'caseload data'!$B:$B,{"licence","community"}))/SUM(SUMIFS('caseload data'!L:L,'caseload data'!$B:$B,{"licence","community"},'caseload data'!$C:$C,'community %'!$T$57)),"")</f>
        <v/>
      </c>
      <c r="AC59" s="175" t="str">
        <f>IFERROR(SUM(SUMIFS('caseload data'!M:M,'caseload data'!$C:$C,'community %'!$T$57,'caseload data'!$D:$D,"PO",'caseload data'!$B:$B,{"licence","community"}))/SUM(SUMIFS('caseload data'!M:M,'caseload data'!$B:$B,{"licence","community"},'caseload data'!$C:$C,'community %'!$T$57)),"")</f>
        <v/>
      </c>
      <c r="AD59" s="175" t="str">
        <f>IFERROR(SUM(SUMIFS('caseload data'!N:N,'caseload data'!$C:$C,'community %'!$T$57,'caseload data'!$D:$D,"PO",'caseload data'!$B:$B,{"licence","community"}))/SUM(SUMIFS('caseload data'!N:N,'caseload data'!$B:$B,{"licence","community"},'caseload data'!$C:$C,'community %'!$T$57)),"")</f>
        <v/>
      </c>
      <c r="AE59" s="175" t="str">
        <f>IFERROR(SUM(SUMIFS('caseload data'!O:O,'caseload data'!$C:$C,'community %'!$T$57,'caseload data'!$D:$D,"PO",'caseload data'!$B:$B,{"licence","community"}))/SUM(SUMIFS('caseload data'!O:O,'caseload data'!$B:$B,{"licence","community"},'caseload data'!$C:$C,'community %'!$T$57)),"")</f>
        <v/>
      </c>
      <c r="AF59" s="175" t="str">
        <f>IFERROR(SUM(SUMIFS('caseload data'!P:P,'caseload data'!$C:$C,'community %'!$T$57,'caseload data'!$D:$D,"PO",'caseload data'!$B:$B,{"licence","community"}))/SUM(SUMIFS('caseload data'!P:P,'caseload data'!$B:$B,{"licence","community"},'caseload data'!$C:$C,'community %'!$T$57)),"")</f>
        <v/>
      </c>
      <c r="AG59" s="175" t="str">
        <f>IFERROR(SUM(SUMIFS('caseload data'!Q:Q,'caseload data'!$C:$C,'community %'!$T$57,'caseload data'!$D:$D,"PO",'caseload data'!$B:$B,{"licence","community"}))/SUM(SUMIFS('caseload data'!Q:Q,'caseload data'!$B:$B,{"licence","community"},'caseload data'!$C:$C,'community %'!$T$57)),"")</f>
        <v/>
      </c>
      <c r="AH59" s="175" t="str">
        <f>IFERROR(SUM(SUMIFS('caseload data'!R:R,'caseload data'!$C:$C,'community %'!$T$57,'caseload data'!$D:$D,"PO",'caseload data'!$B:$B,{"licence","community"}))/SUM(SUMIFS('caseload data'!R:R,'caseload data'!$B:$B,{"licence","community"},'caseload data'!$C:$C,'community %'!$T$57)),"")</f>
        <v/>
      </c>
      <c r="AI59" s="175" t="str">
        <f>IFERROR(SUM(SUMIFS('caseload data'!S:S,'caseload data'!$C:$C,'community %'!$T$57,'caseload data'!$D:$D,"PO",'caseload data'!$B:$B,{"licence","community"}))/SUM(SUMIFS('caseload data'!S:S,'caseload data'!$B:$B,{"licence","community"},'caseload data'!$C:$C,'community %'!$T$57)),"")</f>
        <v/>
      </c>
      <c r="AJ59" s="175" t="str">
        <f>IFERROR(SUM(SUMIFS('caseload data'!T:T,'caseload data'!$C:$C,'community %'!$T$57,'caseload data'!$D:$D,"PO",'caseload data'!$B:$B,{"licence","community"}))/SUM(SUMIFS('caseload data'!T:T,'caseload data'!$B:$B,{"licence","community"},'caseload data'!$C:$C,'community %'!$T$57)),"")</f>
        <v/>
      </c>
    </row>
    <row r="60" spans="2:36" x14ac:dyDescent="0.15">
      <c r="B60" s="101" t="s">
        <v>1172</v>
      </c>
      <c r="C60" s="175" t="str">
        <f>IFERROR(SUM(SUMIFS('caseload data'!E:E,'caseload data'!$C:$C,'community %'!$B$57,'caseload data'!$D:$D,"PSO",'caseload data'!$B:$B,{"licence","community"}))/SUM(SUMIFS('caseload data'!E:E,'caseload data'!$B:$B,{"licence","community"},'caseload data'!$C:$C,'community %'!$B$57)),"")</f>
        <v/>
      </c>
      <c r="D60" s="175" t="str">
        <f>IFERROR(SUM(SUMIFS('caseload data'!F:F,'caseload data'!$C:$C,'community %'!$B$57,'caseload data'!$D:$D,"PSO",'caseload data'!$B:$B,{"licence","community"}))/SUM(SUMIFS('caseload data'!F:F,'caseload data'!$B:$B,{"licence","community"},'caseload data'!$C:$C,'community %'!$B$57)),"")</f>
        <v/>
      </c>
      <c r="E60" s="175" t="str">
        <f>IFERROR(SUM(SUMIFS('caseload data'!G:G,'caseload data'!$C:$C,'community %'!$B$57,'caseload data'!$D:$D,"PSO",'caseload data'!$B:$B,{"licence","community"}))/SUM(SUMIFS('caseload data'!G:G,'caseload data'!$B:$B,{"licence","community"},'caseload data'!$C:$C,'community %'!$B$57)),"")</f>
        <v/>
      </c>
      <c r="F60" s="175" t="str">
        <f>IFERROR(SUM(SUMIFS('caseload data'!H:H,'caseload data'!$C:$C,'community %'!$B$57,'caseload data'!$D:$D,"PSO",'caseload data'!$B:$B,{"licence","community"}))/SUM(SUMIFS('caseload data'!H:H,'caseload data'!$B:$B,{"licence","community"},'caseload data'!$C:$C,'community %'!$B$57)),"")</f>
        <v/>
      </c>
      <c r="G60" s="175" t="str">
        <f>IFERROR(SUM(SUMIFS('caseload data'!I:I,'caseload data'!$C:$C,'community %'!$B$57,'caseload data'!$D:$D,"PSO",'caseload data'!$B:$B,{"licence","community"}))/SUM(SUMIFS('caseload data'!I:I,'caseload data'!$B:$B,{"licence","community"},'caseload data'!$C:$C,'community %'!$B$57)),"")</f>
        <v/>
      </c>
      <c r="H60" s="175" t="str">
        <f>IFERROR(SUM(SUMIFS('caseload data'!J:J,'caseload data'!$C:$C,'community %'!$B$57,'caseload data'!$D:$D,"PSO",'caseload data'!$B:$B,{"licence","community"}))/SUM(SUMIFS('caseload data'!J:J,'caseload data'!$B:$B,{"licence","community"},'caseload data'!$C:$C,'community %'!$B$57)),"")</f>
        <v/>
      </c>
      <c r="I60" s="175" t="str">
        <f>IFERROR(SUM(SUMIFS('caseload data'!K:K,'caseload data'!$C:$C,'community %'!$B$57,'caseload data'!$D:$D,"PSO",'caseload data'!$B:$B,{"licence","community"}))/SUM(SUMIFS('caseload data'!K:K,'caseload data'!$B:$B,{"licence","community"},'caseload data'!$C:$C,'community %'!$B$57)),"")</f>
        <v/>
      </c>
      <c r="J60" s="175" t="str">
        <f>IFERROR(SUM(SUMIFS('caseload data'!L:L,'caseload data'!$C:$C,'community %'!$B$57,'caseload data'!$D:$D,"PSO",'caseload data'!$B:$B,{"licence","community"}))/SUM(SUMIFS('caseload data'!L:L,'caseload data'!$B:$B,{"licence","community"},'caseload data'!$C:$C,'community %'!$B$57)),"")</f>
        <v/>
      </c>
      <c r="K60" s="175" t="str">
        <f>IFERROR(SUM(SUMIFS('caseload data'!M:M,'caseload data'!$C:$C,'community %'!$B$57,'caseload data'!$D:$D,"PSO",'caseload data'!$B:$B,{"licence","community"}))/SUM(SUMIFS('caseload data'!M:M,'caseload data'!$B:$B,{"licence","community"},'caseload data'!$C:$C,'community %'!$B$57)),"")</f>
        <v/>
      </c>
      <c r="L60" s="175" t="str">
        <f>IFERROR(SUM(SUMIFS('caseload data'!N:N,'caseload data'!$C:$C,'community %'!$B$57,'caseload data'!$D:$D,"PSO",'caseload data'!$B:$B,{"licence","community"}))/SUM(SUMIFS('caseload data'!N:N,'caseload data'!$B:$B,{"licence","community"},'caseload data'!$C:$C,'community %'!$B$57)),"")</f>
        <v/>
      </c>
      <c r="M60" s="175" t="str">
        <f>IFERROR(SUM(SUMIFS('caseload data'!O:O,'caseload data'!$C:$C,'community %'!$B$57,'caseload data'!$D:$D,"PSO",'caseload data'!$B:$B,{"licence","community"}))/SUM(SUMIFS('caseload data'!O:O,'caseload data'!$B:$B,{"licence","community"},'caseload data'!$C:$C,'community %'!$B$57)),"")</f>
        <v/>
      </c>
      <c r="N60" s="175" t="str">
        <f>IFERROR(SUM(SUMIFS('caseload data'!P:P,'caseload data'!$C:$C,'community %'!$B$57,'caseload data'!$D:$D,"PSO",'caseload data'!$B:$B,{"licence","community"}))/SUM(SUMIFS('caseload data'!P:P,'caseload data'!$B:$B,{"licence","community"},'caseload data'!$C:$C,'community %'!$B$57)),"")</f>
        <v/>
      </c>
      <c r="O60" s="175" t="str">
        <f>IFERROR(SUM(SUMIFS('caseload data'!Q:Q,'caseload data'!$C:$C,'community %'!$B$57,'caseload data'!$D:$D,"PSO",'caseload data'!$B:$B,{"licence","community"}))/SUM(SUMIFS('caseload data'!Q:Q,'caseload data'!$B:$B,{"licence","community"},'caseload data'!$C:$C,'community %'!$B$57)),"")</f>
        <v/>
      </c>
      <c r="P60" s="175" t="str">
        <f>IFERROR(SUM(SUMIFS('caseload data'!R:R,'caseload data'!$C:$C,'community %'!$B$57,'caseload data'!$D:$D,"PSO",'caseload data'!$B:$B,{"licence","community"}))/SUM(SUMIFS('caseload data'!R:R,'caseload data'!$B:$B,{"licence","community"},'caseload data'!$C:$C,'community %'!$B$57)),"")</f>
        <v/>
      </c>
      <c r="Q60" s="175" t="str">
        <f>IFERROR(SUM(SUMIFS('caseload data'!S:S,'caseload data'!$C:$C,'community %'!$B$57,'caseload data'!$D:$D,"PSO",'caseload data'!$B:$B,{"licence","community"}))/SUM(SUMIFS('caseload data'!S:S,'caseload data'!$B:$B,{"licence","community"},'caseload data'!$C:$C,'community %'!$B$57)),"")</f>
        <v/>
      </c>
      <c r="R60" s="175" t="str">
        <f>IFERROR(SUM(SUMIFS('caseload data'!T:T,'caseload data'!$C:$C,'community %'!$B$57,'caseload data'!$D:$D,"PSO",'caseload data'!$B:$B,{"licence","community"}))/SUM(SUMIFS('caseload data'!T:T,'caseload data'!$B:$B,{"licence","community"},'caseload data'!$C:$C,'community %'!$B$57)),"")</f>
        <v/>
      </c>
      <c r="S60" s="68"/>
      <c r="T60" s="101" t="s">
        <v>1172</v>
      </c>
      <c r="U60" s="175" t="str">
        <f>IFERROR(SUM(SUMIFS('caseload data'!E:E,'caseload data'!$C:$C,'community %'!$T$57,'caseload data'!$D:$D,"PSO",'caseload data'!$B:$B,{"licence","community"}))/SUM(SUMIFS('caseload data'!E:E,'caseload data'!$B:$B,{"licence","community"},'caseload data'!$C:$C,'community %'!$T$57)),"")</f>
        <v/>
      </c>
      <c r="V60" s="175" t="str">
        <f>IFERROR(SUM(SUMIFS('caseload data'!F:F,'caseload data'!$C:$C,'community %'!$T$57,'caseload data'!$D:$D,"PSO",'caseload data'!$B:$B,{"licence","community"}))/SUM(SUMIFS('caseload data'!F:F,'caseload data'!$B:$B,{"licence","community"},'caseload data'!$C:$C,'community %'!$T$57)),"")</f>
        <v/>
      </c>
      <c r="W60" s="175" t="str">
        <f>IFERROR(SUM(SUMIFS('caseload data'!G:G,'caseload data'!$C:$C,'community %'!$T$57,'caseload data'!$D:$D,"PSO",'caseload data'!$B:$B,{"licence","community"}))/SUM(SUMIFS('caseload data'!G:G,'caseload data'!$B:$B,{"licence","community"},'caseload data'!$C:$C,'community %'!$T$57)),"")</f>
        <v/>
      </c>
      <c r="X60" s="175" t="str">
        <f>IFERROR(SUM(SUMIFS('caseload data'!H:H,'caseload data'!$C:$C,'community %'!$T$57,'caseload data'!$D:$D,"PSO",'caseload data'!$B:$B,{"licence","community"}))/SUM(SUMIFS('caseload data'!H:H,'caseload data'!$B:$B,{"licence","community"},'caseload data'!$C:$C,'community %'!$T$57)),"")</f>
        <v/>
      </c>
      <c r="Y60" s="175" t="str">
        <f>IFERROR(SUM(SUMIFS('caseload data'!I:I,'caseload data'!$C:$C,'community %'!$T$57,'caseload data'!$D:$D,"PSO",'caseload data'!$B:$B,{"licence","community"}))/SUM(SUMIFS('caseload data'!I:I,'caseload data'!$B:$B,{"licence","community"},'caseload data'!$C:$C,'community %'!$T$57)),"")</f>
        <v/>
      </c>
      <c r="Z60" s="175" t="str">
        <f>IFERROR(SUM(SUMIFS('caseload data'!J:J,'caseload data'!$C:$C,'community %'!$T$57,'caseload data'!$D:$D,"PSO",'caseload data'!$B:$B,{"licence","community"}))/SUM(SUMIFS('caseload data'!J:J,'caseload data'!$B:$B,{"licence","community"},'caseload data'!$C:$C,'community %'!$T$57)),"")</f>
        <v/>
      </c>
      <c r="AA60" s="175" t="str">
        <f>IFERROR(SUM(SUMIFS('caseload data'!K:K,'caseload data'!$C:$C,'community %'!$T$57,'caseload data'!$D:$D,"PSO",'caseload data'!$B:$B,{"licence","community"}))/SUM(SUMIFS('caseload data'!K:K,'caseload data'!$B:$B,{"licence","community"},'caseload data'!$C:$C,'community %'!$T$57)),"")</f>
        <v/>
      </c>
      <c r="AB60" s="175" t="str">
        <f>IFERROR(SUM(SUMIFS('caseload data'!L:L,'caseload data'!$C:$C,'community %'!$T$57,'caseload data'!$D:$D,"PSO",'caseload data'!$B:$B,{"licence","community"}))/SUM(SUMIFS('caseload data'!L:L,'caseload data'!$B:$B,{"licence","community"},'caseload data'!$C:$C,'community %'!$T$57)),"")</f>
        <v/>
      </c>
      <c r="AC60" s="175" t="str">
        <f>IFERROR(SUM(SUMIFS('caseload data'!M:M,'caseload data'!$C:$C,'community %'!$T$57,'caseload data'!$D:$D,"PSO",'caseload data'!$B:$B,{"licence","community"}))/SUM(SUMIFS('caseload data'!M:M,'caseload data'!$B:$B,{"licence","community"},'caseload data'!$C:$C,'community %'!$T$57)),"")</f>
        <v/>
      </c>
      <c r="AD60" s="175" t="str">
        <f>IFERROR(SUM(SUMIFS('caseload data'!N:N,'caseload data'!$C:$C,'community %'!$T$57,'caseload data'!$D:$D,"PSO",'caseload data'!$B:$B,{"licence","community"}))/SUM(SUMIFS('caseload data'!N:N,'caseload data'!$B:$B,{"licence","community"},'caseload data'!$C:$C,'community %'!$T$57)),"")</f>
        <v/>
      </c>
      <c r="AE60" s="175" t="str">
        <f>IFERROR(SUM(SUMIFS('caseload data'!O:O,'caseload data'!$C:$C,'community %'!$T$57,'caseload data'!$D:$D,"PSO",'caseload data'!$B:$B,{"licence","community"}))/SUM(SUMIFS('caseload data'!O:O,'caseload data'!$B:$B,{"licence","community"},'caseload data'!$C:$C,'community %'!$T$57)),"")</f>
        <v/>
      </c>
      <c r="AF60" s="175" t="str">
        <f>IFERROR(SUM(SUMIFS('caseload data'!P:P,'caseload data'!$C:$C,'community %'!$T$57,'caseload data'!$D:$D,"PSO",'caseload data'!$B:$B,{"licence","community"}))/SUM(SUMIFS('caseload data'!P:P,'caseload data'!$B:$B,{"licence","community"},'caseload data'!$C:$C,'community %'!$T$57)),"")</f>
        <v/>
      </c>
      <c r="AG60" s="175" t="str">
        <f>IFERROR(SUM(SUMIFS('caseload data'!Q:Q,'caseload data'!$C:$C,'community %'!$T$57,'caseload data'!$D:$D,"PSO",'caseload data'!$B:$B,{"licence","community"}))/SUM(SUMIFS('caseload data'!Q:Q,'caseload data'!$B:$B,{"licence","community"},'caseload data'!$C:$C,'community %'!$T$57)),"")</f>
        <v/>
      </c>
      <c r="AH60" s="175" t="str">
        <f>IFERROR(SUM(SUMIFS('caseload data'!R:R,'caseload data'!$C:$C,'community %'!$T$57,'caseload data'!$D:$D,"PSO",'caseload data'!$B:$B,{"licence","community"}))/SUM(SUMIFS('caseload data'!R:R,'caseload data'!$B:$B,{"licence","community"},'caseload data'!$C:$C,'community %'!$T$57)),"")</f>
        <v/>
      </c>
      <c r="AI60" s="175" t="str">
        <f>IFERROR(SUM(SUMIFS('caseload data'!S:S,'caseload data'!$C:$C,'community %'!$T$57,'caseload data'!$D:$D,"PSO",'caseload data'!$B:$B,{"licence","community"}))/SUM(SUMIFS('caseload data'!S:S,'caseload data'!$B:$B,{"licence","community"},'caseload data'!$C:$C,'community %'!$T$57)),"")</f>
        <v/>
      </c>
      <c r="AJ60" s="175" t="str">
        <f>IFERROR(SUM(SUMIFS('caseload data'!T:T,'caseload data'!$C:$C,'community %'!$T$57,'caseload data'!$D:$D,"PSO",'caseload data'!$B:$B,{"licence","community"}))/SUM(SUMIFS('caseload data'!T:T,'caseload data'!$B:$B,{"licence","community"},'caseload data'!$C:$C,'community %'!$T$57)),"")</f>
        <v/>
      </c>
    </row>
    <row r="61" spans="2:36" x14ac:dyDescent="0.15">
      <c r="B61" s="101" t="s">
        <v>1173</v>
      </c>
      <c r="C61" s="175" t="str">
        <f>IFERROR(SUM(SUMIFS('caseload data'!E:E,'caseload data'!$C:$C,'community %'!$B$57,'caseload data'!$D:$D,"TPO",'caseload data'!$B:$B,{"licence","community"}))/SUM(SUMIFS('caseload data'!E:E,'caseload data'!$B:$B,{"licence","community"},'caseload data'!$C:$C,'community %'!$B$57)),"")</f>
        <v/>
      </c>
      <c r="D61" s="175" t="str">
        <f>IFERROR(SUM(SUMIFS('caseload data'!F:F,'caseload data'!$C:$C,'community %'!$B$57,'caseload data'!$D:$D,"TPO",'caseload data'!$B:$B,{"licence","community"}))/SUM(SUMIFS('caseload data'!F:F,'caseload data'!$B:$B,{"licence","community"},'caseload data'!$C:$C,'community %'!$B$57)),"")</f>
        <v/>
      </c>
      <c r="E61" s="175" t="str">
        <f>IFERROR(SUM(SUMIFS('caseload data'!G:G,'caseload data'!$C:$C,'community %'!$B$57,'caseload data'!$D:$D,"TPO",'caseload data'!$B:$B,{"licence","community"}))/SUM(SUMIFS('caseload data'!G:G,'caseload data'!$B:$B,{"licence","community"},'caseload data'!$C:$C,'community %'!$B$57)),"")</f>
        <v/>
      </c>
      <c r="F61" s="175" t="str">
        <f>IFERROR(SUM(SUMIFS('caseload data'!H:H,'caseload data'!$C:$C,'community %'!$B$57,'caseload data'!$D:$D,"TPO",'caseload data'!$B:$B,{"licence","community"}))/SUM(SUMIFS('caseload data'!H:H,'caseload data'!$B:$B,{"licence","community"},'caseload data'!$C:$C,'community %'!$B$57)),"")</f>
        <v/>
      </c>
      <c r="G61" s="175" t="str">
        <f>IFERROR(SUM(SUMIFS('caseload data'!I:I,'caseload data'!$C:$C,'community %'!$B$57,'caseload data'!$D:$D,"TPO",'caseload data'!$B:$B,{"licence","community"}))/SUM(SUMIFS('caseload data'!I:I,'caseload data'!$B:$B,{"licence","community"},'caseload data'!$C:$C,'community %'!$B$57)),"")</f>
        <v/>
      </c>
      <c r="H61" s="175" t="str">
        <f>IFERROR(SUM(SUMIFS('caseload data'!J:J,'caseload data'!$C:$C,'community %'!$B$57,'caseload data'!$D:$D,"TPO",'caseload data'!$B:$B,{"licence","community"}))/SUM(SUMIFS('caseload data'!J:J,'caseload data'!$B:$B,{"licence","community"},'caseload data'!$C:$C,'community %'!$B$57)),"")</f>
        <v/>
      </c>
      <c r="I61" s="175" t="str">
        <f>IFERROR(SUM(SUMIFS('caseload data'!K:K,'caseload data'!$C:$C,'community %'!$B$57,'caseload data'!$D:$D,"TPO",'caseload data'!$B:$B,{"licence","community"}))/SUM(SUMIFS('caseload data'!K:K,'caseload data'!$B:$B,{"licence","community"},'caseload data'!$C:$C,'community %'!$B$57)),"")</f>
        <v/>
      </c>
      <c r="J61" s="175" t="str">
        <f>IFERROR(SUM(SUMIFS('caseload data'!L:L,'caseload data'!$C:$C,'community %'!$B$57,'caseload data'!$D:$D,"TPO",'caseload data'!$B:$B,{"licence","community"}))/SUM(SUMIFS('caseload data'!L:L,'caseload data'!$B:$B,{"licence","community"},'caseload data'!$C:$C,'community %'!$B$57)),"")</f>
        <v/>
      </c>
      <c r="K61" s="175" t="str">
        <f>IFERROR(SUM(SUMIFS('caseload data'!M:M,'caseload data'!$C:$C,'community %'!$B$57,'caseload data'!$D:$D,"TPO",'caseload data'!$B:$B,{"licence","community"}))/SUM(SUMIFS('caseload data'!M:M,'caseload data'!$B:$B,{"licence","community"},'caseload data'!$C:$C,'community %'!$B$57)),"")</f>
        <v/>
      </c>
      <c r="L61" s="175" t="str">
        <f>IFERROR(SUM(SUMIFS('caseload data'!N:N,'caseload data'!$C:$C,'community %'!$B$57,'caseload data'!$D:$D,"TPO",'caseload data'!$B:$B,{"licence","community"}))/SUM(SUMIFS('caseload data'!N:N,'caseload data'!$B:$B,{"licence","community"},'caseload data'!$C:$C,'community %'!$B$57)),"")</f>
        <v/>
      </c>
      <c r="M61" s="175" t="str">
        <f>IFERROR(SUM(SUMIFS('caseload data'!O:O,'caseload data'!$C:$C,'community %'!$B$57,'caseload data'!$D:$D,"TPO",'caseload data'!$B:$B,{"licence","community"}))/SUM(SUMIFS('caseload data'!O:O,'caseload data'!$B:$B,{"licence","community"},'caseload data'!$C:$C,'community %'!$B$57)),"")</f>
        <v/>
      </c>
      <c r="N61" s="175" t="str">
        <f>IFERROR(SUM(SUMIFS('caseload data'!P:P,'caseload data'!$C:$C,'community %'!$B$57,'caseload data'!$D:$D,"TPO",'caseload data'!$B:$B,{"licence","community"}))/SUM(SUMIFS('caseload data'!P:P,'caseload data'!$B:$B,{"licence","community"},'caseload data'!$C:$C,'community %'!$B$57)),"")</f>
        <v/>
      </c>
      <c r="O61" s="175" t="str">
        <f>IFERROR(SUM(SUMIFS('caseload data'!Q:Q,'caseload data'!$C:$C,'community %'!$B$57,'caseload data'!$D:$D,"TPO",'caseload data'!$B:$B,{"licence","community"}))/SUM(SUMIFS('caseload data'!Q:Q,'caseload data'!$B:$B,{"licence","community"},'caseload data'!$C:$C,'community %'!$B$57)),"")</f>
        <v/>
      </c>
      <c r="P61" s="175" t="str">
        <f>IFERROR(SUM(SUMIFS('caseload data'!R:R,'caseload data'!$C:$C,'community %'!$B$57,'caseload data'!$D:$D,"TPO",'caseload data'!$B:$B,{"licence","community"}))/SUM(SUMIFS('caseload data'!R:R,'caseload data'!$B:$B,{"licence","community"},'caseload data'!$C:$C,'community %'!$B$57)),"")</f>
        <v/>
      </c>
      <c r="Q61" s="175" t="str">
        <f>IFERROR(SUM(SUMIFS('caseload data'!S:S,'caseload data'!$C:$C,'community %'!$B$57,'caseload data'!$D:$D,"TPO",'caseload data'!$B:$B,{"licence","community"}))/SUM(SUMIFS('caseload data'!S:S,'caseload data'!$B:$B,{"licence","community"},'caseload data'!$C:$C,'community %'!$B$57)),"")</f>
        <v/>
      </c>
      <c r="R61" s="175" t="str">
        <f>IFERROR(SUM(SUMIFS('caseload data'!T:T,'caseload data'!$C:$C,'community %'!$B$57,'caseload data'!$D:$D,"TPO",'caseload data'!$B:$B,{"licence","community"}))/SUM(SUMIFS('caseload data'!T:T,'caseload data'!$B:$B,{"licence","community"},'caseload data'!$C:$C,'community %'!$B$57)),"")</f>
        <v/>
      </c>
      <c r="S61" s="68"/>
      <c r="T61" s="101" t="s">
        <v>1173</v>
      </c>
      <c r="U61" s="175" t="str">
        <f>IFERROR(SUM(SUMIFS('caseload data'!E:E,'caseload data'!$C:$C,'community %'!$T$57,'caseload data'!$D:$D,"TPO",'caseload data'!$B:$B,{"licence","community"}))/SUM(SUMIFS('caseload data'!E:E,'caseload data'!$B:$B,{"licence","community"},'caseload data'!$C:$C,'community %'!$T$57)),"")</f>
        <v/>
      </c>
      <c r="V61" s="175" t="str">
        <f>IFERROR(SUM(SUMIFS('caseload data'!F:F,'caseload data'!$C:$C,'community %'!$T$57,'caseload data'!$D:$D,"TPO",'caseload data'!$B:$B,{"licence","community"}))/SUM(SUMIFS('caseload data'!F:F,'caseload data'!$B:$B,{"licence","community"},'caseload data'!$C:$C,'community %'!$T$57)),"")</f>
        <v/>
      </c>
      <c r="W61" s="175" t="str">
        <f>IFERROR(SUM(SUMIFS('caseload data'!G:G,'caseload data'!$C:$C,'community %'!$T$57,'caseload data'!$D:$D,"TPO",'caseload data'!$B:$B,{"licence","community"}))/SUM(SUMIFS('caseload data'!G:G,'caseload data'!$B:$B,{"licence","community"},'caseload data'!$C:$C,'community %'!$T$57)),"")</f>
        <v/>
      </c>
      <c r="X61" s="175" t="str">
        <f>IFERROR(SUM(SUMIFS('caseload data'!H:H,'caseload data'!$C:$C,'community %'!$T$57,'caseload data'!$D:$D,"TPO",'caseload data'!$B:$B,{"licence","community"}))/SUM(SUMIFS('caseload data'!H:H,'caseload data'!$B:$B,{"licence","community"},'caseload data'!$C:$C,'community %'!$T$57)),"")</f>
        <v/>
      </c>
      <c r="Y61" s="175" t="str">
        <f>IFERROR(SUM(SUMIFS('caseload data'!I:I,'caseload data'!$C:$C,'community %'!$T$57,'caseload data'!$D:$D,"TPO",'caseload data'!$B:$B,{"licence","community"}))/SUM(SUMIFS('caseload data'!I:I,'caseload data'!$B:$B,{"licence","community"},'caseload data'!$C:$C,'community %'!$T$57)),"")</f>
        <v/>
      </c>
      <c r="Z61" s="175" t="str">
        <f>IFERROR(SUM(SUMIFS('caseload data'!J:J,'caseload data'!$C:$C,'community %'!$T$57,'caseload data'!$D:$D,"TPO",'caseload data'!$B:$B,{"licence","community"}))/SUM(SUMIFS('caseload data'!J:J,'caseload data'!$B:$B,{"licence","community"},'caseload data'!$C:$C,'community %'!$T$57)),"")</f>
        <v/>
      </c>
      <c r="AA61" s="175" t="str">
        <f>IFERROR(SUM(SUMIFS('caseload data'!K:K,'caseload data'!$C:$C,'community %'!$T$57,'caseload data'!$D:$D,"TPO",'caseload data'!$B:$B,{"licence","community"}))/SUM(SUMIFS('caseload data'!K:K,'caseload data'!$B:$B,{"licence","community"},'caseload data'!$C:$C,'community %'!$T$57)),"")</f>
        <v/>
      </c>
      <c r="AB61" s="175" t="str">
        <f>IFERROR(SUM(SUMIFS('caseload data'!L:L,'caseload data'!$C:$C,'community %'!$T$57,'caseload data'!$D:$D,"TPO",'caseload data'!$B:$B,{"licence","community"}))/SUM(SUMIFS('caseload data'!L:L,'caseload data'!$B:$B,{"licence","community"},'caseload data'!$C:$C,'community %'!$T$57)),"")</f>
        <v/>
      </c>
      <c r="AC61" s="175" t="str">
        <f>IFERROR(SUM(SUMIFS('caseload data'!M:M,'caseload data'!$C:$C,'community %'!$T$57,'caseload data'!$D:$D,"TPO",'caseload data'!$B:$B,{"licence","community"}))/SUM(SUMIFS('caseload data'!M:M,'caseload data'!$B:$B,{"licence","community"},'caseload data'!$C:$C,'community %'!$T$57)),"")</f>
        <v/>
      </c>
      <c r="AD61" s="175" t="str">
        <f>IFERROR(SUM(SUMIFS('caseload data'!N:N,'caseload data'!$C:$C,'community %'!$T$57,'caseload data'!$D:$D,"TPO",'caseload data'!$B:$B,{"licence","community"}))/SUM(SUMIFS('caseload data'!N:N,'caseload data'!$B:$B,{"licence","community"},'caseload data'!$C:$C,'community %'!$T$57)),"")</f>
        <v/>
      </c>
      <c r="AE61" s="175" t="str">
        <f>IFERROR(SUM(SUMIFS('caseload data'!O:O,'caseload data'!$C:$C,'community %'!$T$57,'caseload data'!$D:$D,"TPO",'caseload data'!$B:$B,{"licence","community"}))/SUM(SUMIFS('caseload data'!O:O,'caseload data'!$B:$B,{"licence","community"},'caseload data'!$C:$C,'community %'!$T$57)),"")</f>
        <v/>
      </c>
      <c r="AF61" s="175" t="str">
        <f>IFERROR(SUM(SUMIFS('caseload data'!P:P,'caseload data'!$C:$C,'community %'!$T$57,'caseload data'!$D:$D,"TPO",'caseload data'!$B:$B,{"licence","community"}))/SUM(SUMIFS('caseload data'!P:P,'caseload data'!$B:$B,{"licence","community"},'caseload data'!$C:$C,'community %'!$T$57)),"")</f>
        <v/>
      </c>
      <c r="AG61" s="175" t="str">
        <f>IFERROR(SUM(SUMIFS('caseload data'!Q:Q,'caseload data'!$C:$C,'community %'!$T$57,'caseload data'!$D:$D,"TPO",'caseload data'!$B:$B,{"licence","community"}))/SUM(SUMIFS('caseload data'!Q:Q,'caseload data'!$B:$B,{"licence","community"},'caseload data'!$C:$C,'community %'!$T$57)),"")</f>
        <v/>
      </c>
      <c r="AH61" s="175" t="str">
        <f>IFERROR(SUM(SUMIFS('caseload data'!R:R,'caseload data'!$C:$C,'community %'!$T$57,'caseload data'!$D:$D,"TPO",'caseload data'!$B:$B,{"licence","community"}))/SUM(SUMIFS('caseload data'!R:R,'caseload data'!$B:$B,{"licence","community"},'caseload data'!$C:$C,'community %'!$T$57)),"")</f>
        <v/>
      </c>
      <c r="AI61" s="175" t="str">
        <f>IFERROR(SUM(SUMIFS('caseload data'!S:S,'caseload data'!$C:$C,'community %'!$T$57,'caseload data'!$D:$D,"TPO",'caseload data'!$B:$B,{"licence","community"}))/SUM(SUMIFS('caseload data'!S:S,'caseload data'!$B:$B,{"licence","community"},'caseload data'!$C:$C,'community %'!$T$57)),"")</f>
        <v/>
      </c>
      <c r="AJ61" s="175" t="str">
        <f>IFERROR(SUM(SUMIFS('caseload data'!T:T,'caseload data'!$C:$C,'community %'!$T$57,'caseload data'!$D:$D,"TPO",'caseload data'!$B:$B,{"licence","community"}))/SUM(SUMIFS('caseload data'!T:T,'caseload data'!$B:$B,{"licence","community"},'caseload data'!$C:$C,'community %'!$T$57)),"")</f>
        <v/>
      </c>
    </row>
    <row r="62" spans="2:36" x14ac:dyDescent="0.15">
      <c r="B62" s="102" t="s">
        <v>1174</v>
      </c>
      <c r="C62" s="175" t="str">
        <f>IFERROR(SUM(SUMIFS('caseload data'!E:E,'caseload data'!$C:$C,'community %'!$B$57,'caseload data'!$D:$D,"SPO",'caseload data'!$B:$B,{"licence","community"}))/SUM(SUMIFS('caseload data'!E:E,'caseload data'!$B:$B,{"licence","community"},'caseload data'!$C:$C,'community %'!$B$57)),"")</f>
        <v/>
      </c>
      <c r="D62" s="175" t="str">
        <f>IFERROR(SUM(SUMIFS('caseload data'!F:F,'caseload data'!$C:$C,'community %'!$B$57,'caseload data'!$D:$D,"SPO",'caseload data'!$B:$B,{"licence","community"}))/SUM(SUMIFS('caseload data'!F:F,'caseload data'!$B:$B,{"licence","community"},'caseload data'!$C:$C,'community %'!$B$57)),"")</f>
        <v/>
      </c>
      <c r="E62" s="175" t="str">
        <f>IFERROR(SUM(SUMIFS('caseload data'!G:G,'caseload data'!$C:$C,'community %'!$B$57,'caseload data'!$D:$D,"SPO",'caseload data'!$B:$B,{"licence","community"}))/SUM(SUMIFS('caseload data'!G:G,'caseload data'!$B:$B,{"licence","community"},'caseload data'!$C:$C,'community %'!$B$57)),"")</f>
        <v/>
      </c>
      <c r="F62" s="175" t="str">
        <f>IFERROR(SUM(SUMIFS('caseload data'!H:H,'caseload data'!$C:$C,'community %'!$B$57,'caseload data'!$D:$D,"SPO",'caseload data'!$B:$B,{"licence","community"}))/SUM(SUMIFS('caseload data'!H:H,'caseload data'!$B:$B,{"licence","community"},'caseload data'!$C:$C,'community %'!$B$57)),"")</f>
        <v/>
      </c>
      <c r="G62" s="175" t="str">
        <f>IFERROR(SUM(SUMIFS('caseload data'!I:I,'caseload data'!$C:$C,'community %'!$B$57,'caseload data'!$D:$D,"SPO",'caseload data'!$B:$B,{"licence","community"}))/SUM(SUMIFS('caseload data'!I:I,'caseload data'!$B:$B,{"licence","community"},'caseload data'!$C:$C,'community %'!$B$57)),"")</f>
        <v/>
      </c>
      <c r="H62" s="175" t="str">
        <f>IFERROR(SUM(SUMIFS('caseload data'!J:J,'caseload data'!$C:$C,'community %'!$B$57,'caseload data'!$D:$D,"SPO",'caseload data'!$B:$B,{"licence","community"}))/SUM(SUMIFS('caseload data'!J:J,'caseload data'!$B:$B,{"licence","community"},'caseload data'!$C:$C,'community %'!$B$57)),"")</f>
        <v/>
      </c>
      <c r="I62" s="175" t="str">
        <f>IFERROR(SUM(SUMIFS('caseload data'!K:K,'caseload data'!$C:$C,'community %'!$B$57,'caseload data'!$D:$D,"SPO",'caseload data'!$B:$B,{"licence","community"}))/SUM(SUMIFS('caseload data'!K:K,'caseload data'!$B:$B,{"licence","community"},'caseload data'!$C:$C,'community %'!$B$57)),"")</f>
        <v/>
      </c>
      <c r="J62" s="175" t="str">
        <f>IFERROR(SUM(SUMIFS('caseload data'!L:L,'caseload data'!$C:$C,'community %'!$B$57,'caseload data'!$D:$D,"SPO",'caseload data'!$B:$B,{"licence","community"}))/SUM(SUMIFS('caseload data'!L:L,'caseload data'!$B:$B,{"licence","community"},'caseload data'!$C:$C,'community %'!$B$57)),"")</f>
        <v/>
      </c>
      <c r="K62" s="175" t="str">
        <f>IFERROR(SUM(SUMIFS('caseload data'!M:M,'caseload data'!$C:$C,'community %'!$B$57,'caseload data'!$D:$D,"SPO",'caseload data'!$B:$B,{"licence","community"}))/SUM(SUMIFS('caseload data'!M:M,'caseload data'!$B:$B,{"licence","community"},'caseload data'!$C:$C,'community %'!$B$57)),"")</f>
        <v/>
      </c>
      <c r="L62" s="175" t="str">
        <f>IFERROR(SUM(SUMIFS('caseload data'!N:N,'caseload data'!$C:$C,'community %'!$B$57,'caseload data'!$D:$D,"SPO",'caseload data'!$B:$B,{"licence","community"}))/SUM(SUMIFS('caseload data'!N:N,'caseload data'!$B:$B,{"licence","community"},'caseload data'!$C:$C,'community %'!$B$57)),"")</f>
        <v/>
      </c>
      <c r="M62" s="175" t="str">
        <f>IFERROR(SUM(SUMIFS('caseload data'!O:O,'caseload data'!$C:$C,'community %'!$B$57,'caseload data'!$D:$D,"SPO",'caseload data'!$B:$B,{"licence","community"}))/SUM(SUMIFS('caseload data'!O:O,'caseload data'!$B:$B,{"licence","community"},'caseload data'!$C:$C,'community %'!$B$57)),"")</f>
        <v/>
      </c>
      <c r="N62" s="175" t="str">
        <f>IFERROR(SUM(SUMIFS('caseload data'!P:P,'caseload data'!$C:$C,'community %'!$B$57,'caseload data'!$D:$D,"SPO",'caseload data'!$B:$B,{"licence","community"}))/SUM(SUMIFS('caseload data'!P:P,'caseload data'!$B:$B,{"licence","community"},'caseload data'!$C:$C,'community %'!$B$57)),"")</f>
        <v/>
      </c>
      <c r="O62" s="175" t="str">
        <f>IFERROR(SUM(SUMIFS('caseload data'!Q:Q,'caseload data'!$C:$C,'community %'!$B$57,'caseload data'!$D:$D,"SPO",'caseload data'!$B:$B,{"licence","community"}))/SUM(SUMIFS('caseload data'!Q:Q,'caseload data'!$B:$B,{"licence","community"},'caseload data'!$C:$C,'community %'!$B$57)),"")</f>
        <v/>
      </c>
      <c r="P62" s="175" t="str">
        <f>IFERROR(SUM(SUMIFS('caseload data'!R:R,'caseload data'!$C:$C,'community %'!$B$57,'caseload data'!$D:$D,"SPO",'caseload data'!$B:$B,{"licence","community"}))/SUM(SUMIFS('caseload data'!R:R,'caseload data'!$B:$B,{"licence","community"},'caseload data'!$C:$C,'community %'!$B$57)),"")</f>
        <v/>
      </c>
      <c r="Q62" s="175" t="str">
        <f>IFERROR(SUM(SUMIFS('caseload data'!S:S,'caseload data'!$C:$C,'community %'!$B$57,'caseload data'!$D:$D,"SPO",'caseload data'!$B:$B,{"licence","community"}))/SUM(SUMIFS('caseload data'!S:S,'caseload data'!$B:$B,{"licence","community"},'caseload data'!$C:$C,'community %'!$B$57)),"")</f>
        <v/>
      </c>
      <c r="R62" s="175" t="str">
        <f>IFERROR(SUM(SUMIFS('caseload data'!T:T,'caseload data'!$C:$C,'community %'!$B$57,'caseload data'!$D:$D,"SPO",'caseload data'!$B:$B,{"licence","community"}))/SUM(SUMIFS('caseload data'!T:T,'caseload data'!$B:$B,{"licence","community"},'caseload data'!$C:$C,'community %'!$B$57)),"")</f>
        <v/>
      </c>
      <c r="S62" s="68"/>
      <c r="T62" s="102" t="s">
        <v>1174</v>
      </c>
      <c r="U62" s="175" t="str">
        <f>IFERROR(SUM(SUMIFS('caseload data'!E:E,'caseload data'!$C:$C,'community %'!$T$57,'caseload data'!$D:$D,"SPO",'caseload data'!$B:$B,{"licence","community"}))/SUM(SUMIFS('caseload data'!E:E,'caseload data'!$B:$B,{"licence","community"},'caseload data'!$C:$C,'community %'!$T$57)),"")</f>
        <v/>
      </c>
      <c r="V62" s="175" t="str">
        <f>IFERROR(SUM(SUMIFS('caseload data'!F:F,'caseload data'!$C:$C,'community %'!$T$57,'caseload data'!$D:$D,"SPO",'caseload data'!$B:$B,{"licence","community"}))/SUM(SUMIFS('caseload data'!F:F,'caseload data'!$B:$B,{"licence","community"},'caseload data'!$C:$C,'community %'!$T$57)),"")</f>
        <v/>
      </c>
      <c r="W62" s="175" t="str">
        <f>IFERROR(SUM(SUMIFS('caseload data'!G:G,'caseload data'!$C:$C,'community %'!$T$57,'caseload data'!$D:$D,"SPO",'caseload data'!$B:$B,{"licence","community"}))/SUM(SUMIFS('caseload data'!G:G,'caseload data'!$B:$B,{"licence","community"},'caseload data'!$C:$C,'community %'!$T$57)),"")</f>
        <v/>
      </c>
      <c r="X62" s="175" t="str">
        <f>IFERROR(SUM(SUMIFS('caseload data'!H:H,'caseload data'!$C:$C,'community %'!$T$57,'caseload data'!$D:$D,"SPO",'caseload data'!$B:$B,{"licence","community"}))/SUM(SUMIFS('caseload data'!H:H,'caseload data'!$B:$B,{"licence","community"},'caseload data'!$C:$C,'community %'!$T$57)),"")</f>
        <v/>
      </c>
      <c r="Y62" s="175" t="str">
        <f>IFERROR(SUM(SUMIFS('caseload data'!I:I,'caseload data'!$C:$C,'community %'!$T$57,'caseload data'!$D:$D,"SPO",'caseload data'!$B:$B,{"licence","community"}))/SUM(SUMIFS('caseload data'!I:I,'caseload data'!$B:$B,{"licence","community"},'caseload data'!$C:$C,'community %'!$T$57)),"")</f>
        <v/>
      </c>
      <c r="Z62" s="175" t="str">
        <f>IFERROR(SUM(SUMIFS('caseload data'!J:J,'caseload data'!$C:$C,'community %'!$T$57,'caseload data'!$D:$D,"SPO",'caseload data'!$B:$B,{"licence","community"}))/SUM(SUMIFS('caseload data'!J:J,'caseload data'!$B:$B,{"licence","community"},'caseload data'!$C:$C,'community %'!$T$57)),"")</f>
        <v/>
      </c>
      <c r="AA62" s="175" t="str">
        <f>IFERROR(SUM(SUMIFS('caseload data'!K:K,'caseload data'!$C:$C,'community %'!$T$57,'caseload data'!$D:$D,"SPO",'caseload data'!$B:$B,{"licence","community"}))/SUM(SUMIFS('caseload data'!K:K,'caseload data'!$B:$B,{"licence","community"},'caseload data'!$C:$C,'community %'!$T$57)),"")</f>
        <v/>
      </c>
      <c r="AB62" s="175" t="str">
        <f>IFERROR(SUM(SUMIFS('caseload data'!L:L,'caseload data'!$C:$C,'community %'!$T$57,'caseload data'!$D:$D,"SPO",'caseload data'!$B:$B,{"licence","community"}))/SUM(SUMIFS('caseload data'!L:L,'caseload data'!$B:$B,{"licence","community"},'caseload data'!$C:$C,'community %'!$T$57)),"")</f>
        <v/>
      </c>
      <c r="AC62" s="175" t="str">
        <f>IFERROR(SUM(SUMIFS('caseload data'!M:M,'caseload data'!$C:$C,'community %'!$T$57,'caseload data'!$D:$D,"SPO",'caseload data'!$B:$B,{"licence","community"}))/SUM(SUMIFS('caseload data'!M:M,'caseload data'!$B:$B,{"licence","community"},'caseload data'!$C:$C,'community %'!$T$57)),"")</f>
        <v/>
      </c>
      <c r="AD62" s="175" t="str">
        <f>IFERROR(SUM(SUMIFS('caseload data'!N:N,'caseload data'!$C:$C,'community %'!$T$57,'caseload data'!$D:$D,"SPO",'caseload data'!$B:$B,{"licence","community"}))/SUM(SUMIFS('caseload data'!N:N,'caseload data'!$B:$B,{"licence","community"},'caseload data'!$C:$C,'community %'!$T$57)),"")</f>
        <v/>
      </c>
      <c r="AE62" s="175" t="str">
        <f>IFERROR(SUM(SUMIFS('caseload data'!O:O,'caseload data'!$C:$C,'community %'!$T$57,'caseload data'!$D:$D,"SPO",'caseload data'!$B:$B,{"licence","community"}))/SUM(SUMIFS('caseload data'!O:O,'caseload data'!$B:$B,{"licence","community"},'caseload data'!$C:$C,'community %'!$T$57)),"")</f>
        <v/>
      </c>
      <c r="AF62" s="175" t="str">
        <f>IFERROR(SUM(SUMIFS('caseload data'!P:P,'caseload data'!$C:$C,'community %'!$T$57,'caseload data'!$D:$D,"SPO",'caseload data'!$B:$B,{"licence","community"}))/SUM(SUMIFS('caseload data'!P:P,'caseload data'!$B:$B,{"licence","community"},'caseload data'!$C:$C,'community %'!$T$57)),"")</f>
        <v/>
      </c>
      <c r="AG62" s="175" t="str">
        <f>IFERROR(SUM(SUMIFS('caseload data'!Q:Q,'caseload data'!$C:$C,'community %'!$T$57,'caseload data'!$D:$D,"SPO",'caseload data'!$B:$B,{"licence","community"}))/SUM(SUMIFS('caseload data'!Q:Q,'caseload data'!$B:$B,{"licence","community"},'caseload data'!$C:$C,'community %'!$T$57)),"")</f>
        <v/>
      </c>
      <c r="AH62" s="175" t="str">
        <f>IFERROR(SUM(SUMIFS('caseload data'!R:R,'caseload data'!$C:$C,'community %'!$T$57,'caseload data'!$D:$D,"SPO",'caseload data'!$B:$B,{"licence","community"}))/SUM(SUMIFS('caseload data'!R:R,'caseload data'!$B:$B,{"licence","community"},'caseload data'!$C:$C,'community %'!$T$57)),"")</f>
        <v/>
      </c>
      <c r="AI62" s="175" t="str">
        <f>IFERROR(SUM(SUMIFS('caseload data'!S:S,'caseload data'!$C:$C,'community %'!$T$57,'caseload data'!$D:$D,"SPO",'caseload data'!$B:$B,{"licence","community"}))/SUM(SUMIFS('caseload data'!S:S,'caseload data'!$B:$B,{"licence","community"},'caseload data'!$C:$C,'community %'!$T$57)),"")</f>
        <v/>
      </c>
      <c r="AJ62" s="175" t="str">
        <f>IFERROR(SUM(SUMIFS('caseload data'!T:T,'caseload data'!$C:$C,'community %'!$T$57,'caseload data'!$D:$D,"SPO",'caseload data'!$B:$B,{"licence","community"}))/SUM(SUMIFS('caseload data'!T:T,'caseload data'!$B:$B,{"licence","community"},'caseload data'!$C:$C,'community %'!$T$57)),"")</f>
        <v/>
      </c>
    </row>
    <row r="64" spans="2:36" ht="25.5" customHeight="1" x14ac:dyDescent="0.15">
      <c r="B64" s="302" t="str">
        <f>HLOOKUP($B$5,Region_Table,18,0)</f>
        <v>Newham - N07</v>
      </c>
      <c r="C64" s="459" t="s">
        <v>1313</v>
      </c>
      <c r="D64" s="460"/>
      <c r="E64" s="460"/>
      <c r="F64" s="460"/>
      <c r="G64" s="460"/>
      <c r="H64" s="460"/>
      <c r="I64" s="460"/>
      <c r="J64" s="460"/>
      <c r="K64" s="460"/>
      <c r="L64" s="460"/>
      <c r="M64" s="489"/>
      <c r="N64" s="489"/>
      <c r="O64" s="490"/>
      <c r="P64" s="462" cm="1">
        <f t="array" ref="P64">SUM(SUMIFS('caseload data'!V:V,'caseload data'!B:B,{"licence","community"},'caseload data'!$C:$C,B64))</f>
        <v>0</v>
      </c>
      <c r="Q64" s="479"/>
      <c r="R64" s="480"/>
      <c r="S64" s="68"/>
      <c r="T64" s="302" t="str">
        <f>HLOOKUP($B$5,Region_Table,19,0)</f>
        <v>Public Protection London</v>
      </c>
      <c r="U64" s="459" t="s">
        <v>1313</v>
      </c>
      <c r="V64" s="460"/>
      <c r="W64" s="460"/>
      <c r="X64" s="460"/>
      <c r="Y64" s="460"/>
      <c r="Z64" s="460"/>
      <c r="AA64" s="460"/>
      <c r="AB64" s="460"/>
      <c r="AC64" s="460"/>
      <c r="AD64" s="460"/>
      <c r="AE64" s="489"/>
      <c r="AF64" s="489"/>
      <c r="AG64" s="490"/>
      <c r="AH64" s="462" cm="1">
        <f t="array" ref="AH64">SUM(SUMIFS('caseload data'!V:V,'caseload data'!B:B,{"licence","community"},'caseload data'!$C:$C,T64))</f>
        <v>0</v>
      </c>
      <c r="AI64" s="479"/>
      <c r="AJ64" s="480"/>
    </row>
    <row r="65" spans="2:36" x14ac:dyDescent="0.15">
      <c r="B65" s="99" t="s">
        <v>1170</v>
      </c>
      <c r="C65" s="40" t="s">
        <v>1022</v>
      </c>
      <c r="D65" s="40" t="s">
        <v>1023</v>
      </c>
      <c r="E65" s="40" t="s">
        <v>1024</v>
      </c>
      <c r="F65" s="40" t="s">
        <v>1025</v>
      </c>
      <c r="G65" s="40" t="s">
        <v>1026</v>
      </c>
      <c r="H65" s="40" t="s">
        <v>1027</v>
      </c>
      <c r="I65" s="40" t="s">
        <v>1028</v>
      </c>
      <c r="J65" s="40" t="s">
        <v>1029</v>
      </c>
      <c r="K65" s="40" t="s">
        <v>1030</v>
      </c>
      <c r="L65" s="40" t="s">
        <v>1031</v>
      </c>
      <c r="M65" s="40" t="s">
        <v>1032</v>
      </c>
      <c r="N65" s="40" t="s">
        <v>1033</v>
      </c>
      <c r="O65" s="40" t="s">
        <v>1034</v>
      </c>
      <c r="P65" s="40" t="s">
        <v>1035</v>
      </c>
      <c r="Q65" s="40" t="s">
        <v>1036</v>
      </c>
      <c r="R65" s="40" t="s">
        <v>1037</v>
      </c>
      <c r="S65" s="68"/>
      <c r="T65" s="99" t="s">
        <v>1170</v>
      </c>
      <c r="U65" s="40" t="s">
        <v>1022</v>
      </c>
      <c r="V65" s="40" t="s">
        <v>1023</v>
      </c>
      <c r="W65" s="40" t="s">
        <v>1024</v>
      </c>
      <c r="X65" s="40" t="s">
        <v>1025</v>
      </c>
      <c r="Y65" s="40" t="s">
        <v>1026</v>
      </c>
      <c r="Z65" s="40" t="s">
        <v>1027</v>
      </c>
      <c r="AA65" s="40" t="s">
        <v>1028</v>
      </c>
      <c r="AB65" s="40" t="s">
        <v>1029</v>
      </c>
      <c r="AC65" s="40" t="s">
        <v>1030</v>
      </c>
      <c r="AD65" s="40" t="s">
        <v>1031</v>
      </c>
      <c r="AE65" s="40" t="s">
        <v>1032</v>
      </c>
      <c r="AF65" s="40" t="s">
        <v>1033</v>
      </c>
      <c r="AG65" s="40" t="s">
        <v>1034</v>
      </c>
      <c r="AH65" s="40" t="s">
        <v>1035</v>
      </c>
      <c r="AI65" s="40" t="s">
        <v>1036</v>
      </c>
      <c r="AJ65" s="40" t="s">
        <v>1037</v>
      </c>
    </row>
    <row r="66" spans="2:36" x14ac:dyDescent="0.15">
      <c r="B66" s="100" t="s">
        <v>1166</v>
      </c>
      <c r="C66" s="175" t="str">
        <f>IFERROR(SUM(SUMIFS('caseload data'!E:E,'caseload data'!$C:$C,'community %'!$B$64,'caseload data'!$D:$D,"PO",'caseload data'!$B:$B,{"licence","community"}))/SUM(SUMIFS('caseload data'!E:E,'caseload data'!$B:$B,{"licence","community"},'caseload data'!$C:$C,'community %'!$B$64)),"")</f>
        <v/>
      </c>
      <c r="D66" s="175" t="str">
        <f>IFERROR(SUM(SUMIFS('caseload data'!F:F,'caseload data'!$C:$C,'community %'!$B$64,'caseload data'!$D:$D,"PO",'caseload data'!$B:$B,{"licence","community"}))/SUM(SUMIFS('caseload data'!F:F,'caseload data'!$B:$B,{"licence","community"},'caseload data'!$C:$C,'community %'!$B$64)),"")</f>
        <v/>
      </c>
      <c r="E66" s="175" t="str">
        <f>IFERROR(SUM(SUMIFS('caseload data'!G:G,'caseload data'!$C:$C,'community %'!$B$64,'caseload data'!$D:$D,"PO",'caseload data'!$B:$B,{"licence","community"}))/SUM(SUMIFS('caseload data'!G:G,'caseload data'!$B:$B,{"licence","community"},'caseload data'!$C:$C,'community %'!$B$64)),"")</f>
        <v/>
      </c>
      <c r="F66" s="175" t="str">
        <f>IFERROR(SUM(SUMIFS('caseload data'!H:H,'caseload data'!$C:$C,'community %'!$B$64,'caseload data'!$D:$D,"PO",'caseload data'!$B:$B,{"licence","community"}))/SUM(SUMIFS('caseload data'!H:H,'caseload data'!$B:$B,{"licence","community"},'caseload data'!$C:$C,'community %'!$B$64)),"")</f>
        <v/>
      </c>
      <c r="G66" s="175" t="str">
        <f>IFERROR(SUM(SUMIFS('caseload data'!I:I,'caseload data'!$C:$C,'community %'!$B$64,'caseload data'!$D:$D,"PO",'caseload data'!$B:$B,{"licence","community"}))/SUM(SUMIFS('caseload data'!I:I,'caseload data'!$B:$B,{"licence","community"},'caseload data'!$C:$C,'community %'!$B$64)),"")</f>
        <v/>
      </c>
      <c r="H66" s="175" t="str">
        <f>IFERROR(SUM(SUMIFS('caseload data'!J:J,'caseload data'!$C:$C,'community %'!$B$64,'caseload data'!$D:$D,"PO",'caseload data'!$B:$B,{"licence","community"}))/SUM(SUMIFS('caseload data'!J:J,'caseload data'!$B:$B,{"licence","community"},'caseload data'!$C:$C,'community %'!$B$64)),"")</f>
        <v/>
      </c>
      <c r="I66" s="175" t="str">
        <f>IFERROR(SUM(SUMIFS('caseload data'!K:K,'caseload data'!$C:$C,'community %'!$B$64,'caseload data'!$D:$D,"PO",'caseload data'!$B:$B,{"licence","community"}))/SUM(SUMIFS('caseload data'!K:K,'caseload data'!$B:$B,{"licence","community"},'caseload data'!$C:$C,'community %'!$B$64)),"")</f>
        <v/>
      </c>
      <c r="J66" s="175" t="str">
        <f>IFERROR(SUM(SUMIFS('caseload data'!L:L,'caseload data'!$C:$C,'community %'!$B$64,'caseload data'!$D:$D,"PO",'caseload data'!$B:$B,{"licence","community"}))/SUM(SUMIFS('caseload data'!L:L,'caseload data'!$B:$B,{"licence","community"},'caseload data'!$C:$C,'community %'!$B$64)),"")</f>
        <v/>
      </c>
      <c r="K66" s="175" t="str">
        <f>IFERROR(SUM(SUMIFS('caseload data'!M:M,'caseload data'!$C:$C,'community %'!$B$64,'caseload data'!$D:$D,"PO",'caseload data'!$B:$B,{"licence","community"}))/SUM(SUMIFS('caseload data'!M:M,'caseload data'!$B:$B,{"licence","community"},'caseload data'!$C:$C,'community %'!$B$64)),"")</f>
        <v/>
      </c>
      <c r="L66" s="175" t="str">
        <f>IFERROR(SUM(SUMIFS('caseload data'!N:N,'caseload data'!$C:$C,'community %'!$B$64,'caseload data'!$D:$D,"PO",'caseload data'!$B:$B,{"licence","community"}))/SUM(SUMIFS('caseload data'!N:N,'caseload data'!$B:$B,{"licence","community"},'caseload data'!$C:$C,'community %'!$B$64)),"")</f>
        <v/>
      </c>
      <c r="M66" s="175" t="str">
        <f>IFERROR(SUM(SUMIFS('caseload data'!O:O,'caseload data'!$C:$C,'community %'!$B$64,'caseload data'!$D:$D,"PO",'caseload data'!$B:$B,{"licence","community"}))/SUM(SUMIFS('caseload data'!O:O,'caseload data'!$B:$B,{"licence","community"},'caseload data'!$C:$C,'community %'!$B$64)),"")</f>
        <v/>
      </c>
      <c r="N66" s="175" t="str">
        <f>IFERROR(SUM(SUMIFS('caseload data'!P:P,'caseload data'!$C:$C,'community %'!$B$64,'caseload data'!$D:$D,"PO",'caseload data'!$B:$B,{"licence","community"}))/SUM(SUMIFS('caseload data'!P:P,'caseload data'!$B:$B,{"licence","community"},'caseload data'!$C:$C,'community %'!$B$64)),"")</f>
        <v/>
      </c>
      <c r="O66" s="175" t="str">
        <f>IFERROR(SUM(SUMIFS('caseload data'!Q:Q,'caseload data'!$C:$C,'community %'!$B$64,'caseload data'!$D:$D,"PO",'caseload data'!$B:$B,{"licence","community"}))/SUM(SUMIFS('caseload data'!Q:Q,'caseload data'!$B:$B,{"licence","community"},'caseload data'!$C:$C,'community %'!$B$64)),"")</f>
        <v/>
      </c>
      <c r="P66" s="175" t="str">
        <f>IFERROR(SUM(SUMIFS('caseload data'!R:R,'caseload data'!$C:$C,'community %'!$B$64,'caseload data'!$D:$D,"PO",'caseload data'!$B:$B,{"licence","community"}))/SUM(SUMIFS('caseload data'!R:R,'caseload data'!$B:$B,{"licence","community"},'caseload data'!$C:$C,'community %'!$B$64)),"")</f>
        <v/>
      </c>
      <c r="Q66" s="175" t="str">
        <f>IFERROR(SUM(SUMIFS('caseload data'!S:S,'caseload data'!$C:$C,'community %'!$B$64,'caseload data'!$D:$D,"PO",'caseload data'!$B:$B,{"licence","community"}))/SUM(SUMIFS('caseload data'!S:S,'caseload data'!$B:$B,{"licence","community"},'caseload data'!$C:$C,'community %'!$B$64)),"")</f>
        <v/>
      </c>
      <c r="R66" s="175" t="str">
        <f>IFERROR(SUM(SUMIFS('caseload data'!T:T,'caseload data'!$C:$C,'community %'!$B$64,'caseload data'!$D:$D,"PO",'caseload data'!$B:$B,{"licence","community"}))/SUM(SUMIFS('caseload data'!T:T,'caseload data'!$B:$B,{"licence","community"},'caseload data'!$C:$C,'community %'!$B$64)),"")</f>
        <v/>
      </c>
      <c r="S66" s="68"/>
      <c r="T66" s="100" t="s">
        <v>1166</v>
      </c>
      <c r="U66" s="175" t="str">
        <f>IFERROR(SUM(SUMIFS('caseload data'!E:E,'caseload data'!$C:$C,'community %'!$T$64,'caseload data'!$D:$D,"PO",'caseload data'!$B:$B,{"licence","community"}))/SUM(SUMIFS('caseload data'!E:E,'caseload data'!$B:$B,{"licence","community"},'caseload data'!$C:$C,'community %'!$T$64)),"")</f>
        <v/>
      </c>
      <c r="V66" s="175" t="str">
        <f>IFERROR(SUM(SUMIFS('caseload data'!F:F,'caseload data'!$C:$C,'community %'!$T$64,'caseload data'!$D:$D,"PO",'caseload data'!$B:$B,{"licence","community"}))/SUM(SUMIFS('caseload data'!F:F,'caseload data'!$B:$B,{"licence","community"},'caseload data'!$C:$C,'community %'!$T$64)),"")</f>
        <v/>
      </c>
      <c r="W66" s="175" t="str">
        <f>IFERROR(SUM(SUMIFS('caseload data'!G:G,'caseload data'!$C:$C,'community %'!$T$64,'caseload data'!$D:$D,"PO",'caseload data'!$B:$B,{"licence","community"}))/SUM(SUMIFS('caseload data'!G:G,'caseload data'!$B:$B,{"licence","community"},'caseload data'!$C:$C,'community %'!$T$64)),"")</f>
        <v/>
      </c>
      <c r="X66" s="175" t="str">
        <f>IFERROR(SUM(SUMIFS('caseload data'!H:H,'caseload data'!$C:$C,'community %'!$T$64,'caseload data'!$D:$D,"PO",'caseload data'!$B:$B,{"licence","community"}))/SUM(SUMIFS('caseload data'!H:H,'caseload data'!$B:$B,{"licence","community"},'caseload data'!$C:$C,'community %'!$T$64)),"")</f>
        <v/>
      </c>
      <c r="Y66" s="175" t="str">
        <f>IFERROR(SUM(SUMIFS('caseload data'!I:I,'caseload data'!$C:$C,'community %'!$T$64,'caseload data'!$D:$D,"PO",'caseload data'!$B:$B,{"licence","community"}))/SUM(SUMIFS('caseload data'!I:I,'caseload data'!$B:$B,{"licence","community"},'caseload data'!$C:$C,'community %'!$T$64)),"")</f>
        <v/>
      </c>
      <c r="Z66" s="175" t="str">
        <f>IFERROR(SUM(SUMIFS('caseload data'!J:J,'caseload data'!$C:$C,'community %'!$T$64,'caseload data'!$D:$D,"PO",'caseload data'!$B:$B,{"licence","community"}))/SUM(SUMIFS('caseload data'!J:J,'caseload data'!$B:$B,{"licence","community"},'caseload data'!$C:$C,'community %'!$T$64)),"")</f>
        <v/>
      </c>
      <c r="AA66" s="175" t="str">
        <f>IFERROR(SUM(SUMIFS('caseload data'!K:K,'caseload data'!$C:$C,'community %'!$T$64,'caseload data'!$D:$D,"PO",'caseload data'!$B:$B,{"licence","community"}))/SUM(SUMIFS('caseload data'!K:K,'caseload data'!$B:$B,{"licence","community"},'caseload data'!$C:$C,'community %'!$T$64)),"")</f>
        <v/>
      </c>
      <c r="AB66" s="175" t="str">
        <f>IFERROR(SUM(SUMIFS('caseload data'!L:L,'caseload data'!$C:$C,'community %'!$T$64,'caseload data'!$D:$D,"PO",'caseload data'!$B:$B,{"licence","community"}))/SUM(SUMIFS('caseload data'!L:L,'caseload data'!$B:$B,{"licence","community"},'caseload data'!$C:$C,'community %'!$T$64)),"")</f>
        <v/>
      </c>
      <c r="AC66" s="175" t="str">
        <f>IFERROR(SUM(SUMIFS('caseload data'!M:M,'caseload data'!$C:$C,'community %'!$T$64,'caseload data'!$D:$D,"PO",'caseload data'!$B:$B,{"licence","community"}))/SUM(SUMIFS('caseload data'!M:M,'caseload data'!$B:$B,{"licence","community"},'caseload data'!$C:$C,'community %'!$T$64)),"")</f>
        <v/>
      </c>
      <c r="AD66" s="175" t="str">
        <f>IFERROR(SUM(SUMIFS('caseload data'!N:N,'caseload data'!$C:$C,'community %'!$T$64,'caseload data'!$D:$D,"PO",'caseload data'!$B:$B,{"licence","community"}))/SUM(SUMIFS('caseload data'!N:N,'caseload data'!$B:$B,{"licence","community"},'caseload data'!$C:$C,'community %'!$T$64)),"")</f>
        <v/>
      </c>
      <c r="AE66" s="175" t="str">
        <f>IFERROR(SUM(SUMIFS('caseload data'!O:O,'caseload data'!$C:$C,'community %'!$T$64,'caseload data'!$D:$D,"PO",'caseload data'!$B:$B,{"licence","community"}))/SUM(SUMIFS('caseload data'!O:O,'caseload data'!$B:$B,{"licence","community"},'caseload data'!$C:$C,'community %'!$T$64)),"")</f>
        <v/>
      </c>
      <c r="AF66" s="175" t="str">
        <f>IFERROR(SUM(SUMIFS('caseload data'!P:P,'caseload data'!$C:$C,'community %'!$T$64,'caseload data'!$D:$D,"PO",'caseload data'!$B:$B,{"licence","community"}))/SUM(SUMIFS('caseload data'!P:P,'caseload data'!$B:$B,{"licence","community"},'caseload data'!$C:$C,'community %'!$T$64)),"")</f>
        <v/>
      </c>
      <c r="AG66" s="175" t="str">
        <f>IFERROR(SUM(SUMIFS('caseload data'!Q:Q,'caseload data'!$C:$C,'community %'!$T$64,'caseload data'!$D:$D,"PO",'caseload data'!$B:$B,{"licence","community"}))/SUM(SUMIFS('caseload data'!Q:Q,'caseload data'!$B:$B,{"licence","community"},'caseload data'!$C:$C,'community %'!$T$64)),"")</f>
        <v/>
      </c>
      <c r="AH66" s="175" t="str">
        <f>IFERROR(SUM(SUMIFS('caseload data'!R:R,'caseload data'!$C:$C,'community %'!$T$64,'caseload data'!$D:$D,"PO",'caseload data'!$B:$B,{"licence","community"}))/SUM(SUMIFS('caseload data'!R:R,'caseload data'!$B:$B,{"licence","community"},'caseload data'!$C:$C,'community %'!$T$64)),"")</f>
        <v/>
      </c>
      <c r="AI66" s="175" t="str">
        <f>IFERROR(SUM(SUMIFS('caseload data'!S:S,'caseload data'!$C:$C,'community %'!$T$64,'caseload data'!$D:$D,"PO",'caseload data'!$B:$B,{"licence","community"}))/SUM(SUMIFS('caseload data'!S:S,'caseload data'!$B:$B,{"licence","community"},'caseload data'!$C:$C,'community %'!$T$64)),"")</f>
        <v/>
      </c>
      <c r="AJ66" s="175" t="str">
        <f>IFERROR(SUM(SUMIFS('caseload data'!T:T,'caseload data'!$C:$C,'community %'!$T$64,'caseload data'!$D:$D,"PO",'caseload data'!$B:$B,{"licence","community"}))/SUM(SUMIFS('caseload data'!T:T,'caseload data'!$B:$B,{"licence","community"},'caseload data'!$C:$C,'community %'!$T$64)),"")</f>
        <v/>
      </c>
    </row>
    <row r="67" spans="2:36" x14ac:dyDescent="0.15">
      <c r="B67" s="101" t="s">
        <v>1172</v>
      </c>
      <c r="C67" s="175" t="str">
        <f>IFERROR(SUM(SUMIFS('caseload data'!E:E,'caseload data'!$C:$C,'community %'!$B$64,'caseload data'!$D:$D,"PSO",'caseload data'!$B:$B,{"licence","community"}))/SUM(SUMIFS('caseload data'!E:E,'caseload data'!$B:$B,{"licence","community"},'caseload data'!$C:$C,'community %'!$B$64)),"")</f>
        <v/>
      </c>
      <c r="D67" s="175" t="str">
        <f>IFERROR(SUM(SUMIFS('caseload data'!F:F,'caseload data'!$C:$C,'community %'!$B$64,'caseload data'!$D:$D,"PSO",'caseload data'!$B:$B,{"licence","community"}))/SUM(SUMIFS('caseload data'!F:F,'caseload data'!$B:$B,{"licence","community"},'caseload data'!$C:$C,'community %'!$B$64)),"")</f>
        <v/>
      </c>
      <c r="E67" s="175" t="str">
        <f>IFERROR(SUM(SUMIFS('caseload data'!G:G,'caseload data'!$C:$C,'community %'!$B$64,'caseload data'!$D:$D,"PSO",'caseload data'!$B:$B,{"licence","community"}))/SUM(SUMIFS('caseload data'!G:G,'caseload data'!$B:$B,{"licence","community"},'caseload data'!$C:$C,'community %'!$B$64)),"")</f>
        <v/>
      </c>
      <c r="F67" s="175" t="str">
        <f>IFERROR(SUM(SUMIFS('caseload data'!H:H,'caseload data'!$C:$C,'community %'!$B$64,'caseload data'!$D:$D,"PSO",'caseload data'!$B:$B,{"licence","community"}))/SUM(SUMIFS('caseload data'!H:H,'caseload data'!$B:$B,{"licence","community"},'caseload data'!$C:$C,'community %'!$B$64)),"")</f>
        <v/>
      </c>
      <c r="G67" s="175" t="str">
        <f>IFERROR(SUM(SUMIFS('caseload data'!I:I,'caseload data'!$C:$C,'community %'!$B$64,'caseload data'!$D:$D,"PSO",'caseload data'!$B:$B,{"licence","community"}))/SUM(SUMIFS('caseload data'!I:I,'caseload data'!$B:$B,{"licence","community"},'caseload data'!$C:$C,'community %'!$B$64)),"")</f>
        <v/>
      </c>
      <c r="H67" s="175" t="str">
        <f>IFERROR(SUM(SUMIFS('caseload data'!J:J,'caseload data'!$C:$C,'community %'!$B$64,'caseload data'!$D:$D,"PSO",'caseload data'!$B:$B,{"licence","community"}))/SUM(SUMIFS('caseload data'!J:J,'caseload data'!$B:$B,{"licence","community"},'caseload data'!$C:$C,'community %'!$B$64)),"")</f>
        <v/>
      </c>
      <c r="I67" s="175" t="str">
        <f>IFERROR(SUM(SUMIFS('caseload data'!K:K,'caseload data'!$C:$C,'community %'!$B$64,'caseload data'!$D:$D,"PSO",'caseload data'!$B:$B,{"licence","community"}))/SUM(SUMIFS('caseload data'!K:K,'caseload data'!$B:$B,{"licence","community"},'caseload data'!$C:$C,'community %'!$B$64)),"")</f>
        <v/>
      </c>
      <c r="J67" s="175" t="str">
        <f>IFERROR(SUM(SUMIFS('caseload data'!L:L,'caseload data'!$C:$C,'community %'!$B$64,'caseload data'!$D:$D,"PSO",'caseload data'!$B:$B,{"licence","community"}))/SUM(SUMIFS('caseload data'!L:L,'caseload data'!$B:$B,{"licence","community"},'caseload data'!$C:$C,'community %'!$B$64)),"")</f>
        <v/>
      </c>
      <c r="K67" s="175" t="str">
        <f>IFERROR(SUM(SUMIFS('caseload data'!M:M,'caseload data'!$C:$C,'community %'!$B$64,'caseload data'!$D:$D,"PSO",'caseload data'!$B:$B,{"licence","community"}))/SUM(SUMIFS('caseload data'!M:M,'caseload data'!$B:$B,{"licence","community"},'caseload data'!$C:$C,'community %'!$B$64)),"")</f>
        <v/>
      </c>
      <c r="L67" s="175" t="str">
        <f>IFERROR(SUM(SUMIFS('caseload data'!N:N,'caseload data'!$C:$C,'community %'!$B$64,'caseload data'!$D:$D,"PSO",'caseload data'!$B:$B,{"licence","community"}))/SUM(SUMIFS('caseload data'!N:N,'caseload data'!$B:$B,{"licence","community"},'caseload data'!$C:$C,'community %'!$B$64)),"")</f>
        <v/>
      </c>
      <c r="M67" s="175" t="str">
        <f>IFERROR(SUM(SUMIFS('caseload data'!O:O,'caseload data'!$C:$C,'community %'!$B$64,'caseload data'!$D:$D,"PSO",'caseload data'!$B:$B,{"licence","community"}))/SUM(SUMIFS('caseload data'!O:O,'caseload data'!$B:$B,{"licence","community"},'caseload data'!$C:$C,'community %'!$B$64)),"")</f>
        <v/>
      </c>
      <c r="N67" s="175" t="str">
        <f>IFERROR(SUM(SUMIFS('caseload data'!P:P,'caseload data'!$C:$C,'community %'!$B$64,'caseload data'!$D:$D,"PSO",'caseload data'!$B:$B,{"licence","community"}))/SUM(SUMIFS('caseload data'!P:P,'caseload data'!$B:$B,{"licence","community"},'caseload data'!$C:$C,'community %'!$B$64)),"")</f>
        <v/>
      </c>
      <c r="O67" s="175" t="str">
        <f>IFERROR(SUM(SUMIFS('caseload data'!Q:Q,'caseload data'!$C:$C,'community %'!$B$64,'caseload data'!$D:$D,"PSO",'caseload data'!$B:$B,{"licence","community"}))/SUM(SUMIFS('caseload data'!Q:Q,'caseload data'!$B:$B,{"licence","community"},'caseload data'!$C:$C,'community %'!$B$64)),"")</f>
        <v/>
      </c>
      <c r="P67" s="175" t="str">
        <f>IFERROR(SUM(SUMIFS('caseload data'!R:R,'caseload data'!$C:$C,'community %'!$B$64,'caseload data'!$D:$D,"PSO",'caseload data'!$B:$B,{"licence","community"}))/SUM(SUMIFS('caseload data'!R:R,'caseload data'!$B:$B,{"licence","community"},'caseload data'!$C:$C,'community %'!$B$64)),"")</f>
        <v/>
      </c>
      <c r="Q67" s="175" t="str">
        <f>IFERROR(SUM(SUMIFS('caseload data'!S:S,'caseload data'!$C:$C,'community %'!$B$64,'caseload data'!$D:$D,"PSO",'caseload data'!$B:$B,{"licence","community"}))/SUM(SUMIFS('caseload data'!S:S,'caseload data'!$B:$B,{"licence","community"},'caseload data'!$C:$C,'community %'!$B$64)),"")</f>
        <v/>
      </c>
      <c r="R67" s="175" t="str">
        <f>IFERROR(SUM(SUMIFS('caseload data'!T:T,'caseload data'!$C:$C,'community %'!$B$64,'caseload data'!$D:$D,"PSO",'caseload data'!$B:$B,{"licence","community"}))/SUM(SUMIFS('caseload data'!T:T,'caseload data'!$B:$B,{"licence","community"},'caseload data'!$C:$C,'community %'!$B$64)),"")</f>
        <v/>
      </c>
      <c r="S67" s="68"/>
      <c r="T67" s="101" t="s">
        <v>1172</v>
      </c>
      <c r="U67" s="175" t="str">
        <f>IFERROR(SUM(SUMIFS('caseload data'!E:E,'caseload data'!$C:$C,'community %'!$T$64,'caseload data'!$D:$D,"PSO",'caseload data'!$B:$B,{"licence","community"}))/SUM(SUMIFS('caseload data'!E:E,'caseload data'!$B:$B,{"licence","community"},'caseload data'!$C:$C,'community %'!$T$64)),"")</f>
        <v/>
      </c>
      <c r="V67" s="175" t="str">
        <f>IFERROR(SUM(SUMIFS('caseload data'!F:F,'caseload data'!$C:$C,'community %'!$T$64,'caseload data'!$D:$D,"PSO",'caseload data'!$B:$B,{"licence","community"}))/SUM(SUMIFS('caseload data'!F:F,'caseload data'!$B:$B,{"licence","community"},'caseload data'!$C:$C,'community %'!$T$64)),"")</f>
        <v/>
      </c>
      <c r="W67" s="175" t="str">
        <f>IFERROR(SUM(SUMIFS('caseload data'!G:G,'caseload data'!$C:$C,'community %'!$T$64,'caseload data'!$D:$D,"PSO",'caseload data'!$B:$B,{"licence","community"}))/SUM(SUMIFS('caseload data'!G:G,'caseload data'!$B:$B,{"licence","community"},'caseload data'!$C:$C,'community %'!$T$64)),"")</f>
        <v/>
      </c>
      <c r="X67" s="175" t="str">
        <f>IFERROR(SUM(SUMIFS('caseload data'!H:H,'caseload data'!$C:$C,'community %'!$T$64,'caseload data'!$D:$D,"PSO",'caseload data'!$B:$B,{"licence","community"}))/SUM(SUMIFS('caseload data'!H:H,'caseload data'!$B:$B,{"licence","community"},'caseload data'!$C:$C,'community %'!$T$64)),"")</f>
        <v/>
      </c>
      <c r="Y67" s="175" t="str">
        <f>IFERROR(SUM(SUMIFS('caseload data'!I:I,'caseload data'!$C:$C,'community %'!$T$64,'caseload data'!$D:$D,"PSO",'caseload data'!$B:$B,{"licence","community"}))/SUM(SUMIFS('caseload data'!I:I,'caseload data'!$B:$B,{"licence","community"},'caseload data'!$C:$C,'community %'!$T$64)),"")</f>
        <v/>
      </c>
      <c r="Z67" s="175" t="str">
        <f>IFERROR(SUM(SUMIFS('caseload data'!J:J,'caseload data'!$C:$C,'community %'!$T$64,'caseload data'!$D:$D,"PSO",'caseload data'!$B:$B,{"licence","community"}))/SUM(SUMIFS('caseload data'!J:J,'caseload data'!$B:$B,{"licence","community"},'caseload data'!$C:$C,'community %'!$T$64)),"")</f>
        <v/>
      </c>
      <c r="AA67" s="175" t="str">
        <f>IFERROR(SUM(SUMIFS('caseload data'!K:K,'caseload data'!$C:$C,'community %'!$T$64,'caseload data'!$D:$D,"PSO",'caseload data'!$B:$B,{"licence","community"}))/SUM(SUMIFS('caseload data'!K:K,'caseload data'!$B:$B,{"licence","community"},'caseload data'!$C:$C,'community %'!$T$64)),"")</f>
        <v/>
      </c>
      <c r="AB67" s="175" t="str">
        <f>IFERROR(SUM(SUMIFS('caseload data'!L:L,'caseload data'!$C:$C,'community %'!$T$64,'caseload data'!$D:$D,"PSO",'caseload data'!$B:$B,{"licence","community"}))/SUM(SUMIFS('caseload data'!L:L,'caseload data'!$B:$B,{"licence","community"},'caseload data'!$C:$C,'community %'!$T$64)),"")</f>
        <v/>
      </c>
      <c r="AC67" s="175" t="str">
        <f>IFERROR(SUM(SUMIFS('caseload data'!M:M,'caseload data'!$C:$C,'community %'!$T$64,'caseload data'!$D:$D,"PSO",'caseload data'!$B:$B,{"licence","community"}))/SUM(SUMIFS('caseload data'!M:M,'caseload data'!$B:$B,{"licence","community"},'caseload data'!$C:$C,'community %'!$T$64)),"")</f>
        <v/>
      </c>
      <c r="AD67" s="175" t="str">
        <f>IFERROR(SUM(SUMIFS('caseload data'!N:N,'caseload data'!$C:$C,'community %'!$T$64,'caseload data'!$D:$D,"PSO",'caseload data'!$B:$B,{"licence","community"}))/SUM(SUMIFS('caseload data'!N:N,'caseload data'!$B:$B,{"licence","community"},'caseload data'!$C:$C,'community %'!$T$64)),"")</f>
        <v/>
      </c>
      <c r="AE67" s="175" t="str">
        <f>IFERROR(SUM(SUMIFS('caseload data'!O:O,'caseload data'!$C:$C,'community %'!$T$64,'caseload data'!$D:$D,"PSO",'caseload data'!$B:$B,{"licence","community"}))/SUM(SUMIFS('caseload data'!O:O,'caseload data'!$B:$B,{"licence","community"},'caseload data'!$C:$C,'community %'!$T$64)),"")</f>
        <v/>
      </c>
      <c r="AF67" s="175" t="str">
        <f>IFERROR(SUM(SUMIFS('caseload data'!P:P,'caseload data'!$C:$C,'community %'!$T$64,'caseload data'!$D:$D,"PSO",'caseload data'!$B:$B,{"licence","community"}))/SUM(SUMIFS('caseload data'!P:P,'caseload data'!$B:$B,{"licence","community"},'caseload data'!$C:$C,'community %'!$T$64)),"")</f>
        <v/>
      </c>
      <c r="AG67" s="175" t="str">
        <f>IFERROR(SUM(SUMIFS('caseload data'!Q:Q,'caseload data'!$C:$C,'community %'!$T$64,'caseload data'!$D:$D,"PSO",'caseload data'!$B:$B,{"licence","community"}))/SUM(SUMIFS('caseload data'!Q:Q,'caseload data'!$B:$B,{"licence","community"},'caseload data'!$C:$C,'community %'!$T$64)),"")</f>
        <v/>
      </c>
      <c r="AH67" s="175" t="str">
        <f>IFERROR(SUM(SUMIFS('caseload data'!R:R,'caseload data'!$C:$C,'community %'!$T$64,'caseload data'!$D:$D,"PSO",'caseload data'!$B:$B,{"licence","community"}))/SUM(SUMIFS('caseload data'!R:R,'caseload data'!$B:$B,{"licence","community"},'caseload data'!$C:$C,'community %'!$T$64)),"")</f>
        <v/>
      </c>
      <c r="AI67" s="175" t="str">
        <f>IFERROR(SUM(SUMIFS('caseload data'!S:S,'caseload data'!$C:$C,'community %'!$T$64,'caseload data'!$D:$D,"PSO",'caseload data'!$B:$B,{"licence","community"}))/SUM(SUMIFS('caseload data'!S:S,'caseload data'!$B:$B,{"licence","community"},'caseload data'!$C:$C,'community %'!$T$64)),"")</f>
        <v/>
      </c>
      <c r="AJ67" s="175" t="str">
        <f>IFERROR(SUM(SUMIFS('caseload data'!T:T,'caseload data'!$C:$C,'community %'!$T$64,'caseload data'!$D:$D,"PSO",'caseload data'!$B:$B,{"licence","community"}))/SUM(SUMIFS('caseload data'!T:T,'caseload data'!$B:$B,{"licence","community"},'caseload data'!$C:$C,'community %'!$T$64)),"")</f>
        <v/>
      </c>
    </row>
    <row r="68" spans="2:36" x14ac:dyDescent="0.15">
      <c r="B68" s="101" t="s">
        <v>1173</v>
      </c>
      <c r="C68" s="175" t="str">
        <f>IFERROR(SUM(SUMIFS('caseload data'!E:E,'caseload data'!$C:$C,'community %'!$B$64,'caseload data'!$D:$D,"TPO",'caseload data'!$B:$B,{"licence","community"}))/SUM(SUMIFS('caseload data'!E:E,'caseload data'!$B:$B,{"licence","community"},'caseload data'!$C:$C,'community %'!$B$64)),"")</f>
        <v/>
      </c>
      <c r="D68" s="175" t="str">
        <f>IFERROR(SUM(SUMIFS('caseload data'!F:F,'caseload data'!$C:$C,'community %'!$B$64,'caseload data'!$D:$D,"TPO",'caseload data'!$B:$B,{"licence","community"}))/SUM(SUMIFS('caseload data'!F:F,'caseload data'!$B:$B,{"licence","community"},'caseload data'!$C:$C,'community %'!$B$64)),"")</f>
        <v/>
      </c>
      <c r="E68" s="175" t="str">
        <f>IFERROR(SUM(SUMIFS('caseload data'!G:G,'caseload data'!$C:$C,'community %'!$B$64,'caseload data'!$D:$D,"TPO",'caseload data'!$B:$B,{"licence","community"}))/SUM(SUMIFS('caseload data'!G:G,'caseload data'!$B:$B,{"licence","community"},'caseload data'!$C:$C,'community %'!$B$64)),"")</f>
        <v/>
      </c>
      <c r="F68" s="175" t="str">
        <f>IFERROR(SUM(SUMIFS('caseload data'!H:H,'caseload data'!$C:$C,'community %'!$B$64,'caseload data'!$D:$D,"TPO",'caseload data'!$B:$B,{"licence","community"}))/SUM(SUMIFS('caseload data'!H:H,'caseload data'!$B:$B,{"licence","community"},'caseload data'!$C:$C,'community %'!$B$64)),"")</f>
        <v/>
      </c>
      <c r="G68" s="175" t="str">
        <f>IFERROR(SUM(SUMIFS('caseload data'!I:I,'caseload data'!$C:$C,'community %'!$B$64,'caseload data'!$D:$D,"TPO",'caseload data'!$B:$B,{"licence","community"}))/SUM(SUMIFS('caseload data'!I:I,'caseload data'!$B:$B,{"licence","community"},'caseload data'!$C:$C,'community %'!$B$64)),"")</f>
        <v/>
      </c>
      <c r="H68" s="175" t="str">
        <f>IFERROR(SUM(SUMIFS('caseload data'!J:J,'caseload data'!$C:$C,'community %'!$B$64,'caseload data'!$D:$D,"TPO",'caseload data'!$B:$B,{"licence","community"}))/SUM(SUMIFS('caseload data'!J:J,'caseload data'!$B:$B,{"licence","community"},'caseload data'!$C:$C,'community %'!$B$64)),"")</f>
        <v/>
      </c>
      <c r="I68" s="175" t="str">
        <f>IFERROR(SUM(SUMIFS('caseload data'!K:K,'caseload data'!$C:$C,'community %'!$B$64,'caseload data'!$D:$D,"TPO",'caseload data'!$B:$B,{"licence","community"}))/SUM(SUMIFS('caseload data'!K:K,'caseload data'!$B:$B,{"licence","community"},'caseload data'!$C:$C,'community %'!$B$64)),"")</f>
        <v/>
      </c>
      <c r="J68" s="175" t="str">
        <f>IFERROR(SUM(SUMIFS('caseload data'!L:L,'caseload data'!$C:$C,'community %'!$B$64,'caseload data'!$D:$D,"TPO",'caseload data'!$B:$B,{"licence","community"}))/SUM(SUMIFS('caseload data'!L:L,'caseload data'!$B:$B,{"licence","community"},'caseload data'!$C:$C,'community %'!$B$64)),"")</f>
        <v/>
      </c>
      <c r="K68" s="175" t="str">
        <f>IFERROR(SUM(SUMIFS('caseload data'!M:M,'caseload data'!$C:$C,'community %'!$B$64,'caseload data'!$D:$D,"TPO",'caseload data'!$B:$B,{"licence","community"}))/SUM(SUMIFS('caseload data'!M:M,'caseload data'!$B:$B,{"licence","community"},'caseload data'!$C:$C,'community %'!$B$64)),"")</f>
        <v/>
      </c>
      <c r="L68" s="175" t="str">
        <f>IFERROR(SUM(SUMIFS('caseload data'!N:N,'caseload data'!$C:$C,'community %'!$B$64,'caseload data'!$D:$D,"TPO",'caseload data'!$B:$B,{"licence","community"}))/SUM(SUMIFS('caseload data'!N:N,'caseload data'!$B:$B,{"licence","community"},'caseload data'!$C:$C,'community %'!$B$64)),"")</f>
        <v/>
      </c>
      <c r="M68" s="175" t="str">
        <f>IFERROR(SUM(SUMIFS('caseload data'!O:O,'caseload data'!$C:$C,'community %'!$B$64,'caseload data'!$D:$D,"TPO",'caseload data'!$B:$B,{"licence","community"}))/SUM(SUMIFS('caseload data'!O:O,'caseload data'!$B:$B,{"licence","community"},'caseload data'!$C:$C,'community %'!$B$64)),"")</f>
        <v/>
      </c>
      <c r="N68" s="175" t="str">
        <f>IFERROR(SUM(SUMIFS('caseload data'!P:P,'caseload data'!$C:$C,'community %'!$B$64,'caseload data'!$D:$D,"TPO",'caseload data'!$B:$B,{"licence","community"}))/SUM(SUMIFS('caseload data'!P:P,'caseload data'!$B:$B,{"licence","community"},'caseload data'!$C:$C,'community %'!$B$64)),"")</f>
        <v/>
      </c>
      <c r="O68" s="175" t="str">
        <f>IFERROR(SUM(SUMIFS('caseload data'!Q:Q,'caseload data'!$C:$C,'community %'!$B$64,'caseload data'!$D:$D,"TPO",'caseload data'!$B:$B,{"licence","community"}))/SUM(SUMIFS('caseload data'!Q:Q,'caseload data'!$B:$B,{"licence","community"},'caseload data'!$C:$C,'community %'!$B$64)),"")</f>
        <v/>
      </c>
      <c r="P68" s="175" t="str">
        <f>IFERROR(SUM(SUMIFS('caseload data'!R:R,'caseload data'!$C:$C,'community %'!$B$64,'caseload data'!$D:$D,"TPO",'caseload data'!$B:$B,{"licence","community"}))/SUM(SUMIFS('caseload data'!R:R,'caseload data'!$B:$B,{"licence","community"},'caseload data'!$C:$C,'community %'!$B$64)),"")</f>
        <v/>
      </c>
      <c r="Q68" s="175" t="str">
        <f>IFERROR(SUM(SUMIFS('caseload data'!S:S,'caseload data'!$C:$C,'community %'!$B$64,'caseload data'!$D:$D,"TPO",'caseload data'!$B:$B,{"licence","community"}))/SUM(SUMIFS('caseload data'!S:S,'caseload data'!$B:$B,{"licence","community"},'caseload data'!$C:$C,'community %'!$B$64)),"")</f>
        <v/>
      </c>
      <c r="R68" s="175" t="str">
        <f>IFERROR(SUM(SUMIFS('caseload data'!T:T,'caseload data'!$C:$C,'community %'!$B$64,'caseload data'!$D:$D,"TPO",'caseload data'!$B:$B,{"licence","community"}))/SUM(SUMIFS('caseload data'!T:T,'caseload data'!$B:$B,{"licence","community"},'caseload data'!$C:$C,'community %'!$B$64)),"")</f>
        <v/>
      </c>
      <c r="S68" s="68"/>
      <c r="T68" s="101" t="s">
        <v>1173</v>
      </c>
      <c r="U68" s="175" t="str">
        <f>IFERROR(SUM(SUMIFS('caseload data'!E:E,'caseload data'!$C:$C,'community %'!$T$64,'caseload data'!$D:$D,"TPO",'caseload data'!$B:$B,{"licence","community"}))/SUM(SUMIFS('caseload data'!E:E,'caseload data'!$B:$B,{"licence","community"},'caseload data'!$C:$C,'community %'!$T$64)),"")</f>
        <v/>
      </c>
      <c r="V68" s="175" t="str">
        <f>IFERROR(SUM(SUMIFS('caseload data'!F:F,'caseload data'!$C:$C,'community %'!$T$64,'caseload data'!$D:$D,"TPO",'caseload data'!$B:$B,{"licence","community"}))/SUM(SUMIFS('caseload data'!F:F,'caseload data'!$B:$B,{"licence","community"},'caseload data'!$C:$C,'community %'!$T$64)),"")</f>
        <v/>
      </c>
      <c r="W68" s="175" t="str">
        <f>IFERROR(SUM(SUMIFS('caseload data'!G:G,'caseload data'!$C:$C,'community %'!$T$64,'caseload data'!$D:$D,"TPO",'caseload data'!$B:$B,{"licence","community"}))/SUM(SUMIFS('caseload data'!G:G,'caseload data'!$B:$B,{"licence","community"},'caseload data'!$C:$C,'community %'!$T$64)),"")</f>
        <v/>
      </c>
      <c r="X68" s="175" t="str">
        <f>IFERROR(SUM(SUMIFS('caseload data'!H:H,'caseload data'!$C:$C,'community %'!$T$64,'caseload data'!$D:$D,"TPO",'caseload data'!$B:$B,{"licence","community"}))/SUM(SUMIFS('caseload data'!H:H,'caseload data'!$B:$B,{"licence","community"},'caseload data'!$C:$C,'community %'!$T$64)),"")</f>
        <v/>
      </c>
      <c r="Y68" s="175" t="str">
        <f>IFERROR(SUM(SUMIFS('caseload data'!I:I,'caseload data'!$C:$C,'community %'!$T$64,'caseload data'!$D:$D,"TPO",'caseload data'!$B:$B,{"licence","community"}))/SUM(SUMIFS('caseload data'!I:I,'caseload data'!$B:$B,{"licence","community"},'caseload data'!$C:$C,'community %'!$T$64)),"")</f>
        <v/>
      </c>
      <c r="Z68" s="175" t="str">
        <f>IFERROR(SUM(SUMIFS('caseload data'!J:J,'caseload data'!$C:$C,'community %'!$T$64,'caseload data'!$D:$D,"TPO",'caseload data'!$B:$B,{"licence","community"}))/SUM(SUMIFS('caseload data'!J:J,'caseload data'!$B:$B,{"licence","community"},'caseload data'!$C:$C,'community %'!$T$64)),"")</f>
        <v/>
      </c>
      <c r="AA68" s="175" t="str">
        <f>IFERROR(SUM(SUMIFS('caseload data'!K:K,'caseload data'!$C:$C,'community %'!$T$64,'caseload data'!$D:$D,"TPO",'caseload data'!$B:$B,{"licence","community"}))/SUM(SUMIFS('caseload data'!K:K,'caseload data'!$B:$B,{"licence","community"},'caseload data'!$C:$C,'community %'!$T$64)),"")</f>
        <v/>
      </c>
      <c r="AB68" s="175" t="str">
        <f>IFERROR(SUM(SUMIFS('caseload data'!L:L,'caseload data'!$C:$C,'community %'!$T$64,'caseload data'!$D:$D,"TPO",'caseload data'!$B:$B,{"licence","community"}))/SUM(SUMIFS('caseload data'!L:L,'caseload data'!$B:$B,{"licence","community"},'caseload data'!$C:$C,'community %'!$T$64)),"")</f>
        <v/>
      </c>
      <c r="AC68" s="175" t="str">
        <f>IFERROR(SUM(SUMIFS('caseload data'!M:M,'caseload data'!$C:$C,'community %'!$T$64,'caseload data'!$D:$D,"TPO",'caseload data'!$B:$B,{"licence","community"}))/SUM(SUMIFS('caseload data'!M:M,'caseload data'!$B:$B,{"licence","community"},'caseload data'!$C:$C,'community %'!$T$64)),"")</f>
        <v/>
      </c>
      <c r="AD68" s="175" t="str">
        <f>IFERROR(SUM(SUMIFS('caseload data'!N:N,'caseload data'!$C:$C,'community %'!$T$64,'caseload data'!$D:$D,"TPO",'caseload data'!$B:$B,{"licence","community"}))/SUM(SUMIFS('caseload data'!N:N,'caseload data'!$B:$B,{"licence","community"},'caseload data'!$C:$C,'community %'!$T$64)),"")</f>
        <v/>
      </c>
      <c r="AE68" s="175" t="str">
        <f>IFERROR(SUM(SUMIFS('caseload data'!O:O,'caseload data'!$C:$C,'community %'!$T$64,'caseload data'!$D:$D,"TPO",'caseload data'!$B:$B,{"licence","community"}))/SUM(SUMIFS('caseload data'!O:O,'caseload data'!$B:$B,{"licence","community"},'caseload data'!$C:$C,'community %'!$T$64)),"")</f>
        <v/>
      </c>
      <c r="AF68" s="175" t="str">
        <f>IFERROR(SUM(SUMIFS('caseload data'!P:P,'caseload data'!$C:$C,'community %'!$T$64,'caseload data'!$D:$D,"TPO",'caseload data'!$B:$B,{"licence","community"}))/SUM(SUMIFS('caseload data'!P:P,'caseload data'!$B:$B,{"licence","community"},'caseload data'!$C:$C,'community %'!$T$64)),"")</f>
        <v/>
      </c>
      <c r="AG68" s="175" t="str">
        <f>IFERROR(SUM(SUMIFS('caseload data'!Q:Q,'caseload data'!$C:$C,'community %'!$T$64,'caseload data'!$D:$D,"TPO",'caseload data'!$B:$B,{"licence","community"}))/SUM(SUMIFS('caseload data'!Q:Q,'caseload data'!$B:$B,{"licence","community"},'caseload data'!$C:$C,'community %'!$T$64)),"")</f>
        <v/>
      </c>
      <c r="AH68" s="175" t="str">
        <f>IFERROR(SUM(SUMIFS('caseload data'!R:R,'caseload data'!$C:$C,'community %'!$T$64,'caseload data'!$D:$D,"TPO",'caseload data'!$B:$B,{"licence","community"}))/SUM(SUMIFS('caseload data'!R:R,'caseload data'!$B:$B,{"licence","community"},'caseload data'!$C:$C,'community %'!$T$64)),"")</f>
        <v/>
      </c>
      <c r="AI68" s="175" t="str">
        <f>IFERROR(SUM(SUMIFS('caseload data'!S:S,'caseload data'!$C:$C,'community %'!$T$64,'caseload data'!$D:$D,"TPO",'caseload data'!$B:$B,{"licence","community"}))/SUM(SUMIFS('caseload data'!S:S,'caseload data'!$B:$B,{"licence","community"},'caseload data'!$C:$C,'community %'!$T$64)),"")</f>
        <v/>
      </c>
      <c r="AJ68" s="175" t="str">
        <f>IFERROR(SUM(SUMIFS('caseload data'!T:T,'caseload data'!$C:$C,'community %'!$T$64,'caseload data'!$D:$D,"TPO",'caseload data'!$B:$B,{"licence","community"}))/SUM(SUMIFS('caseload data'!T:T,'caseload data'!$B:$B,{"licence","community"},'caseload data'!$C:$C,'community %'!$T$64)),"")</f>
        <v/>
      </c>
    </row>
    <row r="69" spans="2:36" x14ac:dyDescent="0.15">
      <c r="B69" s="102" t="s">
        <v>1174</v>
      </c>
      <c r="C69" s="175" t="str">
        <f>IFERROR(SUM(SUMIFS('caseload data'!E:E,'caseload data'!$C:$C,'community %'!$B$64,'caseload data'!$D:$D,"SPO",'caseload data'!$B:$B,{"licence","community"}))/SUM(SUMIFS('caseload data'!E:E,'caseload data'!$B:$B,{"licence","community"},'caseload data'!$C:$C,'community %'!$B$64)),"")</f>
        <v/>
      </c>
      <c r="D69" s="175" t="str">
        <f>IFERROR(SUM(SUMIFS('caseload data'!F:F,'caseload data'!$C:$C,'community %'!$B$64,'caseload data'!$D:$D,"SPO",'caseload data'!$B:$B,{"licence","community"}))/SUM(SUMIFS('caseload data'!F:F,'caseload data'!$B:$B,{"licence","community"},'caseload data'!$C:$C,'community %'!$B$64)),"")</f>
        <v/>
      </c>
      <c r="E69" s="175" t="str">
        <f>IFERROR(SUM(SUMIFS('caseload data'!G:G,'caseload data'!$C:$C,'community %'!$B$64,'caseload data'!$D:$D,"SPO",'caseload data'!$B:$B,{"licence","community"}))/SUM(SUMIFS('caseload data'!G:G,'caseload data'!$B:$B,{"licence","community"},'caseload data'!$C:$C,'community %'!$B$64)),"")</f>
        <v/>
      </c>
      <c r="F69" s="175" t="str">
        <f>IFERROR(SUM(SUMIFS('caseload data'!H:H,'caseload data'!$C:$C,'community %'!$B$64,'caseload data'!$D:$D,"SPO",'caseload data'!$B:$B,{"licence","community"}))/SUM(SUMIFS('caseload data'!H:H,'caseload data'!$B:$B,{"licence","community"},'caseload data'!$C:$C,'community %'!$B$64)),"")</f>
        <v/>
      </c>
      <c r="G69" s="175" t="str">
        <f>IFERROR(SUM(SUMIFS('caseload data'!I:I,'caseload data'!$C:$C,'community %'!$B$64,'caseload data'!$D:$D,"SPO",'caseload data'!$B:$B,{"licence","community"}))/SUM(SUMIFS('caseload data'!I:I,'caseload data'!$B:$B,{"licence","community"},'caseload data'!$C:$C,'community %'!$B$64)),"")</f>
        <v/>
      </c>
      <c r="H69" s="175" t="str">
        <f>IFERROR(SUM(SUMIFS('caseload data'!J:J,'caseload data'!$C:$C,'community %'!$B$64,'caseload data'!$D:$D,"SPO",'caseload data'!$B:$B,{"licence","community"}))/SUM(SUMIFS('caseload data'!J:J,'caseload data'!$B:$B,{"licence","community"},'caseload data'!$C:$C,'community %'!$B$64)),"")</f>
        <v/>
      </c>
      <c r="I69" s="175" t="str">
        <f>IFERROR(SUM(SUMIFS('caseload data'!K:K,'caseload data'!$C:$C,'community %'!$B$64,'caseload data'!$D:$D,"SPO",'caseload data'!$B:$B,{"licence","community"}))/SUM(SUMIFS('caseload data'!K:K,'caseload data'!$B:$B,{"licence","community"},'caseload data'!$C:$C,'community %'!$B$64)),"")</f>
        <v/>
      </c>
      <c r="J69" s="175" t="str">
        <f>IFERROR(SUM(SUMIFS('caseload data'!L:L,'caseload data'!$C:$C,'community %'!$B$64,'caseload data'!$D:$D,"SPO",'caseload data'!$B:$B,{"licence","community"}))/SUM(SUMIFS('caseload data'!L:L,'caseload data'!$B:$B,{"licence","community"},'caseload data'!$C:$C,'community %'!$B$64)),"")</f>
        <v/>
      </c>
      <c r="K69" s="175" t="str">
        <f>IFERROR(SUM(SUMIFS('caseload data'!M:M,'caseload data'!$C:$C,'community %'!$B$64,'caseload data'!$D:$D,"SPO",'caseload data'!$B:$B,{"licence","community"}))/SUM(SUMIFS('caseload data'!M:M,'caseload data'!$B:$B,{"licence","community"},'caseload data'!$C:$C,'community %'!$B$64)),"")</f>
        <v/>
      </c>
      <c r="L69" s="175" t="str">
        <f>IFERROR(SUM(SUMIFS('caseload data'!N:N,'caseload data'!$C:$C,'community %'!$B$64,'caseload data'!$D:$D,"SPO",'caseload data'!$B:$B,{"licence","community"}))/SUM(SUMIFS('caseload data'!N:N,'caseload data'!$B:$B,{"licence","community"},'caseload data'!$C:$C,'community %'!$B$64)),"")</f>
        <v/>
      </c>
      <c r="M69" s="175" t="str">
        <f>IFERROR(SUM(SUMIFS('caseload data'!O:O,'caseload data'!$C:$C,'community %'!$B$64,'caseload data'!$D:$D,"SPO",'caseload data'!$B:$B,{"licence","community"}))/SUM(SUMIFS('caseload data'!O:O,'caseload data'!$B:$B,{"licence","community"},'caseload data'!$C:$C,'community %'!$B$64)),"")</f>
        <v/>
      </c>
      <c r="N69" s="175" t="str">
        <f>IFERROR(SUM(SUMIFS('caseload data'!P:P,'caseload data'!$C:$C,'community %'!$B$64,'caseload data'!$D:$D,"SPO",'caseload data'!$B:$B,{"licence","community"}))/SUM(SUMIFS('caseload data'!P:P,'caseload data'!$B:$B,{"licence","community"},'caseload data'!$C:$C,'community %'!$B$64)),"")</f>
        <v/>
      </c>
      <c r="O69" s="175" t="str">
        <f>IFERROR(SUM(SUMIFS('caseload data'!Q:Q,'caseload data'!$C:$C,'community %'!$B$64,'caseload data'!$D:$D,"SPO",'caseload data'!$B:$B,{"licence","community"}))/SUM(SUMIFS('caseload data'!Q:Q,'caseload data'!$B:$B,{"licence","community"},'caseload data'!$C:$C,'community %'!$B$64)),"")</f>
        <v/>
      </c>
      <c r="P69" s="175" t="str">
        <f>IFERROR(SUM(SUMIFS('caseload data'!R:R,'caseload data'!$C:$C,'community %'!$B$64,'caseload data'!$D:$D,"SPO",'caseload data'!$B:$B,{"licence","community"}))/SUM(SUMIFS('caseload data'!R:R,'caseload data'!$B:$B,{"licence","community"},'caseload data'!$C:$C,'community %'!$B$64)),"")</f>
        <v/>
      </c>
      <c r="Q69" s="175" t="str">
        <f>IFERROR(SUM(SUMIFS('caseload data'!S:S,'caseload data'!$C:$C,'community %'!$B$64,'caseload data'!$D:$D,"SPO",'caseload data'!$B:$B,{"licence","community"}))/SUM(SUMIFS('caseload data'!S:S,'caseload data'!$B:$B,{"licence","community"},'caseload data'!$C:$C,'community %'!$B$64)),"")</f>
        <v/>
      </c>
      <c r="R69" s="175" t="str">
        <f>IFERROR(SUM(SUMIFS('caseload data'!T:T,'caseload data'!$C:$C,'community %'!$B$64,'caseload data'!$D:$D,"SPO",'caseload data'!$B:$B,{"licence","community"}))/SUM(SUMIFS('caseload data'!T:T,'caseload data'!$B:$B,{"licence","community"},'caseload data'!$C:$C,'community %'!$B$64)),"")</f>
        <v/>
      </c>
      <c r="S69" s="68"/>
      <c r="T69" s="102" t="s">
        <v>1174</v>
      </c>
      <c r="U69" s="175" t="str">
        <f>IFERROR(SUM(SUMIFS('caseload data'!E:E,'caseload data'!$C:$C,'community %'!$T$64,'caseload data'!$D:$D,"SPO",'caseload data'!$B:$B,{"licence","community"}))/SUM(SUMIFS('caseload data'!E:E,'caseload data'!$B:$B,{"licence","community"},'caseload data'!$C:$C,'community %'!$T$64)),"")</f>
        <v/>
      </c>
      <c r="V69" s="175" t="str">
        <f>IFERROR(SUM(SUMIFS('caseload data'!F:F,'caseload data'!$C:$C,'community %'!$T$64,'caseload data'!$D:$D,"SPO",'caseload data'!$B:$B,{"licence","community"}))/SUM(SUMIFS('caseload data'!F:F,'caseload data'!$B:$B,{"licence","community"},'caseload data'!$C:$C,'community %'!$T$64)),"")</f>
        <v/>
      </c>
      <c r="W69" s="175" t="str">
        <f>IFERROR(SUM(SUMIFS('caseload data'!G:G,'caseload data'!$C:$C,'community %'!$T$64,'caseload data'!$D:$D,"SPO",'caseload data'!$B:$B,{"licence","community"}))/SUM(SUMIFS('caseload data'!G:G,'caseload data'!$B:$B,{"licence","community"},'caseload data'!$C:$C,'community %'!$T$64)),"")</f>
        <v/>
      </c>
      <c r="X69" s="175" t="str">
        <f>IFERROR(SUM(SUMIFS('caseload data'!H:H,'caseload data'!$C:$C,'community %'!$T$64,'caseload data'!$D:$D,"SPO",'caseload data'!$B:$B,{"licence","community"}))/SUM(SUMIFS('caseload data'!H:H,'caseload data'!$B:$B,{"licence","community"},'caseload data'!$C:$C,'community %'!$T$64)),"")</f>
        <v/>
      </c>
      <c r="Y69" s="175" t="str">
        <f>IFERROR(SUM(SUMIFS('caseload data'!I:I,'caseload data'!$C:$C,'community %'!$T$64,'caseload data'!$D:$D,"SPO",'caseload data'!$B:$B,{"licence","community"}))/SUM(SUMIFS('caseload data'!I:I,'caseload data'!$B:$B,{"licence","community"},'caseload data'!$C:$C,'community %'!$T$64)),"")</f>
        <v/>
      </c>
      <c r="Z69" s="175" t="str">
        <f>IFERROR(SUM(SUMIFS('caseload data'!J:J,'caseload data'!$C:$C,'community %'!$T$64,'caseload data'!$D:$D,"SPO",'caseload data'!$B:$B,{"licence","community"}))/SUM(SUMIFS('caseload data'!J:J,'caseload data'!$B:$B,{"licence","community"},'caseload data'!$C:$C,'community %'!$T$64)),"")</f>
        <v/>
      </c>
      <c r="AA69" s="175" t="str">
        <f>IFERROR(SUM(SUMIFS('caseload data'!K:K,'caseload data'!$C:$C,'community %'!$T$64,'caseload data'!$D:$D,"SPO",'caseload data'!$B:$B,{"licence","community"}))/SUM(SUMIFS('caseload data'!K:K,'caseload data'!$B:$B,{"licence","community"},'caseload data'!$C:$C,'community %'!$T$64)),"")</f>
        <v/>
      </c>
      <c r="AB69" s="175" t="str">
        <f>IFERROR(SUM(SUMIFS('caseload data'!L:L,'caseload data'!$C:$C,'community %'!$T$64,'caseload data'!$D:$D,"SPO",'caseload data'!$B:$B,{"licence","community"}))/SUM(SUMIFS('caseload data'!L:L,'caseload data'!$B:$B,{"licence","community"},'caseload data'!$C:$C,'community %'!$T$64)),"")</f>
        <v/>
      </c>
      <c r="AC69" s="175" t="str">
        <f>IFERROR(SUM(SUMIFS('caseload data'!M:M,'caseload data'!$C:$C,'community %'!$T$64,'caseload data'!$D:$D,"SPO",'caseload data'!$B:$B,{"licence","community"}))/SUM(SUMIFS('caseload data'!M:M,'caseload data'!$B:$B,{"licence","community"},'caseload data'!$C:$C,'community %'!$T$64)),"")</f>
        <v/>
      </c>
      <c r="AD69" s="175" t="str">
        <f>IFERROR(SUM(SUMIFS('caseload data'!N:N,'caseload data'!$C:$C,'community %'!$T$64,'caseload data'!$D:$D,"SPO",'caseload data'!$B:$B,{"licence","community"}))/SUM(SUMIFS('caseload data'!N:N,'caseload data'!$B:$B,{"licence","community"},'caseload data'!$C:$C,'community %'!$T$64)),"")</f>
        <v/>
      </c>
      <c r="AE69" s="175" t="str">
        <f>IFERROR(SUM(SUMIFS('caseload data'!O:O,'caseload data'!$C:$C,'community %'!$T$64,'caseload data'!$D:$D,"SPO",'caseload data'!$B:$B,{"licence","community"}))/SUM(SUMIFS('caseload data'!O:O,'caseload data'!$B:$B,{"licence","community"},'caseload data'!$C:$C,'community %'!$T$64)),"")</f>
        <v/>
      </c>
      <c r="AF69" s="175" t="str">
        <f>IFERROR(SUM(SUMIFS('caseload data'!P:P,'caseload data'!$C:$C,'community %'!$T$64,'caseload data'!$D:$D,"SPO",'caseload data'!$B:$B,{"licence","community"}))/SUM(SUMIFS('caseload data'!P:P,'caseload data'!$B:$B,{"licence","community"},'caseload data'!$C:$C,'community %'!$T$64)),"")</f>
        <v/>
      </c>
      <c r="AG69" s="175" t="str">
        <f>IFERROR(SUM(SUMIFS('caseload data'!Q:Q,'caseload data'!$C:$C,'community %'!$T$64,'caseload data'!$D:$D,"SPO",'caseload data'!$B:$B,{"licence","community"}))/SUM(SUMIFS('caseload data'!Q:Q,'caseload data'!$B:$B,{"licence","community"},'caseload data'!$C:$C,'community %'!$T$64)),"")</f>
        <v/>
      </c>
      <c r="AH69" s="175" t="str">
        <f>IFERROR(SUM(SUMIFS('caseload data'!R:R,'caseload data'!$C:$C,'community %'!$T$64,'caseload data'!$D:$D,"SPO",'caseload data'!$B:$B,{"licence","community"}))/SUM(SUMIFS('caseload data'!R:R,'caseload data'!$B:$B,{"licence","community"},'caseload data'!$C:$C,'community %'!$T$64)),"")</f>
        <v/>
      </c>
      <c r="AI69" s="175" t="str">
        <f>IFERROR(SUM(SUMIFS('caseload data'!S:S,'caseload data'!$C:$C,'community %'!$T$64,'caseload data'!$D:$D,"SPO",'caseload data'!$B:$B,{"licence","community"}))/SUM(SUMIFS('caseload data'!S:S,'caseload data'!$B:$B,{"licence","community"},'caseload data'!$C:$C,'community %'!$T$64)),"")</f>
        <v/>
      </c>
      <c r="AJ69" s="175" t="str">
        <f>IFERROR(SUM(SUMIFS('caseload data'!T:T,'caseload data'!$C:$C,'community %'!$T$64,'caseload data'!$D:$D,"SPO",'caseload data'!$B:$B,{"licence","community"}))/SUM(SUMIFS('caseload data'!T:T,'caseload data'!$B:$B,{"licence","community"},'caseload data'!$C:$C,'community %'!$T$64)),"")</f>
        <v/>
      </c>
    </row>
    <row r="71" spans="2:36" ht="22.5" customHeight="1" x14ac:dyDescent="0.15">
      <c r="B71" s="302" t="str">
        <f>HLOOKUP($B$5,Region_Table,20,0)</f>
        <v>Redbridge and Waltham Forest</v>
      </c>
      <c r="C71" s="459" t="s">
        <v>1313</v>
      </c>
      <c r="D71" s="460"/>
      <c r="E71" s="460"/>
      <c r="F71" s="460"/>
      <c r="G71" s="460"/>
      <c r="H71" s="460"/>
      <c r="I71" s="460"/>
      <c r="J71" s="460"/>
      <c r="K71" s="460"/>
      <c r="L71" s="460"/>
      <c r="M71" s="489"/>
      <c r="N71" s="489"/>
      <c r="O71" s="490"/>
      <c r="P71" s="462" cm="1">
        <f t="array" ref="P71">SUM(SUMIFS('caseload data'!V:V,'caseload data'!B:B,{"licence","community"},'caseload data'!$C:$C,B71))</f>
        <v>0</v>
      </c>
      <c r="Q71" s="479"/>
      <c r="R71" s="480"/>
      <c r="T71" s="302" t="str">
        <f>HLOOKUP($B$5,Region_Table,21,0)</f>
        <v>Southwark - N07</v>
      </c>
      <c r="U71" s="459" t="s">
        <v>1313</v>
      </c>
      <c r="V71" s="460"/>
      <c r="W71" s="460"/>
      <c r="X71" s="460"/>
      <c r="Y71" s="460"/>
      <c r="Z71" s="460"/>
      <c r="AA71" s="460"/>
      <c r="AB71" s="460"/>
      <c r="AC71" s="460"/>
      <c r="AD71" s="460"/>
      <c r="AE71" s="489"/>
      <c r="AF71" s="489"/>
      <c r="AG71" s="490"/>
      <c r="AH71" s="462" cm="1">
        <f t="array" ref="AH71">SUM(SUMIFS('caseload data'!V:V,'caseload data'!B:B,{"licence","community"},'caseload data'!$C:$C,T71))</f>
        <v>0</v>
      </c>
      <c r="AI71" s="479"/>
      <c r="AJ71" s="480"/>
    </row>
    <row r="72" spans="2:36" x14ac:dyDescent="0.15">
      <c r="B72" s="99" t="s">
        <v>1170</v>
      </c>
      <c r="C72" s="40" t="s">
        <v>1022</v>
      </c>
      <c r="D72" s="40" t="s">
        <v>1023</v>
      </c>
      <c r="E72" s="40" t="s">
        <v>1024</v>
      </c>
      <c r="F72" s="40" t="s">
        <v>1025</v>
      </c>
      <c r="G72" s="40" t="s">
        <v>1026</v>
      </c>
      <c r="H72" s="40" t="s">
        <v>1027</v>
      </c>
      <c r="I72" s="40" t="s">
        <v>1028</v>
      </c>
      <c r="J72" s="40" t="s">
        <v>1029</v>
      </c>
      <c r="K72" s="40" t="s">
        <v>1030</v>
      </c>
      <c r="L72" s="40" t="s">
        <v>1031</v>
      </c>
      <c r="M72" s="40" t="s">
        <v>1032</v>
      </c>
      <c r="N72" s="40" t="s">
        <v>1033</v>
      </c>
      <c r="O72" s="40" t="s">
        <v>1034</v>
      </c>
      <c r="P72" s="40" t="s">
        <v>1035</v>
      </c>
      <c r="Q72" s="40" t="s">
        <v>1036</v>
      </c>
      <c r="R72" s="40" t="s">
        <v>1037</v>
      </c>
      <c r="T72" s="99" t="s">
        <v>1170</v>
      </c>
      <c r="U72" s="40" t="s">
        <v>1022</v>
      </c>
      <c r="V72" s="40" t="s">
        <v>1023</v>
      </c>
      <c r="W72" s="40" t="s">
        <v>1024</v>
      </c>
      <c r="X72" s="40" t="s">
        <v>1025</v>
      </c>
      <c r="Y72" s="40" t="s">
        <v>1026</v>
      </c>
      <c r="Z72" s="40" t="s">
        <v>1027</v>
      </c>
      <c r="AA72" s="40" t="s">
        <v>1028</v>
      </c>
      <c r="AB72" s="40" t="s">
        <v>1029</v>
      </c>
      <c r="AC72" s="40" t="s">
        <v>1030</v>
      </c>
      <c r="AD72" s="40" t="s">
        <v>1031</v>
      </c>
      <c r="AE72" s="40" t="s">
        <v>1032</v>
      </c>
      <c r="AF72" s="40" t="s">
        <v>1033</v>
      </c>
      <c r="AG72" s="40" t="s">
        <v>1034</v>
      </c>
      <c r="AH72" s="40" t="s">
        <v>1035</v>
      </c>
      <c r="AI72" s="40" t="s">
        <v>1036</v>
      </c>
      <c r="AJ72" s="40" t="s">
        <v>1037</v>
      </c>
    </row>
    <row r="73" spans="2:36" x14ac:dyDescent="0.15">
      <c r="B73" s="100" t="s">
        <v>1166</v>
      </c>
      <c r="C73" s="175" t="str">
        <f>IFERROR(SUM(SUMIFS('caseload data'!E:E,'caseload data'!$C:$C,'community %'!$B$71,'caseload data'!$D:$D,"PO",'caseload data'!$B:$B,{"licence","community"}))/SUM(SUMIFS('caseload data'!E:E,'caseload data'!$B:$B,{"licence","community"},'caseload data'!$C:$C,'community %'!$B$71)),"")</f>
        <v/>
      </c>
      <c r="D73" s="175" t="str">
        <f>IFERROR(SUM(SUMIFS('caseload data'!F:F,'caseload data'!$C:$C,'community %'!$B$71,'caseload data'!$D:$D,"PO",'caseload data'!$B:$B,{"licence","community"}))/SUM(SUMIFS('caseload data'!F:F,'caseload data'!$B:$B,{"licence","community"},'caseload data'!$C:$C,'community %'!$B$71)),"")</f>
        <v/>
      </c>
      <c r="E73" s="175" t="str">
        <f>IFERROR(SUM(SUMIFS('caseload data'!G:G,'caseload data'!$C:$C,'community %'!$B$71,'caseload data'!$D:$D,"PO",'caseload data'!$B:$B,{"licence","community"}))/SUM(SUMIFS('caseload data'!G:G,'caseload data'!$B:$B,{"licence","community"},'caseload data'!$C:$C,'community %'!$B$71)),"")</f>
        <v/>
      </c>
      <c r="F73" s="175" t="str">
        <f>IFERROR(SUM(SUMIFS('caseload data'!H:H,'caseload data'!$C:$C,'community %'!$B$71,'caseload data'!$D:$D,"PO",'caseload data'!$B:$B,{"licence","community"}))/SUM(SUMIFS('caseload data'!H:H,'caseload data'!$B:$B,{"licence","community"},'caseload data'!$C:$C,'community %'!$B$71)),"")</f>
        <v/>
      </c>
      <c r="G73" s="175" t="str">
        <f>IFERROR(SUM(SUMIFS('caseload data'!I:I,'caseload data'!$C:$C,'community %'!$B$71,'caseload data'!$D:$D,"PO",'caseload data'!$B:$B,{"licence","community"}))/SUM(SUMIFS('caseload data'!I:I,'caseload data'!$B:$B,{"licence","community"},'caseload data'!$C:$C,'community %'!$B$71)),"")</f>
        <v/>
      </c>
      <c r="H73" s="175" t="str">
        <f>IFERROR(SUM(SUMIFS('caseload data'!J:J,'caseload data'!$C:$C,'community %'!$B$71,'caseload data'!$D:$D,"PO",'caseload data'!$B:$B,{"licence","community"}))/SUM(SUMIFS('caseload data'!J:J,'caseload data'!$B:$B,{"licence","community"},'caseload data'!$C:$C,'community %'!$B$71)),"")</f>
        <v/>
      </c>
      <c r="I73" s="175" t="str">
        <f>IFERROR(SUM(SUMIFS('caseload data'!K:K,'caseload data'!$C:$C,'community %'!$B$71,'caseload data'!$D:$D,"PO",'caseload data'!$B:$B,{"licence","community"}))/SUM(SUMIFS('caseload data'!K:K,'caseload data'!$B:$B,{"licence","community"},'caseload data'!$C:$C,'community %'!$B$71)),"")</f>
        <v/>
      </c>
      <c r="J73" s="175" t="str">
        <f>IFERROR(SUM(SUMIFS('caseload data'!L:L,'caseload data'!$C:$C,'community %'!$B$71,'caseload data'!$D:$D,"PO",'caseload data'!$B:$B,{"licence","community"}))/SUM(SUMIFS('caseload data'!L:L,'caseload data'!$B:$B,{"licence","community"},'caseload data'!$C:$C,'community %'!$B$71)),"")</f>
        <v/>
      </c>
      <c r="K73" s="175" t="str">
        <f>IFERROR(SUM(SUMIFS('caseload data'!M:M,'caseload data'!$C:$C,'community %'!$B$71,'caseload data'!$D:$D,"PO",'caseload data'!$B:$B,{"licence","community"}))/SUM(SUMIFS('caseload data'!M:M,'caseload data'!$B:$B,{"licence","community"},'caseload data'!$C:$C,'community %'!$B$71)),"")</f>
        <v/>
      </c>
      <c r="L73" s="175" t="str">
        <f>IFERROR(SUM(SUMIFS('caseload data'!N:N,'caseload data'!$C:$C,'community %'!$B$71,'caseload data'!$D:$D,"PO",'caseload data'!$B:$B,{"licence","community"}))/SUM(SUMIFS('caseload data'!N:N,'caseload data'!$B:$B,{"licence","community"},'caseload data'!$C:$C,'community %'!$B$71)),"")</f>
        <v/>
      </c>
      <c r="M73" s="175" t="str">
        <f>IFERROR(SUM(SUMIFS('caseload data'!O:O,'caseload data'!$C:$C,'community %'!$B$71,'caseload data'!$D:$D,"PO",'caseload data'!$B:$B,{"licence","community"}))/SUM(SUMIFS('caseload data'!O:O,'caseload data'!$B:$B,{"licence","community"},'caseload data'!$C:$C,'community %'!$B$71)),"")</f>
        <v/>
      </c>
      <c r="N73" s="175" t="str">
        <f>IFERROR(SUM(SUMIFS('caseload data'!P:P,'caseload data'!$C:$C,'community %'!$B$71,'caseload data'!$D:$D,"PO",'caseload data'!$B:$B,{"licence","community"}))/SUM(SUMIFS('caseload data'!P:P,'caseload data'!$B:$B,{"licence","community"},'caseload data'!$C:$C,'community %'!$B$71)),"")</f>
        <v/>
      </c>
      <c r="O73" s="175" t="str">
        <f>IFERROR(SUM(SUMIFS('caseload data'!Q:Q,'caseload data'!$C:$C,'community %'!$B$71,'caseload data'!$D:$D,"PO",'caseload data'!$B:$B,{"licence","community"}))/SUM(SUMIFS('caseload data'!Q:Q,'caseload data'!$B:$B,{"licence","community"},'caseload data'!$C:$C,'community %'!$B$71)),"")</f>
        <v/>
      </c>
      <c r="P73" s="175" t="str">
        <f>IFERROR(SUM(SUMIFS('caseload data'!R:R,'caseload data'!$C:$C,'community %'!$B$71,'caseload data'!$D:$D,"PO",'caseload data'!$B:$B,{"licence","community"}))/SUM(SUMIFS('caseload data'!R:R,'caseload data'!$B:$B,{"licence","community"},'caseload data'!$C:$C,'community %'!$B$71)),"")</f>
        <v/>
      </c>
      <c r="Q73" s="175" t="str">
        <f>IFERROR(SUM(SUMIFS('caseload data'!S:S,'caseload data'!$C:$C,'community %'!$B$71,'caseload data'!$D:$D,"PO",'caseload data'!$B:$B,{"licence","community"}))/SUM(SUMIFS('caseload data'!S:S,'caseload data'!$B:$B,{"licence","community"},'caseload data'!$C:$C,'community %'!$B$71)),"")</f>
        <v/>
      </c>
      <c r="R73" s="175" t="str">
        <f>IFERROR(SUM(SUMIFS('caseload data'!T:T,'caseload data'!$C:$C,'community %'!$B$71,'caseload data'!$D:$D,"PO",'caseload data'!$B:$B,{"licence","community"}))/SUM(SUMIFS('caseload data'!T:T,'caseload data'!$B:$B,{"licence","community"},'caseload data'!$C:$C,'community %'!$B$71)),"")</f>
        <v/>
      </c>
      <c r="T73" s="100" t="s">
        <v>1166</v>
      </c>
      <c r="U73" s="175" t="str" cm="1">
        <f t="array" ref="U73">IFERROR(SUM(SUMIFS('caseload data'!E:E,'caseload data'!$C:$C,'community %'!$T$71,'caseload data'!$D:$D,"PO",'caseload data'!$B:$B,{"licence","community"}))/SUM(SUMIFS('caseload data'!E:E,'caseload data'!$B:$B,{"licence","community"},'caseload data'!$C:$C,'community %'!$T$71)),"")</f>
        <v/>
      </c>
      <c r="V73" s="175" t="str" cm="1">
        <f t="array" ref="V73">IFERROR(SUM(SUMIFS('caseload data'!F:F,'caseload data'!$C:$C,'community %'!$T$71,'caseload data'!$D:$D,"PO",'caseload data'!$B:$B,{"licence","community"}))/SUM(SUMIFS('caseload data'!F:F,'caseload data'!$B:$B,{"licence","community"},'caseload data'!$C:$C,'community %'!$T$71)),"")</f>
        <v/>
      </c>
      <c r="W73" s="175" t="str" cm="1">
        <f t="array" ref="W73">IFERROR(SUM(SUMIFS('caseload data'!G:G,'caseload data'!$C:$C,'community %'!$T$71,'caseload data'!$D:$D,"PO",'caseload data'!$B:$B,{"licence","community"}))/SUM(SUMIFS('caseload data'!G:G,'caseload data'!$B:$B,{"licence","community"},'caseload data'!$C:$C,'community %'!$T$71)),"")</f>
        <v/>
      </c>
      <c r="X73" s="175" t="str" cm="1">
        <f t="array" ref="X73">IFERROR(SUM(SUMIFS('caseload data'!H:H,'caseload data'!$C:$C,'community %'!$T$71,'caseload data'!$D:$D,"PO",'caseload data'!$B:$B,{"licence","community"}))/SUM(SUMIFS('caseload data'!H:H,'caseload data'!$B:$B,{"licence","community"},'caseload data'!$C:$C,'community %'!$T$71)),"")</f>
        <v/>
      </c>
      <c r="Y73" s="175" t="str" cm="1">
        <f t="array" ref="Y73">IFERROR(SUM(SUMIFS('caseload data'!I:I,'caseload data'!$C:$C,'community %'!$T$71,'caseload data'!$D:$D,"PO",'caseload data'!$B:$B,{"licence","community"}))/SUM(SUMIFS('caseload data'!I:I,'caseload data'!$B:$B,{"licence","community"},'caseload data'!$C:$C,'community %'!$T$71)),"")</f>
        <v/>
      </c>
      <c r="Z73" s="175" t="str" cm="1">
        <f t="array" ref="Z73">IFERROR(SUM(SUMIFS('caseload data'!J:J,'caseload data'!$C:$C,'community %'!$T$71,'caseload data'!$D:$D,"PO",'caseload data'!$B:$B,{"licence","community"}))/SUM(SUMIFS('caseload data'!J:J,'caseload data'!$B:$B,{"licence","community"},'caseload data'!$C:$C,'community %'!$T$71)),"")</f>
        <v/>
      </c>
      <c r="AA73" s="175" t="str" cm="1">
        <f t="array" ref="AA73">IFERROR(SUM(SUMIFS('caseload data'!K:K,'caseload data'!$C:$C,'community %'!$T$71,'caseload data'!$D:$D,"PO",'caseload data'!$B:$B,{"licence","community"}))/SUM(SUMIFS('caseload data'!K:K,'caseload data'!$B:$B,{"licence","community"},'caseload data'!$C:$C,'community %'!$T$71)),"")</f>
        <v/>
      </c>
      <c r="AB73" s="175" t="str" cm="1">
        <f t="array" ref="AB73">IFERROR(SUM(SUMIFS('caseload data'!L:L,'caseload data'!$C:$C,'community %'!$T$71,'caseload data'!$D:$D,"PO",'caseload data'!$B:$B,{"licence","community"}))/SUM(SUMIFS('caseload data'!L:L,'caseload data'!$B:$B,{"licence","community"},'caseload data'!$C:$C,'community %'!$T$71)),"")</f>
        <v/>
      </c>
      <c r="AC73" s="175" t="str" cm="1">
        <f t="array" ref="AC73">IFERROR(SUM(SUMIFS('caseload data'!M:M,'caseload data'!$C:$C,'community %'!$T$71,'caseload data'!$D:$D,"PO",'caseload data'!$B:$B,{"licence","community"}))/SUM(SUMIFS('caseload data'!M:M,'caseload data'!$B:$B,{"licence","community"},'caseload data'!$C:$C,'community %'!$T$71)),"")</f>
        <v/>
      </c>
      <c r="AD73" s="175" t="str" cm="1">
        <f t="array" ref="AD73">IFERROR(SUM(SUMIFS('caseload data'!N:N,'caseload data'!$C:$C,'community %'!$T$71,'caseload data'!$D:$D,"PO",'caseload data'!$B:$B,{"licence","community"}))/SUM(SUMIFS('caseload data'!N:N,'caseload data'!$B:$B,{"licence","community"},'caseload data'!$C:$C,'community %'!$T$71)),"")</f>
        <v/>
      </c>
      <c r="AE73" s="175" t="str" cm="1">
        <f t="array" ref="AE73">IFERROR(SUM(SUMIFS('caseload data'!O:O,'caseload data'!$C:$C,'community %'!$T$71,'caseload data'!$D:$D,"PO",'caseload data'!$B:$B,{"licence","community"}))/SUM(SUMIFS('caseload data'!O:O,'caseload data'!$B:$B,{"licence","community"},'caseload data'!$C:$C,'community %'!$T$71)),"")</f>
        <v/>
      </c>
      <c r="AF73" s="175" t="str" cm="1">
        <f t="array" ref="AF73">IFERROR(SUM(SUMIFS('caseload data'!P:P,'caseload data'!$C:$C,'community %'!$T$71,'caseload data'!$D:$D,"PO",'caseload data'!$B:$B,{"licence","community"}))/SUM(SUMIFS('caseload data'!P:P,'caseload data'!$B:$B,{"licence","community"},'caseload data'!$C:$C,'community %'!$T$71)),"")</f>
        <v/>
      </c>
      <c r="AG73" s="175" t="str" cm="1">
        <f t="array" ref="AG73">IFERROR(SUM(SUMIFS('caseload data'!Q:Q,'caseload data'!$C:$C,'community %'!$T$71,'caseload data'!$D:$D,"PO",'caseload data'!$B:$B,{"licence","community"}))/SUM(SUMIFS('caseload data'!Q:Q,'caseload data'!$B:$B,{"licence","community"},'caseload data'!$C:$C,'community %'!$T$71)),"")</f>
        <v/>
      </c>
      <c r="AH73" s="175" t="str" cm="1">
        <f t="array" ref="AH73">IFERROR(SUM(SUMIFS('caseload data'!R:R,'caseload data'!$C:$C,'community %'!$T$71,'caseload data'!$D:$D,"PO",'caseload data'!$B:$B,{"licence","community"}))/SUM(SUMIFS('caseload data'!R:R,'caseload data'!$B:$B,{"licence","community"},'caseload data'!$C:$C,'community %'!$T$71)),"")</f>
        <v/>
      </c>
      <c r="AI73" s="175" t="str" cm="1">
        <f t="array" ref="AI73">IFERROR(SUM(SUMIFS('caseload data'!S:S,'caseload data'!$C:$C,'community %'!$T$71,'caseload data'!$D:$D,"PO",'caseload data'!$B:$B,{"licence","community"}))/SUM(SUMIFS('caseload data'!S:S,'caseload data'!$B:$B,{"licence","community"},'caseload data'!$C:$C,'community %'!$T$71)),"")</f>
        <v/>
      </c>
      <c r="AJ73" s="175" t="str" cm="1">
        <f t="array" ref="AJ73">IFERROR(SUM(SUMIFS('caseload data'!T:T,'caseload data'!$C:$C,'community %'!$T$71,'caseload data'!$D:$D,"PO",'caseload data'!$B:$B,{"licence","community"}))/SUM(SUMIFS('caseload data'!T:T,'caseload data'!$B:$B,{"licence","community"},'caseload data'!$C:$C,'community %'!$T$71)),"")</f>
        <v/>
      </c>
    </row>
    <row r="74" spans="2:36" x14ac:dyDescent="0.15">
      <c r="B74" s="101" t="s">
        <v>1172</v>
      </c>
      <c r="C74" s="175" t="str">
        <f>IFERROR(SUM(SUMIFS('caseload data'!E:E,'caseload data'!$C:$C,'community %'!$B$71,'caseload data'!$D:$D,"PSO",'caseload data'!$B:$B,{"licence","community"}))/SUM(SUMIFS('caseload data'!E:E,'caseload data'!$B:$B,{"licence","community"},'caseload data'!$C:$C,'community %'!$B$71)),"")</f>
        <v/>
      </c>
      <c r="D74" s="175" t="str">
        <f>IFERROR(SUM(SUMIFS('caseload data'!F:F,'caseload data'!$C:$C,'community %'!$B$71,'caseload data'!$D:$D,"PSO",'caseload data'!$B:$B,{"licence","community"}))/SUM(SUMIFS('caseload data'!F:F,'caseload data'!$B:$B,{"licence","community"},'caseload data'!$C:$C,'community %'!$B$71)),"")</f>
        <v/>
      </c>
      <c r="E74" s="175" t="str">
        <f>IFERROR(SUM(SUMIFS('caseload data'!G:G,'caseload data'!$C:$C,'community %'!$B$71,'caseload data'!$D:$D,"PSO",'caseload data'!$B:$B,{"licence","community"}))/SUM(SUMIFS('caseload data'!G:G,'caseload data'!$B:$B,{"licence","community"},'caseload data'!$C:$C,'community %'!$B$71)),"")</f>
        <v/>
      </c>
      <c r="F74" s="175" t="str">
        <f>IFERROR(SUM(SUMIFS('caseload data'!H:H,'caseload data'!$C:$C,'community %'!$B$71,'caseload data'!$D:$D,"PSO",'caseload data'!$B:$B,{"licence","community"}))/SUM(SUMIFS('caseload data'!H:H,'caseload data'!$B:$B,{"licence","community"},'caseload data'!$C:$C,'community %'!$B$71)),"")</f>
        <v/>
      </c>
      <c r="G74" s="175" t="str">
        <f>IFERROR(SUM(SUMIFS('caseload data'!I:I,'caseload data'!$C:$C,'community %'!$B$71,'caseload data'!$D:$D,"PSO",'caseload data'!$B:$B,{"licence","community"}))/SUM(SUMIFS('caseload data'!I:I,'caseload data'!$B:$B,{"licence","community"},'caseload data'!$C:$C,'community %'!$B$71)),"")</f>
        <v/>
      </c>
      <c r="H74" s="175" t="str">
        <f>IFERROR(SUM(SUMIFS('caseload data'!J:J,'caseload data'!$C:$C,'community %'!$B$71,'caseload data'!$D:$D,"PSO",'caseload data'!$B:$B,{"licence","community"}))/SUM(SUMIFS('caseload data'!J:J,'caseload data'!$B:$B,{"licence","community"},'caseload data'!$C:$C,'community %'!$B$71)),"")</f>
        <v/>
      </c>
      <c r="I74" s="175" t="str">
        <f>IFERROR(SUM(SUMIFS('caseload data'!K:K,'caseload data'!$C:$C,'community %'!$B$71,'caseload data'!$D:$D,"PSO",'caseload data'!$B:$B,{"licence","community"}))/SUM(SUMIFS('caseload data'!K:K,'caseload data'!$B:$B,{"licence","community"},'caseload data'!$C:$C,'community %'!$B$71)),"")</f>
        <v/>
      </c>
      <c r="J74" s="175" t="str">
        <f>IFERROR(SUM(SUMIFS('caseload data'!L:L,'caseload data'!$C:$C,'community %'!$B$71,'caseload data'!$D:$D,"PSO",'caseload data'!$B:$B,{"licence","community"}))/SUM(SUMIFS('caseload data'!L:L,'caseload data'!$B:$B,{"licence","community"},'caseload data'!$C:$C,'community %'!$B$71)),"")</f>
        <v/>
      </c>
      <c r="K74" s="175" t="str">
        <f>IFERROR(SUM(SUMIFS('caseload data'!M:M,'caseload data'!$C:$C,'community %'!$B$71,'caseload data'!$D:$D,"PSO",'caseload data'!$B:$B,{"licence","community"}))/SUM(SUMIFS('caseload data'!M:M,'caseload data'!$B:$B,{"licence","community"},'caseload data'!$C:$C,'community %'!$B$71)),"")</f>
        <v/>
      </c>
      <c r="L74" s="175" t="str">
        <f>IFERROR(SUM(SUMIFS('caseload data'!N:N,'caseload data'!$C:$C,'community %'!$B$71,'caseload data'!$D:$D,"PSO",'caseload data'!$B:$B,{"licence","community"}))/SUM(SUMIFS('caseload data'!N:N,'caseload data'!$B:$B,{"licence","community"},'caseload data'!$C:$C,'community %'!$B$71)),"")</f>
        <v/>
      </c>
      <c r="M74" s="175" t="str">
        <f>IFERROR(SUM(SUMIFS('caseload data'!O:O,'caseload data'!$C:$C,'community %'!$B$71,'caseload data'!$D:$D,"PSO",'caseload data'!$B:$B,{"licence","community"}))/SUM(SUMIFS('caseload data'!O:O,'caseload data'!$B:$B,{"licence","community"},'caseload data'!$C:$C,'community %'!$B$71)),"")</f>
        <v/>
      </c>
      <c r="N74" s="175" t="str">
        <f>IFERROR(SUM(SUMIFS('caseload data'!P:P,'caseload data'!$C:$C,'community %'!$B$71,'caseload data'!$D:$D,"PSO",'caseload data'!$B:$B,{"licence","community"}))/SUM(SUMIFS('caseload data'!P:P,'caseload data'!$B:$B,{"licence","community"},'caseload data'!$C:$C,'community %'!$B$71)),"")</f>
        <v/>
      </c>
      <c r="O74" s="175" t="str">
        <f>IFERROR(SUM(SUMIFS('caseload data'!Q:Q,'caseload data'!$C:$C,'community %'!$B$71,'caseload data'!$D:$D,"PSO",'caseload data'!$B:$B,{"licence","community"}))/SUM(SUMIFS('caseload data'!Q:Q,'caseload data'!$B:$B,{"licence","community"},'caseload data'!$C:$C,'community %'!$B$71)),"")</f>
        <v/>
      </c>
      <c r="P74" s="175" t="str">
        <f>IFERROR(SUM(SUMIFS('caseload data'!R:R,'caseload data'!$C:$C,'community %'!$B$71,'caseload data'!$D:$D,"PSO",'caseload data'!$B:$B,{"licence","community"}))/SUM(SUMIFS('caseload data'!R:R,'caseload data'!$B:$B,{"licence","community"},'caseload data'!$C:$C,'community %'!$B$71)),"")</f>
        <v/>
      </c>
      <c r="Q74" s="175" t="str">
        <f>IFERROR(SUM(SUMIFS('caseload data'!S:S,'caseload data'!$C:$C,'community %'!$B$71,'caseload data'!$D:$D,"PSO",'caseload data'!$B:$B,{"licence","community"}))/SUM(SUMIFS('caseload data'!S:S,'caseload data'!$B:$B,{"licence","community"},'caseload data'!$C:$C,'community %'!$B$71)),"")</f>
        <v/>
      </c>
      <c r="R74" s="175" t="str">
        <f>IFERROR(SUM(SUMIFS('caseload data'!T:T,'caseload data'!$C:$C,'community %'!$B$71,'caseload data'!$D:$D,"PSO",'caseload data'!$B:$B,{"licence","community"}))/SUM(SUMIFS('caseload data'!T:T,'caseload data'!$B:$B,{"licence","community"},'caseload data'!$C:$C,'community %'!$B$71)),"")</f>
        <v/>
      </c>
      <c r="T74" s="101" t="s">
        <v>1172</v>
      </c>
      <c r="U74" s="175" t="str" cm="1">
        <f t="array" ref="U74">IFERROR(SUM(SUMIFS('caseload data'!E:E,'caseload data'!$C:$C,'community %'!$T$71,'caseload data'!$D:$D,"PSO",'caseload data'!$B:$B,{"licence","community"}))/SUM(SUMIFS('caseload data'!E:E,'caseload data'!$B:$B,{"licence","community"},'caseload data'!$C:$C,'community %'!$T$71)),"")</f>
        <v/>
      </c>
      <c r="V74" s="175" t="str" cm="1">
        <f t="array" ref="V74">IFERROR(SUM(SUMIFS('caseload data'!F:F,'caseload data'!$C:$C,'community %'!$T$71,'caseload data'!$D:$D,"PSO",'caseload data'!$B:$B,{"licence","community"}))/SUM(SUMIFS('caseload data'!F:F,'caseload data'!$B:$B,{"licence","community"},'caseload data'!$C:$C,'community %'!$T$71)),"")</f>
        <v/>
      </c>
      <c r="W74" s="175" t="str" cm="1">
        <f t="array" ref="W74">IFERROR(SUM(SUMIFS('caseload data'!G:G,'caseload data'!$C:$C,'community %'!$T$71,'caseload data'!$D:$D,"PSO",'caseload data'!$B:$B,{"licence","community"}))/SUM(SUMIFS('caseload data'!G:G,'caseload data'!$B:$B,{"licence","community"},'caseload data'!$C:$C,'community %'!$T$71)),"")</f>
        <v/>
      </c>
      <c r="X74" s="175" t="str" cm="1">
        <f t="array" ref="X74">IFERROR(SUM(SUMIFS('caseload data'!H:H,'caseload data'!$C:$C,'community %'!$T$71,'caseload data'!$D:$D,"PSO",'caseload data'!$B:$B,{"licence","community"}))/SUM(SUMIFS('caseload data'!H:H,'caseload data'!$B:$B,{"licence","community"},'caseload data'!$C:$C,'community %'!$T$71)),"")</f>
        <v/>
      </c>
      <c r="Y74" s="175" t="str" cm="1">
        <f t="array" ref="Y74">IFERROR(SUM(SUMIFS('caseload data'!I:I,'caseload data'!$C:$C,'community %'!$T$71,'caseload data'!$D:$D,"PSO",'caseload data'!$B:$B,{"licence","community"}))/SUM(SUMIFS('caseload data'!I:I,'caseload data'!$B:$B,{"licence","community"},'caseload data'!$C:$C,'community %'!$T$71)),"")</f>
        <v/>
      </c>
      <c r="Z74" s="175" t="str" cm="1">
        <f t="array" ref="Z74">IFERROR(SUM(SUMIFS('caseload data'!J:J,'caseload data'!$C:$C,'community %'!$T$71,'caseload data'!$D:$D,"PSO",'caseload data'!$B:$B,{"licence","community"}))/SUM(SUMIFS('caseload data'!J:J,'caseload data'!$B:$B,{"licence","community"},'caseload data'!$C:$C,'community %'!$T$71)),"")</f>
        <v/>
      </c>
      <c r="AA74" s="175" t="str" cm="1">
        <f t="array" ref="AA74">IFERROR(SUM(SUMIFS('caseload data'!K:K,'caseload data'!$C:$C,'community %'!$T$71,'caseload data'!$D:$D,"PSO",'caseload data'!$B:$B,{"licence","community"}))/SUM(SUMIFS('caseload data'!K:K,'caseload data'!$B:$B,{"licence","community"},'caseload data'!$C:$C,'community %'!$T$71)),"")</f>
        <v/>
      </c>
      <c r="AB74" s="175" t="str" cm="1">
        <f t="array" ref="AB74">IFERROR(SUM(SUMIFS('caseload data'!L:L,'caseload data'!$C:$C,'community %'!$T$71,'caseload data'!$D:$D,"PSO",'caseload data'!$B:$B,{"licence","community"}))/SUM(SUMIFS('caseload data'!L:L,'caseload data'!$B:$B,{"licence","community"},'caseload data'!$C:$C,'community %'!$T$71)),"")</f>
        <v/>
      </c>
      <c r="AC74" s="175" t="str" cm="1">
        <f t="array" ref="AC74">IFERROR(SUM(SUMIFS('caseload data'!M:M,'caseload data'!$C:$C,'community %'!$T$71,'caseload data'!$D:$D,"PSO",'caseload data'!$B:$B,{"licence","community"}))/SUM(SUMIFS('caseload data'!M:M,'caseload data'!$B:$B,{"licence","community"},'caseload data'!$C:$C,'community %'!$T$71)),"")</f>
        <v/>
      </c>
      <c r="AD74" s="175" t="str" cm="1">
        <f t="array" ref="AD74">IFERROR(SUM(SUMIFS('caseload data'!N:N,'caseload data'!$C:$C,'community %'!$T$71,'caseload data'!$D:$D,"PSO",'caseload data'!$B:$B,{"licence","community"}))/SUM(SUMIFS('caseload data'!N:N,'caseload data'!$B:$B,{"licence","community"},'caseload data'!$C:$C,'community %'!$T$71)),"")</f>
        <v/>
      </c>
      <c r="AE74" s="175" t="str" cm="1">
        <f t="array" ref="AE74">IFERROR(SUM(SUMIFS('caseload data'!O:O,'caseload data'!$C:$C,'community %'!$T$71,'caseload data'!$D:$D,"PSO",'caseload data'!$B:$B,{"licence","community"}))/SUM(SUMIFS('caseload data'!O:O,'caseload data'!$B:$B,{"licence","community"},'caseload data'!$C:$C,'community %'!$T$71)),"")</f>
        <v/>
      </c>
      <c r="AF74" s="175" t="str" cm="1">
        <f t="array" ref="AF74">IFERROR(SUM(SUMIFS('caseload data'!P:P,'caseload data'!$C:$C,'community %'!$T$71,'caseload data'!$D:$D,"PSO",'caseload data'!$B:$B,{"licence","community"}))/SUM(SUMIFS('caseload data'!P:P,'caseload data'!$B:$B,{"licence","community"},'caseload data'!$C:$C,'community %'!$T$71)),"")</f>
        <v/>
      </c>
      <c r="AG74" s="175" t="str" cm="1">
        <f t="array" ref="AG74">IFERROR(SUM(SUMIFS('caseload data'!Q:Q,'caseload data'!$C:$C,'community %'!$T$71,'caseload data'!$D:$D,"PSO",'caseload data'!$B:$B,{"licence","community"}))/SUM(SUMIFS('caseload data'!Q:Q,'caseload data'!$B:$B,{"licence","community"},'caseload data'!$C:$C,'community %'!$T$71)),"")</f>
        <v/>
      </c>
      <c r="AH74" s="175" t="str" cm="1">
        <f t="array" ref="AH74">IFERROR(SUM(SUMIFS('caseload data'!R:R,'caseload data'!$C:$C,'community %'!$T$71,'caseload data'!$D:$D,"PSO",'caseload data'!$B:$B,{"licence","community"}))/SUM(SUMIFS('caseload data'!R:R,'caseload data'!$B:$B,{"licence","community"},'caseload data'!$C:$C,'community %'!$T$71)),"")</f>
        <v/>
      </c>
      <c r="AI74" s="175" t="str" cm="1">
        <f t="array" ref="AI74">IFERROR(SUM(SUMIFS('caseload data'!S:S,'caseload data'!$C:$C,'community %'!$T$71,'caseload data'!$D:$D,"PSO",'caseload data'!$B:$B,{"licence","community"}))/SUM(SUMIFS('caseload data'!S:S,'caseload data'!$B:$B,{"licence","community"},'caseload data'!$C:$C,'community %'!$T$71)),"")</f>
        <v/>
      </c>
      <c r="AJ74" s="175" t="str" cm="1">
        <f t="array" ref="AJ74">IFERROR(SUM(SUMIFS('caseload data'!T:T,'caseload data'!$C:$C,'community %'!$T$71,'caseload data'!$D:$D,"PSO",'caseload data'!$B:$B,{"licence","community"}))/SUM(SUMIFS('caseload data'!T:T,'caseload data'!$B:$B,{"licence","community"},'caseload data'!$C:$C,'community %'!$T$71)),"")</f>
        <v/>
      </c>
    </row>
    <row r="75" spans="2:36" x14ac:dyDescent="0.15">
      <c r="B75" s="101" t="s">
        <v>1173</v>
      </c>
      <c r="C75" s="175" t="str">
        <f>IFERROR(SUM(SUMIFS('caseload data'!E:E,'caseload data'!$C:$C,'community %'!$B$71,'caseload data'!$D:$D,"TPO",'caseload data'!$B:$B,{"licence","community"}))/SUM(SUMIFS('caseload data'!E:E,'caseload data'!$B:$B,{"licence","community"},'caseload data'!$C:$C,'community %'!$B$71)),"")</f>
        <v/>
      </c>
      <c r="D75" s="175" t="str">
        <f>IFERROR(SUM(SUMIFS('caseload data'!F:F,'caseload data'!$C:$C,'community %'!$B$71,'caseload data'!$D:$D,"TPO",'caseload data'!$B:$B,{"licence","community"}))/SUM(SUMIFS('caseload data'!F:F,'caseload data'!$B:$B,{"licence","community"},'caseload data'!$C:$C,'community %'!$B$71)),"")</f>
        <v/>
      </c>
      <c r="E75" s="175" t="str">
        <f>IFERROR(SUM(SUMIFS('caseload data'!G:G,'caseload data'!$C:$C,'community %'!$B$71,'caseload data'!$D:$D,"TPO",'caseload data'!$B:$B,{"licence","community"}))/SUM(SUMIFS('caseload data'!G:G,'caseload data'!$B:$B,{"licence","community"},'caseload data'!$C:$C,'community %'!$B$71)),"")</f>
        <v/>
      </c>
      <c r="F75" s="175" t="str">
        <f>IFERROR(SUM(SUMIFS('caseload data'!H:H,'caseload data'!$C:$C,'community %'!$B$71,'caseload data'!$D:$D,"TPO",'caseload data'!$B:$B,{"licence","community"}))/SUM(SUMIFS('caseload data'!H:H,'caseload data'!$B:$B,{"licence","community"},'caseload data'!$C:$C,'community %'!$B$71)),"")</f>
        <v/>
      </c>
      <c r="G75" s="175" t="str">
        <f>IFERROR(SUM(SUMIFS('caseload data'!I:I,'caseload data'!$C:$C,'community %'!$B$71,'caseload data'!$D:$D,"TPO",'caseload data'!$B:$B,{"licence","community"}))/SUM(SUMIFS('caseload data'!I:I,'caseload data'!$B:$B,{"licence","community"},'caseload data'!$C:$C,'community %'!$B$71)),"")</f>
        <v/>
      </c>
      <c r="H75" s="175" t="str">
        <f>IFERROR(SUM(SUMIFS('caseload data'!J:J,'caseload data'!$C:$C,'community %'!$B$71,'caseload data'!$D:$D,"TPO",'caseload data'!$B:$B,{"licence","community"}))/SUM(SUMIFS('caseload data'!J:J,'caseload data'!$B:$B,{"licence","community"},'caseload data'!$C:$C,'community %'!$B$71)),"")</f>
        <v/>
      </c>
      <c r="I75" s="175" t="str">
        <f>IFERROR(SUM(SUMIFS('caseload data'!K:K,'caseload data'!$C:$C,'community %'!$B$71,'caseload data'!$D:$D,"TPO",'caseload data'!$B:$B,{"licence","community"}))/SUM(SUMIFS('caseload data'!K:K,'caseload data'!$B:$B,{"licence","community"},'caseload data'!$C:$C,'community %'!$B$71)),"")</f>
        <v/>
      </c>
      <c r="J75" s="175" t="str">
        <f>IFERROR(SUM(SUMIFS('caseload data'!L:L,'caseload data'!$C:$C,'community %'!$B$71,'caseload data'!$D:$D,"TPO",'caseload data'!$B:$B,{"licence","community"}))/SUM(SUMIFS('caseload data'!L:L,'caseload data'!$B:$B,{"licence","community"},'caseload data'!$C:$C,'community %'!$B$71)),"")</f>
        <v/>
      </c>
      <c r="K75" s="175" t="str">
        <f>IFERROR(SUM(SUMIFS('caseload data'!M:M,'caseload data'!$C:$C,'community %'!$B$71,'caseload data'!$D:$D,"TPO",'caseload data'!$B:$B,{"licence","community"}))/SUM(SUMIFS('caseload data'!M:M,'caseload data'!$B:$B,{"licence","community"},'caseload data'!$C:$C,'community %'!$B$71)),"")</f>
        <v/>
      </c>
      <c r="L75" s="175" t="str">
        <f>IFERROR(SUM(SUMIFS('caseload data'!N:N,'caseload data'!$C:$C,'community %'!$B$71,'caseload data'!$D:$D,"TPO",'caseload data'!$B:$B,{"licence","community"}))/SUM(SUMIFS('caseload data'!N:N,'caseload data'!$B:$B,{"licence","community"},'caseload data'!$C:$C,'community %'!$B$71)),"")</f>
        <v/>
      </c>
      <c r="M75" s="175" t="str">
        <f>IFERROR(SUM(SUMIFS('caseload data'!O:O,'caseload data'!$C:$C,'community %'!$B$71,'caseload data'!$D:$D,"TPO",'caseload data'!$B:$B,{"licence","community"}))/SUM(SUMIFS('caseload data'!O:O,'caseload data'!$B:$B,{"licence","community"},'caseload data'!$C:$C,'community %'!$B$71)),"")</f>
        <v/>
      </c>
      <c r="N75" s="175" t="str">
        <f>IFERROR(SUM(SUMIFS('caseload data'!P:P,'caseload data'!$C:$C,'community %'!$B$71,'caseload data'!$D:$D,"TPO",'caseload data'!$B:$B,{"licence","community"}))/SUM(SUMIFS('caseload data'!P:P,'caseload data'!$B:$B,{"licence","community"},'caseload data'!$C:$C,'community %'!$B$71)),"")</f>
        <v/>
      </c>
      <c r="O75" s="175" t="str">
        <f>IFERROR(SUM(SUMIFS('caseload data'!Q:Q,'caseload data'!$C:$C,'community %'!$B$71,'caseload data'!$D:$D,"TPO",'caseload data'!$B:$B,{"licence","community"}))/SUM(SUMIFS('caseload data'!Q:Q,'caseload data'!$B:$B,{"licence","community"},'caseload data'!$C:$C,'community %'!$B$71)),"")</f>
        <v/>
      </c>
      <c r="P75" s="175" t="str">
        <f>IFERROR(SUM(SUMIFS('caseload data'!R:R,'caseload data'!$C:$C,'community %'!$B$71,'caseload data'!$D:$D,"TPO",'caseload data'!$B:$B,{"licence","community"}))/SUM(SUMIFS('caseload data'!R:R,'caseload data'!$B:$B,{"licence","community"},'caseload data'!$C:$C,'community %'!$B$71)),"")</f>
        <v/>
      </c>
      <c r="Q75" s="175" t="str">
        <f>IFERROR(SUM(SUMIFS('caseload data'!S:S,'caseload data'!$C:$C,'community %'!$B$71,'caseload data'!$D:$D,"TPO",'caseload data'!$B:$B,{"licence","community"}))/SUM(SUMIFS('caseload data'!S:S,'caseload data'!$B:$B,{"licence","community"},'caseload data'!$C:$C,'community %'!$B$71)),"")</f>
        <v/>
      </c>
      <c r="R75" s="175" t="str">
        <f>IFERROR(SUM(SUMIFS('caseload data'!T:T,'caseload data'!$C:$C,'community %'!$B$71,'caseload data'!$D:$D,"TPO",'caseload data'!$B:$B,{"licence","community"}))/SUM(SUMIFS('caseload data'!T:T,'caseload data'!$B:$B,{"licence","community"},'caseload data'!$C:$C,'community %'!$B$71)),"")</f>
        <v/>
      </c>
      <c r="T75" s="101" t="s">
        <v>1173</v>
      </c>
      <c r="U75" s="175" t="str" cm="1">
        <f t="array" ref="U75">IFERROR(SUM(SUMIFS('caseload data'!E:E,'caseload data'!$C:$C,'community %'!$T$71,'caseload data'!$D:$D,"TPO",'caseload data'!$B:$B,{"licence","community"}))/SUM(SUMIFS('caseload data'!E:E,'caseload data'!$B:$B,{"licence","community"},'caseload data'!$C:$C,'community %'!$T$71)),"")</f>
        <v/>
      </c>
      <c r="V75" s="175" t="str" cm="1">
        <f t="array" ref="V75">IFERROR(SUM(SUMIFS('caseload data'!F:F,'caseload data'!$C:$C,'community %'!$T$71,'caseload data'!$D:$D,"TPO",'caseload data'!$B:$B,{"licence","community"}))/SUM(SUMIFS('caseload data'!F:F,'caseload data'!$B:$B,{"licence","community"},'caseload data'!$C:$C,'community %'!$T$71)),"")</f>
        <v/>
      </c>
      <c r="W75" s="175" t="str" cm="1">
        <f t="array" ref="W75">IFERROR(SUM(SUMIFS('caseload data'!G:G,'caseload data'!$C:$C,'community %'!$T$71,'caseload data'!$D:$D,"TPO",'caseload data'!$B:$B,{"licence","community"}))/SUM(SUMIFS('caseload data'!G:G,'caseload data'!$B:$B,{"licence","community"},'caseload data'!$C:$C,'community %'!$T$71)),"")</f>
        <v/>
      </c>
      <c r="X75" s="175" t="str" cm="1">
        <f t="array" ref="X75">IFERROR(SUM(SUMIFS('caseload data'!H:H,'caseload data'!$C:$C,'community %'!$T$71,'caseload data'!$D:$D,"TPO",'caseload data'!$B:$B,{"licence","community"}))/SUM(SUMIFS('caseload data'!H:H,'caseload data'!$B:$B,{"licence","community"},'caseload data'!$C:$C,'community %'!$T$71)),"")</f>
        <v/>
      </c>
      <c r="Y75" s="175" t="str" cm="1">
        <f t="array" ref="Y75">IFERROR(SUM(SUMIFS('caseload data'!I:I,'caseload data'!$C:$C,'community %'!$T$71,'caseload data'!$D:$D,"TPO",'caseload data'!$B:$B,{"licence","community"}))/SUM(SUMIFS('caseload data'!I:I,'caseload data'!$B:$B,{"licence","community"},'caseload data'!$C:$C,'community %'!$T$71)),"")</f>
        <v/>
      </c>
      <c r="Z75" s="175" t="str" cm="1">
        <f t="array" ref="Z75">IFERROR(SUM(SUMIFS('caseload data'!J:J,'caseload data'!$C:$C,'community %'!$T$71,'caseload data'!$D:$D,"TPO",'caseload data'!$B:$B,{"licence","community"}))/SUM(SUMIFS('caseload data'!J:J,'caseload data'!$B:$B,{"licence","community"},'caseload data'!$C:$C,'community %'!$T$71)),"")</f>
        <v/>
      </c>
      <c r="AA75" s="175" t="str" cm="1">
        <f t="array" ref="AA75">IFERROR(SUM(SUMIFS('caseload data'!K:K,'caseload data'!$C:$C,'community %'!$T$71,'caseload data'!$D:$D,"TPO",'caseload data'!$B:$B,{"licence","community"}))/SUM(SUMIFS('caseload data'!K:K,'caseload data'!$B:$B,{"licence","community"},'caseload data'!$C:$C,'community %'!$T$71)),"")</f>
        <v/>
      </c>
      <c r="AB75" s="175" t="str" cm="1">
        <f t="array" ref="AB75">IFERROR(SUM(SUMIFS('caseload data'!L:L,'caseload data'!$C:$C,'community %'!$T$71,'caseload data'!$D:$D,"TPO",'caseload data'!$B:$B,{"licence","community"}))/SUM(SUMIFS('caseload data'!L:L,'caseload data'!$B:$B,{"licence","community"},'caseload data'!$C:$C,'community %'!$T$71)),"")</f>
        <v/>
      </c>
      <c r="AC75" s="175" t="str" cm="1">
        <f t="array" ref="AC75">IFERROR(SUM(SUMIFS('caseload data'!M:M,'caseload data'!$C:$C,'community %'!$T$71,'caseload data'!$D:$D,"TPO",'caseload data'!$B:$B,{"licence","community"}))/SUM(SUMIFS('caseload data'!M:M,'caseload data'!$B:$B,{"licence","community"},'caseload data'!$C:$C,'community %'!$T$71)),"")</f>
        <v/>
      </c>
      <c r="AD75" s="175" t="str" cm="1">
        <f t="array" ref="AD75">IFERROR(SUM(SUMIFS('caseload data'!N:N,'caseload data'!$C:$C,'community %'!$T$71,'caseload data'!$D:$D,"TPO",'caseload data'!$B:$B,{"licence","community"}))/SUM(SUMIFS('caseload data'!N:N,'caseload data'!$B:$B,{"licence","community"},'caseload data'!$C:$C,'community %'!$T$71)),"")</f>
        <v/>
      </c>
      <c r="AE75" s="175" t="str" cm="1">
        <f t="array" ref="AE75">IFERROR(SUM(SUMIFS('caseload data'!O:O,'caseload data'!$C:$C,'community %'!$T$71,'caseload data'!$D:$D,"TPO",'caseload data'!$B:$B,{"licence","community"}))/SUM(SUMIFS('caseload data'!O:O,'caseload data'!$B:$B,{"licence","community"},'caseload data'!$C:$C,'community %'!$T$71)),"")</f>
        <v/>
      </c>
      <c r="AF75" s="175" t="str" cm="1">
        <f t="array" ref="AF75">IFERROR(SUM(SUMIFS('caseload data'!P:P,'caseload data'!$C:$C,'community %'!$T$71,'caseload data'!$D:$D,"TPO",'caseload data'!$B:$B,{"licence","community"}))/SUM(SUMIFS('caseload data'!P:P,'caseload data'!$B:$B,{"licence","community"},'caseload data'!$C:$C,'community %'!$T$71)),"")</f>
        <v/>
      </c>
      <c r="AG75" s="175" t="str" cm="1">
        <f t="array" ref="AG75">IFERROR(SUM(SUMIFS('caseload data'!Q:Q,'caseload data'!$C:$C,'community %'!$T$71,'caseload data'!$D:$D,"TPO",'caseload data'!$B:$B,{"licence","community"}))/SUM(SUMIFS('caseload data'!Q:Q,'caseload data'!$B:$B,{"licence","community"},'caseload data'!$C:$C,'community %'!$T$71)),"")</f>
        <v/>
      </c>
      <c r="AH75" s="175" t="str" cm="1">
        <f t="array" ref="AH75">IFERROR(SUM(SUMIFS('caseload data'!R:R,'caseload data'!$C:$C,'community %'!$T$71,'caseload data'!$D:$D,"TPO",'caseload data'!$B:$B,{"licence","community"}))/SUM(SUMIFS('caseload data'!R:R,'caseload data'!$B:$B,{"licence","community"},'caseload data'!$C:$C,'community %'!$T$71)),"")</f>
        <v/>
      </c>
      <c r="AI75" s="175" t="str" cm="1">
        <f t="array" ref="AI75">IFERROR(SUM(SUMIFS('caseload data'!S:S,'caseload data'!$C:$C,'community %'!$T$71,'caseload data'!$D:$D,"TPO",'caseload data'!$B:$B,{"licence","community"}))/SUM(SUMIFS('caseload data'!S:S,'caseload data'!$B:$B,{"licence","community"},'caseload data'!$C:$C,'community %'!$T$71)),"")</f>
        <v/>
      </c>
      <c r="AJ75" s="175" t="str" cm="1">
        <f t="array" ref="AJ75">IFERROR(SUM(SUMIFS('caseload data'!T:T,'caseload data'!$C:$C,'community %'!$T$71,'caseload data'!$D:$D,"TPO",'caseload data'!$B:$B,{"licence","community"}))/SUM(SUMIFS('caseload data'!T:T,'caseload data'!$B:$B,{"licence","community"},'caseload data'!$C:$C,'community %'!$T$71)),"")</f>
        <v/>
      </c>
    </row>
    <row r="76" spans="2:36" x14ac:dyDescent="0.15">
      <c r="B76" s="102" t="s">
        <v>1174</v>
      </c>
      <c r="C76" s="175" t="str">
        <f>IFERROR(SUM(SUMIFS('caseload data'!E:E,'caseload data'!$C:$C,'community %'!$B$71,'caseload data'!$D:$D,"SPO",'caseload data'!$B:$B,{"licence","community"}))/SUM(SUMIFS('caseload data'!E:E,'caseload data'!$B:$B,{"licence","community"},'caseload data'!$C:$C,'community %'!$B$71)),"")</f>
        <v/>
      </c>
      <c r="D76" s="175" t="str">
        <f>IFERROR(SUM(SUMIFS('caseload data'!F:F,'caseload data'!$C:$C,'community %'!$B$71,'caseload data'!$D:$D,"SPO",'caseload data'!$B:$B,{"licence","community"}))/SUM(SUMIFS('caseload data'!F:F,'caseload data'!$B:$B,{"licence","community"},'caseload data'!$C:$C,'community %'!$B$71)),"")</f>
        <v/>
      </c>
      <c r="E76" s="175" t="str">
        <f>IFERROR(SUM(SUMIFS('caseload data'!G:G,'caseload data'!$C:$C,'community %'!$B$71,'caseload data'!$D:$D,"SPO",'caseload data'!$B:$B,{"licence","community"}))/SUM(SUMIFS('caseload data'!G:G,'caseload data'!$B:$B,{"licence","community"},'caseload data'!$C:$C,'community %'!$B$71)),"")</f>
        <v/>
      </c>
      <c r="F76" s="175" t="str">
        <f>IFERROR(SUM(SUMIFS('caseload data'!H:H,'caseload data'!$C:$C,'community %'!$B$71,'caseload data'!$D:$D,"SPO",'caseload data'!$B:$B,{"licence","community"}))/SUM(SUMIFS('caseload data'!H:H,'caseload data'!$B:$B,{"licence","community"},'caseload data'!$C:$C,'community %'!$B$71)),"")</f>
        <v/>
      </c>
      <c r="G76" s="175" t="str">
        <f>IFERROR(SUM(SUMIFS('caseload data'!I:I,'caseload data'!$C:$C,'community %'!$B$71,'caseload data'!$D:$D,"SPO",'caseload data'!$B:$B,{"licence","community"}))/SUM(SUMIFS('caseload data'!I:I,'caseload data'!$B:$B,{"licence","community"},'caseload data'!$C:$C,'community %'!$B$71)),"")</f>
        <v/>
      </c>
      <c r="H76" s="175" t="str">
        <f>IFERROR(SUM(SUMIFS('caseload data'!J:J,'caseload data'!$C:$C,'community %'!$B$71,'caseload data'!$D:$D,"SPO",'caseload data'!$B:$B,{"licence","community"}))/SUM(SUMIFS('caseload data'!J:J,'caseload data'!$B:$B,{"licence","community"},'caseload data'!$C:$C,'community %'!$B$71)),"")</f>
        <v/>
      </c>
      <c r="I76" s="175" t="str">
        <f>IFERROR(SUM(SUMIFS('caseload data'!K:K,'caseload data'!$C:$C,'community %'!$B$71,'caseload data'!$D:$D,"SPO",'caseload data'!$B:$B,{"licence","community"}))/SUM(SUMIFS('caseload data'!K:K,'caseload data'!$B:$B,{"licence","community"},'caseload data'!$C:$C,'community %'!$B$71)),"")</f>
        <v/>
      </c>
      <c r="J76" s="175" t="str">
        <f>IFERROR(SUM(SUMIFS('caseload data'!L:L,'caseload data'!$C:$C,'community %'!$B$71,'caseload data'!$D:$D,"SPO",'caseload data'!$B:$B,{"licence","community"}))/SUM(SUMIFS('caseload data'!L:L,'caseload data'!$B:$B,{"licence","community"},'caseload data'!$C:$C,'community %'!$B$71)),"")</f>
        <v/>
      </c>
      <c r="K76" s="175" t="str">
        <f>IFERROR(SUM(SUMIFS('caseload data'!M:M,'caseload data'!$C:$C,'community %'!$B$71,'caseload data'!$D:$D,"SPO",'caseload data'!$B:$B,{"licence","community"}))/SUM(SUMIFS('caseload data'!M:M,'caseload data'!$B:$B,{"licence","community"},'caseload data'!$C:$C,'community %'!$B$71)),"")</f>
        <v/>
      </c>
      <c r="L76" s="175" t="str">
        <f>IFERROR(SUM(SUMIFS('caseload data'!N:N,'caseload data'!$C:$C,'community %'!$B$71,'caseload data'!$D:$D,"SPO",'caseload data'!$B:$B,{"licence","community"}))/SUM(SUMIFS('caseload data'!N:N,'caseload data'!$B:$B,{"licence","community"},'caseload data'!$C:$C,'community %'!$B$71)),"")</f>
        <v/>
      </c>
      <c r="M76" s="175" t="str">
        <f>IFERROR(SUM(SUMIFS('caseload data'!O:O,'caseload data'!$C:$C,'community %'!$B$71,'caseload data'!$D:$D,"SPO",'caseload data'!$B:$B,{"licence","community"}))/SUM(SUMIFS('caseload data'!O:O,'caseload data'!$B:$B,{"licence","community"},'caseload data'!$C:$C,'community %'!$B$71)),"")</f>
        <v/>
      </c>
      <c r="N76" s="175" t="str">
        <f>IFERROR(SUM(SUMIFS('caseload data'!P:P,'caseload data'!$C:$C,'community %'!$B$71,'caseload data'!$D:$D,"SPO",'caseload data'!$B:$B,{"licence","community"}))/SUM(SUMIFS('caseload data'!P:P,'caseload data'!$B:$B,{"licence","community"},'caseload data'!$C:$C,'community %'!$B$71)),"")</f>
        <v/>
      </c>
      <c r="O76" s="175" t="str">
        <f>IFERROR(SUM(SUMIFS('caseload data'!Q:Q,'caseload data'!$C:$C,'community %'!$B$71,'caseload data'!$D:$D,"SPO",'caseload data'!$B:$B,{"licence","community"}))/SUM(SUMIFS('caseload data'!Q:Q,'caseload data'!$B:$B,{"licence","community"},'caseload data'!$C:$C,'community %'!$B$71)),"")</f>
        <v/>
      </c>
      <c r="P76" s="175" t="str">
        <f>IFERROR(SUM(SUMIFS('caseload data'!R:R,'caseload data'!$C:$C,'community %'!$B$71,'caseload data'!$D:$D,"SPO",'caseload data'!$B:$B,{"licence","community"}))/SUM(SUMIFS('caseload data'!R:R,'caseload data'!$B:$B,{"licence","community"},'caseload data'!$C:$C,'community %'!$B$71)),"")</f>
        <v/>
      </c>
      <c r="Q76" s="175" t="str">
        <f>IFERROR(SUM(SUMIFS('caseload data'!S:S,'caseload data'!$C:$C,'community %'!$B$71,'caseload data'!$D:$D,"SPO",'caseload data'!$B:$B,{"licence","community"}))/SUM(SUMIFS('caseload data'!S:S,'caseload data'!$B:$B,{"licence","community"},'caseload data'!$C:$C,'community %'!$B$71)),"")</f>
        <v/>
      </c>
      <c r="R76" s="175" t="str">
        <f>IFERROR(SUM(SUMIFS('caseload data'!T:T,'caseload data'!$C:$C,'community %'!$B$71,'caseload data'!$D:$D,"SPO",'caseload data'!$B:$B,{"licence","community"}))/SUM(SUMIFS('caseload data'!T:T,'caseload data'!$B:$B,{"licence","community"},'caseload data'!$C:$C,'community %'!$B$71)),"")</f>
        <v/>
      </c>
      <c r="T76" s="102" t="s">
        <v>1174</v>
      </c>
      <c r="U76" s="175" t="str" cm="1">
        <f t="array" ref="U76">IFERROR(SUM(SUMIFS('caseload data'!E:E,'caseload data'!$C:$C,'community %'!$T$71,'caseload data'!$D:$D,"SPO",'caseload data'!$B:$B,{"licence","community"}))/SUM(SUMIFS('caseload data'!E:E,'caseload data'!$B:$B,{"licence","community"},'caseload data'!$C:$C,'community %'!$T$71)),"")</f>
        <v/>
      </c>
      <c r="V76" s="175" t="str" cm="1">
        <f t="array" ref="V76">IFERROR(SUM(SUMIFS('caseload data'!F:F,'caseload data'!$C:$C,'community %'!$T$71,'caseload data'!$D:$D,"SPO",'caseload data'!$B:$B,{"licence","community"}))/SUM(SUMIFS('caseload data'!F:F,'caseload data'!$B:$B,{"licence","community"},'caseload data'!$C:$C,'community %'!$T$71)),"")</f>
        <v/>
      </c>
      <c r="W76" s="175" t="str" cm="1">
        <f t="array" ref="W76">IFERROR(SUM(SUMIFS('caseload data'!G:G,'caseload data'!$C:$C,'community %'!$T$71,'caseload data'!$D:$D,"SPO",'caseload data'!$B:$B,{"licence","community"}))/SUM(SUMIFS('caseload data'!G:G,'caseload data'!$B:$B,{"licence","community"},'caseload data'!$C:$C,'community %'!$T$71)),"")</f>
        <v/>
      </c>
      <c r="X76" s="175" t="str" cm="1">
        <f t="array" ref="X76">IFERROR(SUM(SUMIFS('caseload data'!H:H,'caseload data'!$C:$C,'community %'!$T$71,'caseload data'!$D:$D,"SPO",'caseload data'!$B:$B,{"licence","community"}))/SUM(SUMIFS('caseload data'!H:H,'caseload data'!$B:$B,{"licence","community"},'caseload data'!$C:$C,'community %'!$T$71)),"")</f>
        <v/>
      </c>
      <c r="Y76" s="175" t="str" cm="1">
        <f t="array" ref="Y76">IFERROR(SUM(SUMIFS('caseload data'!I:I,'caseload data'!$C:$C,'community %'!$T$71,'caseload data'!$D:$D,"SPO",'caseload data'!$B:$B,{"licence","community"}))/SUM(SUMIFS('caseload data'!I:I,'caseload data'!$B:$B,{"licence","community"},'caseload data'!$C:$C,'community %'!$T$71)),"")</f>
        <v/>
      </c>
      <c r="Z76" s="175" t="str" cm="1">
        <f t="array" ref="Z76">IFERROR(SUM(SUMIFS('caseload data'!J:J,'caseload data'!$C:$C,'community %'!$T$71,'caseload data'!$D:$D,"SPO",'caseload data'!$B:$B,{"licence","community"}))/SUM(SUMIFS('caseload data'!J:J,'caseload data'!$B:$B,{"licence","community"},'caseload data'!$C:$C,'community %'!$T$71)),"")</f>
        <v/>
      </c>
      <c r="AA76" s="175" t="str" cm="1">
        <f t="array" ref="AA76">IFERROR(SUM(SUMIFS('caseload data'!K:K,'caseload data'!$C:$C,'community %'!$T$71,'caseload data'!$D:$D,"SPO",'caseload data'!$B:$B,{"licence","community"}))/SUM(SUMIFS('caseload data'!K:K,'caseload data'!$B:$B,{"licence","community"},'caseload data'!$C:$C,'community %'!$T$71)),"")</f>
        <v/>
      </c>
      <c r="AB76" s="175" t="str" cm="1">
        <f t="array" ref="AB76">IFERROR(SUM(SUMIFS('caseload data'!L:L,'caseload data'!$C:$C,'community %'!$T$71,'caseload data'!$D:$D,"SPO",'caseload data'!$B:$B,{"licence","community"}))/SUM(SUMIFS('caseload data'!L:L,'caseload data'!$B:$B,{"licence","community"},'caseload data'!$C:$C,'community %'!$T$71)),"")</f>
        <v/>
      </c>
      <c r="AC76" s="175" t="str" cm="1">
        <f t="array" ref="AC76">IFERROR(SUM(SUMIFS('caseload data'!M:M,'caseload data'!$C:$C,'community %'!$T$71,'caseload data'!$D:$D,"SPO",'caseload data'!$B:$B,{"licence","community"}))/SUM(SUMIFS('caseload data'!M:M,'caseload data'!$B:$B,{"licence","community"},'caseload data'!$C:$C,'community %'!$T$71)),"")</f>
        <v/>
      </c>
      <c r="AD76" s="175" t="str" cm="1">
        <f t="array" ref="AD76">IFERROR(SUM(SUMIFS('caseload data'!N:N,'caseload data'!$C:$C,'community %'!$T$71,'caseload data'!$D:$D,"SPO",'caseload data'!$B:$B,{"licence","community"}))/SUM(SUMIFS('caseload data'!N:N,'caseload data'!$B:$B,{"licence","community"},'caseload data'!$C:$C,'community %'!$T$71)),"")</f>
        <v/>
      </c>
      <c r="AE76" s="175" t="str" cm="1">
        <f t="array" ref="AE76">IFERROR(SUM(SUMIFS('caseload data'!O:O,'caseload data'!$C:$C,'community %'!$T$71,'caseload data'!$D:$D,"SPO",'caseload data'!$B:$B,{"licence","community"}))/SUM(SUMIFS('caseload data'!O:O,'caseload data'!$B:$B,{"licence","community"},'caseload data'!$C:$C,'community %'!$T$71)),"")</f>
        <v/>
      </c>
      <c r="AF76" s="175" t="str" cm="1">
        <f t="array" ref="AF76">IFERROR(SUM(SUMIFS('caseload data'!P:P,'caseload data'!$C:$C,'community %'!$T$71,'caseload data'!$D:$D,"SPO",'caseload data'!$B:$B,{"licence","community"}))/SUM(SUMIFS('caseload data'!P:P,'caseload data'!$B:$B,{"licence","community"},'caseload data'!$C:$C,'community %'!$T$71)),"")</f>
        <v/>
      </c>
      <c r="AG76" s="175" t="str" cm="1">
        <f t="array" ref="AG76">IFERROR(SUM(SUMIFS('caseload data'!Q:Q,'caseload data'!$C:$C,'community %'!$T$71,'caseload data'!$D:$D,"SPO",'caseload data'!$B:$B,{"licence","community"}))/SUM(SUMIFS('caseload data'!Q:Q,'caseload data'!$B:$B,{"licence","community"},'caseload data'!$C:$C,'community %'!$T$71)),"")</f>
        <v/>
      </c>
      <c r="AH76" s="175" t="str" cm="1">
        <f t="array" ref="AH76">IFERROR(SUM(SUMIFS('caseload data'!R:R,'caseload data'!$C:$C,'community %'!$T$71,'caseload data'!$D:$D,"SPO",'caseload data'!$B:$B,{"licence","community"}))/SUM(SUMIFS('caseload data'!R:R,'caseload data'!$B:$B,{"licence","community"},'caseload data'!$C:$C,'community %'!$T$71)),"")</f>
        <v/>
      </c>
      <c r="AI76" s="175" t="str" cm="1">
        <f t="array" ref="AI76">IFERROR(SUM(SUMIFS('caseload data'!S:S,'caseload data'!$C:$C,'community %'!$T$71,'caseload data'!$D:$D,"SPO",'caseload data'!$B:$B,{"licence","community"}))/SUM(SUMIFS('caseload data'!S:S,'caseload data'!$B:$B,{"licence","community"},'caseload data'!$C:$C,'community %'!$T$71)),"")</f>
        <v/>
      </c>
      <c r="AJ76" s="175" t="str" cm="1">
        <f t="array" ref="AJ76">IFERROR(SUM(SUMIFS('caseload data'!T:T,'caseload data'!$C:$C,'community %'!$T$71,'caseload data'!$D:$D,"SPO",'caseload data'!$B:$B,{"licence","community"}))/SUM(SUMIFS('caseload data'!T:T,'caseload data'!$B:$B,{"licence","community"},'caseload data'!$C:$C,'community %'!$T$71)),"")</f>
        <v/>
      </c>
    </row>
    <row r="78" spans="2:36" ht="24" customHeight="1" x14ac:dyDescent="0.15">
      <c r="B78" s="302" t="str">
        <f>HLOOKUP($B$5,Region_Table,22,0)</f>
        <v>Tower Hamlets</v>
      </c>
      <c r="C78" s="459" t="s">
        <v>1313</v>
      </c>
      <c r="D78" s="460"/>
      <c r="E78" s="460"/>
      <c r="F78" s="460"/>
      <c r="G78" s="460"/>
      <c r="H78" s="460"/>
      <c r="I78" s="460"/>
      <c r="J78" s="460"/>
      <c r="K78" s="460"/>
      <c r="L78" s="460"/>
      <c r="M78" s="489"/>
      <c r="N78" s="489"/>
      <c r="O78" s="490"/>
      <c r="P78" s="462" cm="1">
        <f t="array" ref="P78">SUM(SUMIFS('caseload data'!V:V,'caseload data'!B:B,{"licence","community"},'caseload data'!$C:$C,B78))</f>
        <v>0</v>
      </c>
      <c r="Q78" s="479"/>
      <c r="R78" s="480"/>
      <c r="T78" s="302" t="str">
        <f>HLOOKUP($B$5,Region_Table,23,0)</f>
        <v>Unallocated Level 2(N07)</v>
      </c>
      <c r="U78" s="459" t="s">
        <v>1313</v>
      </c>
      <c r="V78" s="460"/>
      <c r="W78" s="460"/>
      <c r="X78" s="460"/>
      <c r="Y78" s="460"/>
      <c r="Z78" s="460"/>
      <c r="AA78" s="460"/>
      <c r="AB78" s="460"/>
      <c r="AC78" s="460"/>
      <c r="AD78" s="460"/>
      <c r="AE78" s="489"/>
      <c r="AF78" s="489"/>
      <c r="AG78" s="490"/>
      <c r="AH78" s="462" cm="1">
        <f t="array" ref="AH78">SUM(SUMIFS('caseload data'!V:V,'caseload data'!B:B,{"licence","community"},'caseload data'!$C:$C,T78))</f>
        <v>0</v>
      </c>
      <c r="AI78" s="479"/>
      <c r="AJ78" s="480"/>
    </row>
    <row r="79" spans="2:36" x14ac:dyDescent="0.15">
      <c r="B79" s="99" t="s">
        <v>1170</v>
      </c>
      <c r="C79" s="40" t="s">
        <v>1022</v>
      </c>
      <c r="D79" s="40" t="s">
        <v>1023</v>
      </c>
      <c r="E79" s="40" t="s">
        <v>1024</v>
      </c>
      <c r="F79" s="40" t="s">
        <v>1025</v>
      </c>
      <c r="G79" s="40" t="s">
        <v>1026</v>
      </c>
      <c r="H79" s="40" t="s">
        <v>1027</v>
      </c>
      <c r="I79" s="40" t="s">
        <v>1028</v>
      </c>
      <c r="J79" s="40" t="s">
        <v>1029</v>
      </c>
      <c r="K79" s="40" t="s">
        <v>1030</v>
      </c>
      <c r="L79" s="40" t="s">
        <v>1031</v>
      </c>
      <c r="M79" s="40" t="s">
        <v>1032</v>
      </c>
      <c r="N79" s="40" t="s">
        <v>1033</v>
      </c>
      <c r="O79" s="40" t="s">
        <v>1034</v>
      </c>
      <c r="P79" s="40" t="s">
        <v>1035</v>
      </c>
      <c r="Q79" s="40" t="s">
        <v>1036</v>
      </c>
      <c r="R79" s="40" t="s">
        <v>1037</v>
      </c>
      <c r="T79" s="99" t="s">
        <v>1170</v>
      </c>
      <c r="U79" s="40" t="s">
        <v>1022</v>
      </c>
      <c r="V79" s="40" t="s">
        <v>1023</v>
      </c>
      <c r="W79" s="40" t="s">
        <v>1024</v>
      </c>
      <c r="X79" s="40" t="s">
        <v>1025</v>
      </c>
      <c r="Y79" s="40" t="s">
        <v>1026</v>
      </c>
      <c r="Z79" s="40" t="s">
        <v>1027</v>
      </c>
      <c r="AA79" s="40" t="s">
        <v>1028</v>
      </c>
      <c r="AB79" s="40" t="s">
        <v>1029</v>
      </c>
      <c r="AC79" s="40" t="s">
        <v>1030</v>
      </c>
      <c r="AD79" s="40" t="s">
        <v>1031</v>
      </c>
      <c r="AE79" s="40" t="s">
        <v>1032</v>
      </c>
      <c r="AF79" s="40" t="s">
        <v>1033</v>
      </c>
      <c r="AG79" s="40" t="s">
        <v>1034</v>
      </c>
      <c r="AH79" s="40" t="s">
        <v>1035</v>
      </c>
      <c r="AI79" s="40" t="s">
        <v>1036</v>
      </c>
      <c r="AJ79" s="40" t="s">
        <v>1037</v>
      </c>
    </row>
    <row r="80" spans="2:36" x14ac:dyDescent="0.15">
      <c r="B80" s="100" t="s">
        <v>1166</v>
      </c>
      <c r="C80" s="175" t="str" cm="1">
        <f t="array" ref="C80">IFERROR(SUM(SUMIFS('caseload data'!E:E,'caseload data'!$C:$C,'community %'!$B$78,'caseload data'!$D:$D,"PO",'caseload data'!$B:$B,{"licence","community"}))/SUM(SUMIFS('caseload data'!E:E,'caseload data'!$B:$B,{"licence","community"},'caseload data'!$C:$C,'community %'!$B$78)),"")</f>
        <v/>
      </c>
      <c r="D80" s="175" t="str" cm="1">
        <f t="array" ref="D80">IFERROR(SUM(SUMIFS('caseload data'!F:F,'caseload data'!$C:$C,'community %'!$B$78,'caseload data'!$D:$D,"PO",'caseload data'!$B:$B,{"licence","community"}))/SUM(SUMIFS('caseload data'!F:F,'caseload data'!$B:$B,{"licence","community"},'caseload data'!$C:$C,'community %'!$B$78)),"")</f>
        <v/>
      </c>
      <c r="E80" s="175" t="str" cm="1">
        <f t="array" ref="E80">IFERROR(SUM(SUMIFS('caseload data'!G:G,'caseload data'!$C:$C,'community %'!$B$78,'caseload data'!$D:$D,"PO",'caseload data'!$B:$B,{"licence","community"}))/SUM(SUMIFS('caseload data'!G:G,'caseload data'!$B:$B,{"licence","community"},'caseload data'!$C:$C,'community %'!$B$78)),"")</f>
        <v/>
      </c>
      <c r="F80" s="175" t="str" cm="1">
        <f t="array" ref="F80">IFERROR(SUM(SUMIFS('caseload data'!H:H,'caseload data'!$C:$C,'community %'!$B$78,'caseload data'!$D:$D,"PO",'caseload data'!$B:$B,{"licence","community"}))/SUM(SUMIFS('caseload data'!H:H,'caseload data'!$B:$B,{"licence","community"},'caseload data'!$C:$C,'community %'!$B$78)),"")</f>
        <v/>
      </c>
      <c r="G80" s="175" t="str" cm="1">
        <f t="array" ref="G80">IFERROR(SUM(SUMIFS('caseload data'!I:I,'caseload data'!$C:$C,'community %'!$B$78,'caseload data'!$D:$D,"PO",'caseload data'!$B:$B,{"licence","community"}))/SUM(SUMIFS('caseload data'!I:I,'caseload data'!$B:$B,{"licence","community"},'caseload data'!$C:$C,'community %'!$B$78)),"")</f>
        <v/>
      </c>
      <c r="H80" s="175" t="str" cm="1">
        <f t="array" ref="H80">IFERROR(SUM(SUMIFS('caseload data'!J:J,'caseload data'!$C:$C,'community %'!$B$78,'caseload data'!$D:$D,"PO",'caseload data'!$B:$B,{"licence","community"}))/SUM(SUMIFS('caseload data'!J:J,'caseload data'!$B:$B,{"licence","community"},'caseload data'!$C:$C,'community %'!$B$78)),"")</f>
        <v/>
      </c>
      <c r="I80" s="175" t="str" cm="1">
        <f t="array" ref="I80">IFERROR(SUM(SUMIFS('caseload data'!K:K,'caseload data'!$C:$C,'community %'!$B$78,'caseload data'!$D:$D,"PO",'caseload data'!$B:$B,{"licence","community"}))/SUM(SUMIFS('caseload data'!K:K,'caseload data'!$B:$B,{"licence","community"},'caseload data'!$C:$C,'community %'!$B$78)),"")</f>
        <v/>
      </c>
      <c r="J80" s="175" t="str" cm="1">
        <f t="array" ref="J80">IFERROR(SUM(SUMIFS('caseload data'!L:L,'caseload data'!$C:$C,'community %'!$B$78,'caseload data'!$D:$D,"PO",'caseload data'!$B:$B,{"licence","community"}))/SUM(SUMIFS('caseload data'!L:L,'caseload data'!$B:$B,{"licence","community"},'caseload data'!$C:$C,'community %'!$B$78)),"")</f>
        <v/>
      </c>
      <c r="K80" s="175" t="str" cm="1">
        <f t="array" ref="K80">IFERROR(SUM(SUMIFS('caseload data'!M:M,'caseload data'!$C:$C,'community %'!$B$78,'caseload data'!$D:$D,"PO",'caseload data'!$B:$B,{"licence","community"}))/SUM(SUMIFS('caseload data'!M:M,'caseload data'!$B:$B,{"licence","community"},'caseload data'!$C:$C,'community %'!$B$78)),"")</f>
        <v/>
      </c>
      <c r="L80" s="175" t="str" cm="1">
        <f t="array" ref="L80">IFERROR(SUM(SUMIFS('caseload data'!N:N,'caseload data'!$C:$C,'community %'!$B$78,'caseload data'!$D:$D,"PO",'caseload data'!$B:$B,{"licence","community"}))/SUM(SUMIFS('caseload data'!N:N,'caseload data'!$B:$B,{"licence","community"},'caseload data'!$C:$C,'community %'!$B$78)),"")</f>
        <v/>
      </c>
      <c r="M80" s="175" t="str" cm="1">
        <f t="array" ref="M80">IFERROR(SUM(SUMIFS('caseload data'!O:O,'caseload data'!$C:$C,'community %'!$B$78,'caseload data'!$D:$D,"PO",'caseload data'!$B:$B,{"licence","community"}))/SUM(SUMIFS('caseload data'!O:O,'caseload data'!$B:$B,{"licence","community"},'caseload data'!$C:$C,'community %'!$B$78)),"")</f>
        <v/>
      </c>
      <c r="N80" s="175" t="str" cm="1">
        <f t="array" ref="N80">IFERROR(SUM(SUMIFS('caseload data'!P:P,'caseload data'!$C:$C,'community %'!$B$78,'caseload data'!$D:$D,"PO",'caseload data'!$B:$B,{"licence","community"}))/SUM(SUMIFS('caseload data'!P:P,'caseload data'!$B:$B,{"licence","community"},'caseload data'!$C:$C,'community %'!$B$78)),"")</f>
        <v/>
      </c>
      <c r="O80" s="175" t="str" cm="1">
        <f t="array" ref="O80">IFERROR(SUM(SUMIFS('caseload data'!Q:Q,'caseload data'!$C:$C,'community %'!$B$78,'caseload data'!$D:$D,"PO",'caseload data'!$B:$B,{"licence","community"}))/SUM(SUMIFS('caseload data'!Q:Q,'caseload data'!$B:$B,{"licence","community"},'caseload data'!$C:$C,'community %'!$B$78)),"")</f>
        <v/>
      </c>
      <c r="P80" s="175" t="str" cm="1">
        <f t="array" ref="P80">IFERROR(SUM(SUMIFS('caseload data'!R:R,'caseload data'!$C:$C,'community %'!$B$78,'caseload data'!$D:$D,"PO",'caseload data'!$B:$B,{"licence","community"}))/SUM(SUMIFS('caseload data'!R:R,'caseload data'!$B:$B,{"licence","community"},'caseload data'!$C:$C,'community %'!$B$78)),"")</f>
        <v/>
      </c>
      <c r="Q80" s="175" t="str" cm="1">
        <f t="array" ref="Q80">IFERROR(SUM(SUMIFS('caseload data'!S:S,'caseload data'!$C:$C,'community %'!$B$78,'caseload data'!$D:$D,"PO",'caseload data'!$B:$B,{"licence","community"}))/SUM(SUMIFS('caseload data'!S:S,'caseload data'!$B:$B,{"licence","community"},'caseload data'!$C:$C,'community %'!$B$78)),"")</f>
        <v/>
      </c>
      <c r="R80" s="175" t="str" cm="1">
        <f t="array" ref="R80">IFERROR(SUM(SUMIFS('caseload data'!T:T,'caseload data'!$C:$C,'community %'!$B$78,'caseload data'!$D:$D,"PO",'caseload data'!$B:$B,{"licence","community"}))/SUM(SUMIFS('caseload data'!T:T,'caseload data'!$B:$B,{"licence","community"},'caseload data'!$C:$C,'community %'!$B$78)),"")</f>
        <v/>
      </c>
      <c r="T80" s="100" t="s">
        <v>1166</v>
      </c>
      <c r="U80" s="175" t="str" cm="1">
        <f t="array" ref="U80">IFERROR(SUM(SUMIFS('caseload data'!E:E,'caseload data'!$C:$C,'community %'!$T$78,'caseload data'!$D:$D,"PO",'caseload data'!$B:$B,{"licence","community"}))/SUM(SUMIFS('caseload data'!E:E,'caseload data'!$B:$B,{"licence","community"},'caseload data'!$C:$C,'community %'!$T$78)),"")</f>
        <v/>
      </c>
      <c r="V80" s="175" t="str" cm="1">
        <f t="array" ref="V80">IFERROR(SUM(SUMIFS('caseload data'!F:F,'caseload data'!$C:$C,'community %'!$T$78,'caseload data'!$D:$D,"PO",'caseload data'!$B:$B,{"licence","community"}))/SUM(SUMIFS('caseload data'!F:F,'caseload data'!$B:$B,{"licence","community"},'caseload data'!$C:$C,'community %'!$T$78)),"")</f>
        <v/>
      </c>
      <c r="W80" s="175" t="str" cm="1">
        <f t="array" ref="W80">IFERROR(SUM(SUMIFS('caseload data'!G:G,'caseload data'!$C:$C,'community %'!$T$78,'caseload data'!$D:$D,"PO",'caseload data'!$B:$B,{"licence","community"}))/SUM(SUMIFS('caseload data'!G:G,'caseload data'!$B:$B,{"licence","community"},'caseload data'!$C:$C,'community %'!$T$78)),"")</f>
        <v/>
      </c>
      <c r="X80" s="175" t="str" cm="1">
        <f t="array" ref="X80">IFERROR(SUM(SUMIFS('caseload data'!H:H,'caseload data'!$C:$C,'community %'!$T$78,'caseload data'!$D:$D,"PO",'caseload data'!$B:$B,{"licence","community"}))/SUM(SUMIFS('caseload data'!H:H,'caseload data'!$B:$B,{"licence","community"},'caseload data'!$C:$C,'community %'!$T$78)),"")</f>
        <v/>
      </c>
      <c r="Y80" s="175" t="str" cm="1">
        <f t="array" ref="Y80">IFERROR(SUM(SUMIFS('caseload data'!I:I,'caseload data'!$C:$C,'community %'!$T$78,'caseload data'!$D:$D,"PO",'caseload data'!$B:$B,{"licence","community"}))/SUM(SUMIFS('caseload data'!I:I,'caseload data'!$B:$B,{"licence","community"},'caseload data'!$C:$C,'community %'!$T$78)),"")</f>
        <v/>
      </c>
      <c r="Z80" s="175" t="str" cm="1">
        <f t="array" ref="Z80">IFERROR(SUM(SUMIFS('caseload data'!J:J,'caseload data'!$C:$C,'community %'!$T$78,'caseload data'!$D:$D,"PO",'caseload data'!$B:$B,{"licence","community"}))/SUM(SUMIFS('caseload data'!J:J,'caseload data'!$B:$B,{"licence","community"},'caseload data'!$C:$C,'community %'!$T$78)),"")</f>
        <v/>
      </c>
      <c r="AA80" s="175" t="str" cm="1">
        <f t="array" ref="AA80">IFERROR(SUM(SUMIFS('caseload data'!K:K,'caseload data'!$C:$C,'community %'!$T$78,'caseload data'!$D:$D,"PO",'caseload data'!$B:$B,{"licence","community"}))/SUM(SUMIFS('caseload data'!K:K,'caseload data'!$B:$B,{"licence","community"},'caseload data'!$C:$C,'community %'!$T$78)),"")</f>
        <v/>
      </c>
      <c r="AB80" s="175" t="str" cm="1">
        <f t="array" ref="AB80">IFERROR(SUM(SUMIFS('caseload data'!L:L,'caseload data'!$C:$C,'community %'!$T$78,'caseload data'!$D:$D,"PO",'caseload data'!$B:$B,{"licence","community"}))/SUM(SUMIFS('caseload data'!L:L,'caseload data'!$B:$B,{"licence","community"},'caseload data'!$C:$C,'community %'!$T$78)),"")</f>
        <v/>
      </c>
      <c r="AC80" s="175" t="str" cm="1">
        <f t="array" ref="AC80">IFERROR(SUM(SUMIFS('caseload data'!M:M,'caseload data'!$C:$C,'community %'!$T$78,'caseload data'!$D:$D,"PO",'caseload data'!$B:$B,{"licence","community"}))/SUM(SUMIFS('caseload data'!M:M,'caseload data'!$B:$B,{"licence","community"},'caseload data'!$C:$C,'community %'!$T$78)),"")</f>
        <v/>
      </c>
      <c r="AD80" s="175" t="str" cm="1">
        <f t="array" ref="AD80">IFERROR(SUM(SUMIFS('caseload data'!N:N,'caseload data'!$C:$C,'community %'!$T$78,'caseload data'!$D:$D,"PO",'caseload data'!$B:$B,{"licence","community"}))/SUM(SUMIFS('caseload data'!N:N,'caseload data'!$B:$B,{"licence","community"},'caseload data'!$C:$C,'community %'!$T$78)),"")</f>
        <v/>
      </c>
      <c r="AE80" s="175" t="str" cm="1">
        <f t="array" ref="AE80">IFERROR(SUM(SUMIFS('caseload data'!O:O,'caseload data'!$C:$C,'community %'!$T$78,'caseload data'!$D:$D,"PO",'caseload data'!$B:$B,{"licence","community"}))/SUM(SUMIFS('caseload data'!O:O,'caseload data'!$B:$B,{"licence","community"},'caseload data'!$C:$C,'community %'!$T$78)),"")</f>
        <v/>
      </c>
      <c r="AF80" s="175" t="str" cm="1">
        <f t="array" ref="AF80">IFERROR(SUM(SUMIFS('caseload data'!P:P,'caseload data'!$C:$C,'community %'!$T$78,'caseload data'!$D:$D,"PO",'caseload data'!$B:$B,{"licence","community"}))/SUM(SUMIFS('caseload data'!P:P,'caseload data'!$B:$B,{"licence","community"},'caseload data'!$C:$C,'community %'!$T$78)),"")</f>
        <v/>
      </c>
      <c r="AG80" s="175" t="str" cm="1">
        <f t="array" ref="AG80">IFERROR(SUM(SUMIFS('caseload data'!Q:Q,'caseload data'!$C:$C,'community %'!$T$78,'caseload data'!$D:$D,"PO",'caseload data'!$B:$B,{"licence","community"}))/SUM(SUMIFS('caseload data'!Q:Q,'caseload data'!$B:$B,{"licence","community"},'caseload data'!$C:$C,'community %'!$T$78)),"")</f>
        <v/>
      </c>
      <c r="AH80" s="175" t="str" cm="1">
        <f t="array" ref="AH80">IFERROR(SUM(SUMIFS('caseload data'!R:R,'caseload data'!$C:$C,'community %'!$T$78,'caseload data'!$D:$D,"PO",'caseload data'!$B:$B,{"licence","community"}))/SUM(SUMIFS('caseload data'!R:R,'caseload data'!$B:$B,{"licence","community"},'caseload data'!$C:$C,'community %'!$T$78)),"")</f>
        <v/>
      </c>
      <c r="AI80" s="175" t="str" cm="1">
        <f t="array" ref="AI80">IFERROR(SUM(SUMIFS('caseload data'!S:S,'caseload data'!$C:$C,'community %'!$T$78,'caseload data'!$D:$D,"PO",'caseload data'!$B:$B,{"licence","community"}))/SUM(SUMIFS('caseload data'!S:S,'caseload data'!$B:$B,{"licence","community"},'caseload data'!$C:$C,'community %'!$T$78)),"")</f>
        <v/>
      </c>
      <c r="AJ80" s="175" t="str" cm="1">
        <f t="array" ref="AJ80">IFERROR(SUM(SUMIFS('caseload data'!T:T,'caseload data'!$C:$C,'community %'!$T$78,'caseload data'!$D:$D,"PO",'caseload data'!$B:$B,{"licence","community"}))/SUM(SUMIFS('caseload data'!T:T,'caseload data'!$B:$B,{"licence","community"},'caseload data'!$C:$C,'community %'!$T$78)),"")</f>
        <v/>
      </c>
    </row>
    <row r="81" spans="2:36" x14ac:dyDescent="0.15">
      <c r="B81" s="101" t="s">
        <v>1172</v>
      </c>
      <c r="C81" s="175" t="str" cm="1">
        <f t="array" ref="C81">IFERROR(SUM(SUMIFS('caseload data'!E:E,'caseload data'!$C:$C,'community %'!$B$78,'caseload data'!$D:$D,"PSO",'caseload data'!$B:$B,{"licence","community"}))/SUM(SUMIFS('caseload data'!E:E,'caseload data'!$B:$B,{"licence","community"},'caseload data'!$C:$C,'community %'!$B$78)),"")</f>
        <v/>
      </c>
      <c r="D81" s="175" t="str" cm="1">
        <f t="array" ref="D81">IFERROR(SUM(SUMIFS('caseload data'!F:F,'caseload data'!$C:$C,'community %'!$B$78,'caseload data'!$D:$D,"PSO",'caseload data'!$B:$B,{"licence","community"}))/SUM(SUMIFS('caseload data'!F:F,'caseload data'!$B:$B,{"licence","community"},'caseload data'!$C:$C,'community %'!$B$78)),"")</f>
        <v/>
      </c>
      <c r="E81" s="175" t="str" cm="1">
        <f t="array" ref="E81">IFERROR(SUM(SUMIFS('caseload data'!G:G,'caseload data'!$C:$C,'community %'!$B$78,'caseload data'!$D:$D,"PSO",'caseload data'!$B:$B,{"licence","community"}))/SUM(SUMIFS('caseload data'!G:G,'caseload data'!$B:$B,{"licence","community"},'caseload data'!$C:$C,'community %'!$B$78)),"")</f>
        <v/>
      </c>
      <c r="F81" s="175" t="str" cm="1">
        <f t="array" ref="F81">IFERROR(SUM(SUMIFS('caseload data'!H:H,'caseload data'!$C:$C,'community %'!$B$78,'caseload data'!$D:$D,"PSO",'caseload data'!$B:$B,{"licence","community"}))/SUM(SUMIFS('caseload data'!H:H,'caseload data'!$B:$B,{"licence","community"},'caseload data'!$C:$C,'community %'!$B$78)),"")</f>
        <v/>
      </c>
      <c r="G81" s="175" t="str" cm="1">
        <f t="array" ref="G81">IFERROR(SUM(SUMIFS('caseload data'!I:I,'caseload data'!$C:$C,'community %'!$B$78,'caseload data'!$D:$D,"PSO",'caseload data'!$B:$B,{"licence","community"}))/SUM(SUMIFS('caseload data'!I:I,'caseload data'!$B:$B,{"licence","community"},'caseload data'!$C:$C,'community %'!$B$78)),"")</f>
        <v/>
      </c>
      <c r="H81" s="175" t="str" cm="1">
        <f t="array" ref="H81">IFERROR(SUM(SUMIFS('caseload data'!J:J,'caseload data'!$C:$C,'community %'!$B$78,'caseload data'!$D:$D,"PSO",'caseload data'!$B:$B,{"licence","community"}))/SUM(SUMIFS('caseload data'!J:J,'caseload data'!$B:$B,{"licence","community"},'caseload data'!$C:$C,'community %'!$B$78)),"")</f>
        <v/>
      </c>
      <c r="I81" s="175" t="str" cm="1">
        <f t="array" ref="I81">IFERROR(SUM(SUMIFS('caseload data'!K:K,'caseload data'!$C:$C,'community %'!$B$78,'caseload data'!$D:$D,"PSO",'caseload data'!$B:$B,{"licence","community"}))/SUM(SUMIFS('caseload data'!K:K,'caseload data'!$B:$B,{"licence","community"},'caseload data'!$C:$C,'community %'!$B$78)),"")</f>
        <v/>
      </c>
      <c r="J81" s="175" t="str" cm="1">
        <f t="array" ref="J81">IFERROR(SUM(SUMIFS('caseload data'!L:L,'caseload data'!$C:$C,'community %'!$B$78,'caseload data'!$D:$D,"PSO",'caseload data'!$B:$B,{"licence","community"}))/SUM(SUMIFS('caseload data'!L:L,'caseload data'!$B:$B,{"licence","community"},'caseload data'!$C:$C,'community %'!$B$78)),"")</f>
        <v/>
      </c>
      <c r="K81" s="175" t="str" cm="1">
        <f t="array" ref="K81">IFERROR(SUM(SUMIFS('caseload data'!M:M,'caseload data'!$C:$C,'community %'!$B$78,'caseload data'!$D:$D,"PSO",'caseload data'!$B:$B,{"licence","community"}))/SUM(SUMIFS('caseload data'!M:M,'caseload data'!$B:$B,{"licence","community"},'caseload data'!$C:$C,'community %'!$B$78)),"")</f>
        <v/>
      </c>
      <c r="L81" s="175" t="str" cm="1">
        <f t="array" ref="L81">IFERROR(SUM(SUMIFS('caseload data'!N:N,'caseload data'!$C:$C,'community %'!$B$78,'caseload data'!$D:$D,"PSO",'caseload data'!$B:$B,{"licence","community"}))/SUM(SUMIFS('caseload data'!N:N,'caseload data'!$B:$B,{"licence","community"},'caseload data'!$C:$C,'community %'!$B$78)),"")</f>
        <v/>
      </c>
      <c r="M81" s="175" t="str" cm="1">
        <f t="array" ref="M81">IFERROR(SUM(SUMIFS('caseload data'!O:O,'caseload data'!$C:$C,'community %'!$B$78,'caseload data'!$D:$D,"PSO",'caseload data'!$B:$B,{"licence","community"}))/SUM(SUMIFS('caseload data'!O:O,'caseload data'!$B:$B,{"licence","community"},'caseload data'!$C:$C,'community %'!$B$78)),"")</f>
        <v/>
      </c>
      <c r="N81" s="175" t="str" cm="1">
        <f t="array" ref="N81">IFERROR(SUM(SUMIFS('caseload data'!P:P,'caseload data'!$C:$C,'community %'!$B$78,'caseload data'!$D:$D,"PSO",'caseload data'!$B:$B,{"licence","community"}))/SUM(SUMIFS('caseload data'!P:P,'caseload data'!$B:$B,{"licence","community"},'caseload data'!$C:$C,'community %'!$B$78)),"")</f>
        <v/>
      </c>
      <c r="O81" s="175" t="str" cm="1">
        <f t="array" ref="O81">IFERROR(SUM(SUMIFS('caseload data'!Q:Q,'caseload data'!$C:$C,'community %'!$B$78,'caseload data'!$D:$D,"PSO",'caseload data'!$B:$B,{"licence","community"}))/SUM(SUMIFS('caseload data'!Q:Q,'caseload data'!$B:$B,{"licence","community"},'caseload data'!$C:$C,'community %'!$B$78)),"")</f>
        <v/>
      </c>
      <c r="P81" s="175" t="str" cm="1">
        <f t="array" ref="P81">IFERROR(SUM(SUMIFS('caseload data'!R:R,'caseload data'!$C:$C,'community %'!$B$78,'caseload data'!$D:$D,"PSO",'caseload data'!$B:$B,{"licence","community"}))/SUM(SUMIFS('caseload data'!R:R,'caseload data'!$B:$B,{"licence","community"},'caseload data'!$C:$C,'community %'!$B$78)),"")</f>
        <v/>
      </c>
      <c r="Q81" s="175" t="str" cm="1">
        <f t="array" ref="Q81">IFERROR(SUM(SUMIFS('caseload data'!S:S,'caseload data'!$C:$C,'community %'!$B$78,'caseload data'!$D:$D,"PSO",'caseload data'!$B:$B,{"licence","community"}))/SUM(SUMIFS('caseload data'!S:S,'caseload data'!$B:$B,{"licence","community"},'caseload data'!$C:$C,'community %'!$B$78)),"")</f>
        <v/>
      </c>
      <c r="R81" s="175" t="str" cm="1">
        <f t="array" ref="R81">IFERROR(SUM(SUMIFS('caseload data'!T:T,'caseload data'!$C:$C,'community %'!$B$78,'caseload data'!$D:$D,"PSO",'caseload data'!$B:$B,{"licence","community"}))/SUM(SUMIFS('caseload data'!T:T,'caseload data'!$B:$B,{"licence","community"},'caseload data'!$C:$C,'community %'!$B$78)),"")</f>
        <v/>
      </c>
      <c r="T81" s="101" t="s">
        <v>1172</v>
      </c>
      <c r="U81" s="175" t="str" cm="1">
        <f t="array" ref="U81">IFERROR(SUM(SUMIFS('caseload data'!E:E,'caseload data'!$C:$C,'community %'!$T$78,'caseload data'!$D:$D,"PSO",'caseload data'!$B:$B,{"licence","community"}))/SUM(SUMIFS('caseload data'!E:E,'caseload data'!$B:$B,{"licence","community"},'caseload data'!$C:$C,'community %'!$T$78)),"")</f>
        <v/>
      </c>
      <c r="V81" s="175" t="str" cm="1">
        <f t="array" ref="V81">IFERROR(SUM(SUMIFS('caseload data'!F:F,'caseload data'!$C:$C,'community %'!$T$78,'caseload data'!$D:$D,"PSO",'caseload data'!$B:$B,{"licence","community"}))/SUM(SUMIFS('caseload data'!F:F,'caseload data'!$B:$B,{"licence","community"},'caseload data'!$C:$C,'community %'!$T$78)),"")</f>
        <v/>
      </c>
      <c r="W81" s="175" t="str" cm="1">
        <f t="array" ref="W81">IFERROR(SUM(SUMIFS('caseload data'!G:G,'caseload data'!$C:$C,'community %'!$T$78,'caseload data'!$D:$D,"PSO",'caseload data'!$B:$B,{"licence","community"}))/SUM(SUMIFS('caseload data'!G:G,'caseload data'!$B:$B,{"licence","community"},'caseload data'!$C:$C,'community %'!$T$78)),"")</f>
        <v/>
      </c>
      <c r="X81" s="175" t="str" cm="1">
        <f t="array" ref="X81">IFERROR(SUM(SUMIFS('caseload data'!H:H,'caseload data'!$C:$C,'community %'!$T$78,'caseload data'!$D:$D,"PSO",'caseload data'!$B:$B,{"licence","community"}))/SUM(SUMIFS('caseload data'!H:H,'caseload data'!$B:$B,{"licence","community"},'caseload data'!$C:$C,'community %'!$T$78)),"")</f>
        <v/>
      </c>
      <c r="Y81" s="175" t="str" cm="1">
        <f t="array" ref="Y81">IFERROR(SUM(SUMIFS('caseload data'!I:I,'caseload data'!$C:$C,'community %'!$T$78,'caseload data'!$D:$D,"PSO",'caseload data'!$B:$B,{"licence","community"}))/SUM(SUMIFS('caseload data'!I:I,'caseload data'!$B:$B,{"licence","community"},'caseload data'!$C:$C,'community %'!$T$78)),"")</f>
        <v/>
      </c>
      <c r="Z81" s="175" t="str" cm="1">
        <f t="array" ref="Z81">IFERROR(SUM(SUMIFS('caseload data'!J:J,'caseload data'!$C:$C,'community %'!$T$78,'caseload data'!$D:$D,"PSO",'caseload data'!$B:$B,{"licence","community"}))/SUM(SUMIFS('caseload data'!J:J,'caseload data'!$B:$B,{"licence","community"},'caseload data'!$C:$C,'community %'!$T$78)),"")</f>
        <v/>
      </c>
      <c r="AA81" s="175" t="str" cm="1">
        <f t="array" ref="AA81">IFERROR(SUM(SUMIFS('caseload data'!K:K,'caseload data'!$C:$C,'community %'!$T$78,'caseload data'!$D:$D,"PSO",'caseload data'!$B:$B,{"licence","community"}))/SUM(SUMIFS('caseload data'!K:K,'caseload data'!$B:$B,{"licence","community"},'caseload data'!$C:$C,'community %'!$T$78)),"")</f>
        <v/>
      </c>
      <c r="AB81" s="175" t="str" cm="1">
        <f t="array" ref="AB81">IFERROR(SUM(SUMIFS('caseload data'!L:L,'caseload data'!$C:$C,'community %'!$T$78,'caseload data'!$D:$D,"PSO",'caseload data'!$B:$B,{"licence","community"}))/SUM(SUMIFS('caseload data'!L:L,'caseload data'!$B:$B,{"licence","community"},'caseload data'!$C:$C,'community %'!$T$78)),"")</f>
        <v/>
      </c>
      <c r="AC81" s="175" t="str" cm="1">
        <f t="array" ref="AC81">IFERROR(SUM(SUMIFS('caseload data'!M:M,'caseload data'!$C:$C,'community %'!$T$78,'caseload data'!$D:$D,"PSO",'caseload data'!$B:$B,{"licence","community"}))/SUM(SUMIFS('caseload data'!M:M,'caseload data'!$B:$B,{"licence","community"},'caseload data'!$C:$C,'community %'!$T$78)),"")</f>
        <v/>
      </c>
      <c r="AD81" s="175" t="str" cm="1">
        <f t="array" ref="AD81">IFERROR(SUM(SUMIFS('caseload data'!N:N,'caseload data'!$C:$C,'community %'!$T$78,'caseload data'!$D:$D,"PSO",'caseload data'!$B:$B,{"licence","community"}))/SUM(SUMIFS('caseload data'!N:N,'caseload data'!$B:$B,{"licence","community"},'caseload data'!$C:$C,'community %'!$T$78)),"")</f>
        <v/>
      </c>
      <c r="AE81" s="175" t="str" cm="1">
        <f t="array" ref="AE81">IFERROR(SUM(SUMIFS('caseload data'!O:O,'caseload data'!$C:$C,'community %'!$T$78,'caseload data'!$D:$D,"PSO",'caseload data'!$B:$B,{"licence","community"}))/SUM(SUMIFS('caseload data'!O:O,'caseload data'!$B:$B,{"licence","community"},'caseload data'!$C:$C,'community %'!$T$78)),"")</f>
        <v/>
      </c>
      <c r="AF81" s="175" t="str" cm="1">
        <f t="array" ref="AF81">IFERROR(SUM(SUMIFS('caseload data'!P:P,'caseload data'!$C:$C,'community %'!$T$78,'caseload data'!$D:$D,"PSO",'caseload data'!$B:$B,{"licence","community"}))/SUM(SUMIFS('caseload data'!P:P,'caseload data'!$B:$B,{"licence","community"},'caseload data'!$C:$C,'community %'!$T$78)),"")</f>
        <v/>
      </c>
      <c r="AG81" s="175" t="str" cm="1">
        <f t="array" ref="AG81">IFERROR(SUM(SUMIFS('caseload data'!Q:Q,'caseload data'!$C:$C,'community %'!$T$78,'caseload data'!$D:$D,"PSO",'caseload data'!$B:$B,{"licence","community"}))/SUM(SUMIFS('caseload data'!Q:Q,'caseload data'!$B:$B,{"licence","community"},'caseload data'!$C:$C,'community %'!$T$78)),"")</f>
        <v/>
      </c>
      <c r="AH81" s="175" t="str" cm="1">
        <f t="array" ref="AH81">IFERROR(SUM(SUMIFS('caseload data'!R:R,'caseload data'!$C:$C,'community %'!$T$78,'caseload data'!$D:$D,"PSO",'caseload data'!$B:$B,{"licence","community"}))/SUM(SUMIFS('caseload data'!R:R,'caseload data'!$B:$B,{"licence","community"},'caseload data'!$C:$C,'community %'!$T$78)),"")</f>
        <v/>
      </c>
      <c r="AI81" s="175" t="str" cm="1">
        <f t="array" ref="AI81">IFERROR(SUM(SUMIFS('caseload data'!S:S,'caseload data'!$C:$C,'community %'!$T$78,'caseload data'!$D:$D,"PSO",'caseload data'!$B:$B,{"licence","community"}))/SUM(SUMIFS('caseload data'!S:S,'caseload data'!$B:$B,{"licence","community"},'caseload data'!$C:$C,'community %'!$T$78)),"")</f>
        <v/>
      </c>
      <c r="AJ81" s="175" t="str" cm="1">
        <f t="array" ref="AJ81">IFERROR(SUM(SUMIFS('caseload data'!T:T,'caseload data'!$C:$C,'community %'!$T$78,'caseload data'!$D:$D,"PSO",'caseload data'!$B:$B,{"licence","community"}))/SUM(SUMIFS('caseload data'!T:T,'caseload data'!$B:$B,{"licence","community"},'caseload data'!$C:$C,'community %'!$T$78)),"")</f>
        <v/>
      </c>
    </row>
    <row r="82" spans="2:36" x14ac:dyDescent="0.15">
      <c r="B82" s="101" t="s">
        <v>1173</v>
      </c>
      <c r="C82" s="175" t="str" cm="1">
        <f t="array" ref="C82">IFERROR(SUM(SUMIFS('caseload data'!E:E,'caseload data'!$C:$C,'community %'!$B$78,'caseload data'!$D:$D,"TPO",'caseload data'!$B:$B,{"licence","community"}))/SUM(SUMIFS('caseload data'!E:E,'caseload data'!$B:$B,{"licence","community"},'caseload data'!$C:$C,'community %'!$B$78)),"")</f>
        <v/>
      </c>
      <c r="D82" s="175" t="str" cm="1">
        <f t="array" ref="D82">IFERROR(SUM(SUMIFS('caseload data'!F:F,'caseload data'!$C:$C,'community %'!$B$78,'caseload data'!$D:$D,"TPO",'caseload data'!$B:$B,{"licence","community"}))/SUM(SUMIFS('caseload data'!F:F,'caseload data'!$B:$B,{"licence","community"},'caseload data'!$C:$C,'community %'!$B$78)),"")</f>
        <v/>
      </c>
      <c r="E82" s="175" t="str" cm="1">
        <f t="array" ref="E82">IFERROR(SUM(SUMIFS('caseload data'!G:G,'caseload data'!$C:$C,'community %'!$B$78,'caseload data'!$D:$D,"TPO",'caseload data'!$B:$B,{"licence","community"}))/SUM(SUMIFS('caseload data'!G:G,'caseload data'!$B:$B,{"licence","community"},'caseload data'!$C:$C,'community %'!$B$78)),"")</f>
        <v/>
      </c>
      <c r="F82" s="175" t="str" cm="1">
        <f t="array" ref="F82">IFERROR(SUM(SUMIFS('caseload data'!H:H,'caseload data'!$C:$C,'community %'!$B$78,'caseload data'!$D:$D,"TPO",'caseload data'!$B:$B,{"licence","community"}))/SUM(SUMIFS('caseload data'!H:H,'caseload data'!$B:$B,{"licence","community"},'caseload data'!$C:$C,'community %'!$B$78)),"")</f>
        <v/>
      </c>
      <c r="G82" s="175" t="str" cm="1">
        <f t="array" ref="G82">IFERROR(SUM(SUMIFS('caseload data'!I:I,'caseload data'!$C:$C,'community %'!$B$78,'caseload data'!$D:$D,"TPO",'caseload data'!$B:$B,{"licence","community"}))/SUM(SUMIFS('caseload data'!I:I,'caseload data'!$B:$B,{"licence","community"},'caseload data'!$C:$C,'community %'!$B$78)),"")</f>
        <v/>
      </c>
      <c r="H82" s="175" t="str" cm="1">
        <f t="array" ref="H82">IFERROR(SUM(SUMIFS('caseload data'!J:J,'caseload data'!$C:$C,'community %'!$B$78,'caseload data'!$D:$D,"TPO",'caseload data'!$B:$B,{"licence","community"}))/SUM(SUMIFS('caseload data'!J:J,'caseload data'!$B:$B,{"licence","community"},'caseload data'!$C:$C,'community %'!$B$78)),"")</f>
        <v/>
      </c>
      <c r="I82" s="175" t="str" cm="1">
        <f t="array" ref="I82">IFERROR(SUM(SUMIFS('caseload data'!K:K,'caseload data'!$C:$C,'community %'!$B$78,'caseload data'!$D:$D,"TPO",'caseload data'!$B:$B,{"licence","community"}))/SUM(SUMIFS('caseload data'!K:K,'caseload data'!$B:$B,{"licence","community"},'caseload data'!$C:$C,'community %'!$B$78)),"")</f>
        <v/>
      </c>
      <c r="J82" s="175" t="str" cm="1">
        <f t="array" ref="J82">IFERROR(SUM(SUMIFS('caseload data'!L:L,'caseload data'!$C:$C,'community %'!$B$78,'caseload data'!$D:$D,"TPO",'caseload data'!$B:$B,{"licence","community"}))/SUM(SUMIFS('caseload data'!L:L,'caseload data'!$B:$B,{"licence","community"},'caseload data'!$C:$C,'community %'!$B$78)),"")</f>
        <v/>
      </c>
      <c r="K82" s="175" t="str" cm="1">
        <f t="array" ref="K82">IFERROR(SUM(SUMIFS('caseload data'!M:M,'caseload data'!$C:$C,'community %'!$B$78,'caseload data'!$D:$D,"TPO",'caseload data'!$B:$B,{"licence","community"}))/SUM(SUMIFS('caseload data'!M:M,'caseload data'!$B:$B,{"licence","community"},'caseload data'!$C:$C,'community %'!$B$78)),"")</f>
        <v/>
      </c>
      <c r="L82" s="175" t="str" cm="1">
        <f t="array" ref="L82">IFERROR(SUM(SUMIFS('caseload data'!N:N,'caseload data'!$C:$C,'community %'!$B$78,'caseload data'!$D:$D,"TPO",'caseload data'!$B:$B,{"licence","community"}))/SUM(SUMIFS('caseload data'!N:N,'caseload data'!$B:$B,{"licence","community"},'caseload data'!$C:$C,'community %'!$B$78)),"")</f>
        <v/>
      </c>
      <c r="M82" s="175" t="str" cm="1">
        <f t="array" ref="M82">IFERROR(SUM(SUMIFS('caseload data'!O:O,'caseload data'!$C:$C,'community %'!$B$78,'caseload data'!$D:$D,"TPO",'caseload data'!$B:$B,{"licence","community"}))/SUM(SUMIFS('caseload data'!O:O,'caseload data'!$B:$B,{"licence","community"},'caseload data'!$C:$C,'community %'!$B$78)),"")</f>
        <v/>
      </c>
      <c r="N82" s="175" t="str" cm="1">
        <f t="array" ref="N82">IFERROR(SUM(SUMIFS('caseload data'!P:P,'caseload data'!$C:$C,'community %'!$B$78,'caseload data'!$D:$D,"TPO",'caseload data'!$B:$B,{"licence","community"}))/SUM(SUMIFS('caseload data'!P:P,'caseload data'!$B:$B,{"licence","community"},'caseload data'!$C:$C,'community %'!$B$78)),"")</f>
        <v/>
      </c>
      <c r="O82" s="175" t="str" cm="1">
        <f t="array" ref="O82">IFERROR(SUM(SUMIFS('caseload data'!Q:Q,'caseload data'!$C:$C,'community %'!$B$78,'caseload data'!$D:$D,"TPO",'caseload data'!$B:$B,{"licence","community"}))/SUM(SUMIFS('caseload data'!Q:Q,'caseload data'!$B:$B,{"licence","community"},'caseload data'!$C:$C,'community %'!$B$78)),"")</f>
        <v/>
      </c>
      <c r="P82" s="175" t="str" cm="1">
        <f t="array" ref="P82">IFERROR(SUM(SUMIFS('caseload data'!R:R,'caseload data'!$C:$C,'community %'!$B$78,'caseload data'!$D:$D,"TPO",'caseload data'!$B:$B,{"licence","community"}))/SUM(SUMIFS('caseload data'!R:R,'caseload data'!$B:$B,{"licence","community"},'caseload data'!$C:$C,'community %'!$B$78)),"")</f>
        <v/>
      </c>
      <c r="Q82" s="175" t="str" cm="1">
        <f t="array" ref="Q82">IFERROR(SUM(SUMIFS('caseload data'!S:S,'caseload data'!$C:$C,'community %'!$B$78,'caseload data'!$D:$D,"TPO",'caseload data'!$B:$B,{"licence","community"}))/SUM(SUMIFS('caseload data'!S:S,'caseload data'!$B:$B,{"licence","community"},'caseload data'!$C:$C,'community %'!$B$78)),"")</f>
        <v/>
      </c>
      <c r="R82" s="175" t="str" cm="1">
        <f t="array" ref="R82">IFERROR(SUM(SUMIFS('caseload data'!T:T,'caseload data'!$C:$C,'community %'!$B$78,'caseload data'!$D:$D,"TPO",'caseload data'!$B:$B,{"licence","community"}))/SUM(SUMIFS('caseload data'!T:T,'caseload data'!$B:$B,{"licence","community"},'caseload data'!$C:$C,'community %'!$B$78)),"")</f>
        <v/>
      </c>
      <c r="T82" s="101" t="s">
        <v>1173</v>
      </c>
      <c r="U82" s="175" t="str" cm="1">
        <f t="array" ref="U82">IFERROR(SUM(SUMIFS('caseload data'!E:E,'caseload data'!$C:$C,'community %'!$T$78,'caseload data'!$D:$D,"TPO",'caseload data'!$B:$B,{"licence","community"}))/SUM(SUMIFS('caseload data'!E:E,'caseload data'!$B:$B,{"licence","community"},'caseload data'!$C:$C,'community %'!$T$78)),"")</f>
        <v/>
      </c>
      <c r="V82" s="175" t="str" cm="1">
        <f t="array" ref="V82">IFERROR(SUM(SUMIFS('caseload data'!F:F,'caseload data'!$C:$C,'community %'!$T$78,'caseload data'!$D:$D,"TPO",'caseload data'!$B:$B,{"licence","community"}))/SUM(SUMIFS('caseload data'!F:F,'caseload data'!$B:$B,{"licence","community"},'caseload data'!$C:$C,'community %'!$T$78)),"")</f>
        <v/>
      </c>
      <c r="W82" s="175" t="str" cm="1">
        <f t="array" ref="W82">IFERROR(SUM(SUMIFS('caseload data'!G:G,'caseload data'!$C:$C,'community %'!$T$78,'caseload data'!$D:$D,"TPO",'caseload data'!$B:$B,{"licence","community"}))/SUM(SUMIFS('caseload data'!G:G,'caseload data'!$B:$B,{"licence","community"},'caseload data'!$C:$C,'community %'!$T$78)),"")</f>
        <v/>
      </c>
      <c r="X82" s="175" t="str" cm="1">
        <f t="array" ref="X82">IFERROR(SUM(SUMIFS('caseload data'!H:H,'caseload data'!$C:$C,'community %'!$T$78,'caseload data'!$D:$D,"TPO",'caseload data'!$B:$B,{"licence","community"}))/SUM(SUMIFS('caseload data'!H:H,'caseload data'!$B:$B,{"licence","community"},'caseload data'!$C:$C,'community %'!$T$78)),"")</f>
        <v/>
      </c>
      <c r="Y82" s="175" t="str" cm="1">
        <f t="array" ref="Y82">IFERROR(SUM(SUMIFS('caseload data'!I:I,'caseload data'!$C:$C,'community %'!$T$78,'caseload data'!$D:$D,"TPO",'caseload data'!$B:$B,{"licence","community"}))/SUM(SUMIFS('caseload data'!I:I,'caseload data'!$B:$B,{"licence","community"},'caseload data'!$C:$C,'community %'!$T$78)),"")</f>
        <v/>
      </c>
      <c r="Z82" s="175" t="str" cm="1">
        <f t="array" ref="Z82">IFERROR(SUM(SUMIFS('caseload data'!J:J,'caseload data'!$C:$C,'community %'!$T$78,'caseload data'!$D:$D,"TPO",'caseload data'!$B:$B,{"licence","community"}))/SUM(SUMIFS('caseload data'!J:J,'caseload data'!$B:$B,{"licence","community"},'caseload data'!$C:$C,'community %'!$T$78)),"")</f>
        <v/>
      </c>
      <c r="AA82" s="175" t="str" cm="1">
        <f t="array" ref="AA82">IFERROR(SUM(SUMIFS('caseload data'!K:K,'caseload data'!$C:$C,'community %'!$T$78,'caseload data'!$D:$D,"TPO",'caseload data'!$B:$B,{"licence","community"}))/SUM(SUMIFS('caseload data'!K:K,'caseload data'!$B:$B,{"licence","community"},'caseload data'!$C:$C,'community %'!$T$78)),"")</f>
        <v/>
      </c>
      <c r="AB82" s="175" t="str" cm="1">
        <f t="array" ref="AB82">IFERROR(SUM(SUMIFS('caseload data'!L:L,'caseload data'!$C:$C,'community %'!$T$78,'caseload data'!$D:$D,"TPO",'caseload data'!$B:$B,{"licence","community"}))/SUM(SUMIFS('caseload data'!L:L,'caseload data'!$B:$B,{"licence","community"},'caseload data'!$C:$C,'community %'!$T$78)),"")</f>
        <v/>
      </c>
      <c r="AC82" s="175" t="str" cm="1">
        <f t="array" ref="AC82">IFERROR(SUM(SUMIFS('caseload data'!M:M,'caseload data'!$C:$C,'community %'!$T$78,'caseload data'!$D:$D,"TPO",'caseload data'!$B:$B,{"licence","community"}))/SUM(SUMIFS('caseload data'!M:M,'caseload data'!$B:$B,{"licence","community"},'caseload data'!$C:$C,'community %'!$T$78)),"")</f>
        <v/>
      </c>
      <c r="AD82" s="175" t="str" cm="1">
        <f t="array" ref="AD82">IFERROR(SUM(SUMIFS('caseload data'!N:N,'caseload data'!$C:$C,'community %'!$T$78,'caseload data'!$D:$D,"TPO",'caseload data'!$B:$B,{"licence","community"}))/SUM(SUMIFS('caseload data'!N:N,'caseload data'!$B:$B,{"licence","community"},'caseload data'!$C:$C,'community %'!$T$78)),"")</f>
        <v/>
      </c>
      <c r="AE82" s="175" t="str" cm="1">
        <f t="array" ref="AE82">IFERROR(SUM(SUMIFS('caseload data'!O:O,'caseload data'!$C:$C,'community %'!$T$78,'caseload data'!$D:$D,"TPO",'caseload data'!$B:$B,{"licence","community"}))/SUM(SUMIFS('caseload data'!O:O,'caseload data'!$B:$B,{"licence","community"},'caseload data'!$C:$C,'community %'!$T$78)),"")</f>
        <v/>
      </c>
      <c r="AF82" s="175" t="str" cm="1">
        <f t="array" ref="AF82">IFERROR(SUM(SUMIFS('caseload data'!P:P,'caseload data'!$C:$C,'community %'!$T$78,'caseload data'!$D:$D,"TPO",'caseload data'!$B:$B,{"licence","community"}))/SUM(SUMIFS('caseload data'!P:P,'caseload data'!$B:$B,{"licence","community"},'caseload data'!$C:$C,'community %'!$T$78)),"")</f>
        <v/>
      </c>
      <c r="AG82" s="175" t="str" cm="1">
        <f t="array" ref="AG82">IFERROR(SUM(SUMIFS('caseload data'!Q:Q,'caseload data'!$C:$C,'community %'!$T$78,'caseload data'!$D:$D,"TPO",'caseload data'!$B:$B,{"licence","community"}))/SUM(SUMIFS('caseload data'!Q:Q,'caseload data'!$B:$B,{"licence","community"},'caseload data'!$C:$C,'community %'!$T$78)),"")</f>
        <v/>
      </c>
      <c r="AH82" s="175" t="str" cm="1">
        <f t="array" ref="AH82">IFERROR(SUM(SUMIFS('caseload data'!R:R,'caseload data'!$C:$C,'community %'!$T$78,'caseload data'!$D:$D,"TPO",'caseload data'!$B:$B,{"licence","community"}))/SUM(SUMIFS('caseload data'!R:R,'caseload data'!$B:$B,{"licence","community"},'caseload data'!$C:$C,'community %'!$T$78)),"")</f>
        <v/>
      </c>
      <c r="AI82" s="175" t="str" cm="1">
        <f t="array" ref="AI82">IFERROR(SUM(SUMIFS('caseload data'!S:S,'caseload data'!$C:$C,'community %'!$T$78,'caseload data'!$D:$D,"TPO",'caseload data'!$B:$B,{"licence","community"}))/SUM(SUMIFS('caseload data'!S:S,'caseload data'!$B:$B,{"licence","community"},'caseload data'!$C:$C,'community %'!$T$78)),"")</f>
        <v/>
      </c>
      <c r="AJ82" s="175" t="str" cm="1">
        <f t="array" ref="AJ82">IFERROR(SUM(SUMIFS('caseload data'!T:T,'caseload data'!$C:$C,'community %'!$T$78,'caseload data'!$D:$D,"TPO",'caseload data'!$B:$B,{"licence","community"}))/SUM(SUMIFS('caseload data'!T:T,'caseload data'!$B:$B,{"licence","community"},'caseload data'!$C:$C,'community %'!$T$78)),"")</f>
        <v/>
      </c>
    </row>
    <row r="83" spans="2:36" x14ac:dyDescent="0.15">
      <c r="B83" s="102" t="s">
        <v>1174</v>
      </c>
      <c r="C83" s="175" t="str" cm="1">
        <f t="array" ref="C83">IFERROR(SUM(SUMIFS('caseload data'!E:E,'caseload data'!$C:$C,'community %'!$B$78,'caseload data'!$D:$D,"SPO",'caseload data'!$B:$B,{"licence","community"}))/SUM(SUMIFS('caseload data'!E:E,'caseload data'!$B:$B,{"licence","community"},'caseload data'!$C:$C,'community %'!$B$78)),"")</f>
        <v/>
      </c>
      <c r="D83" s="175" t="str" cm="1">
        <f t="array" ref="D83">IFERROR(SUM(SUMIFS('caseload data'!F:F,'caseload data'!$C:$C,'community %'!$B$78,'caseload data'!$D:$D,"SPO",'caseload data'!$B:$B,{"licence","community"}))/SUM(SUMIFS('caseload data'!F:F,'caseload data'!$B:$B,{"licence","community"},'caseload data'!$C:$C,'community %'!$B$78)),"")</f>
        <v/>
      </c>
      <c r="E83" s="175" t="str" cm="1">
        <f t="array" ref="E83">IFERROR(SUM(SUMIFS('caseload data'!G:G,'caseload data'!$C:$C,'community %'!$B$78,'caseload data'!$D:$D,"SPO",'caseload data'!$B:$B,{"licence","community"}))/SUM(SUMIFS('caseload data'!G:G,'caseload data'!$B:$B,{"licence","community"},'caseload data'!$C:$C,'community %'!$B$78)),"")</f>
        <v/>
      </c>
      <c r="F83" s="175" t="str" cm="1">
        <f t="array" ref="F83">IFERROR(SUM(SUMIFS('caseload data'!H:H,'caseload data'!$C:$C,'community %'!$B$78,'caseload data'!$D:$D,"SPO",'caseload data'!$B:$B,{"licence","community"}))/SUM(SUMIFS('caseload data'!H:H,'caseload data'!$B:$B,{"licence","community"},'caseload data'!$C:$C,'community %'!$B$78)),"")</f>
        <v/>
      </c>
      <c r="G83" s="175" t="str" cm="1">
        <f t="array" ref="G83">IFERROR(SUM(SUMIFS('caseload data'!I:I,'caseload data'!$C:$C,'community %'!$B$78,'caseload data'!$D:$D,"SPO",'caseload data'!$B:$B,{"licence","community"}))/SUM(SUMIFS('caseload data'!I:I,'caseload data'!$B:$B,{"licence","community"},'caseload data'!$C:$C,'community %'!$B$78)),"")</f>
        <v/>
      </c>
      <c r="H83" s="175" t="str" cm="1">
        <f t="array" ref="H83">IFERROR(SUM(SUMIFS('caseload data'!J:J,'caseload data'!$C:$C,'community %'!$B$78,'caseload data'!$D:$D,"SPO",'caseload data'!$B:$B,{"licence","community"}))/SUM(SUMIFS('caseload data'!J:J,'caseload data'!$B:$B,{"licence","community"},'caseload data'!$C:$C,'community %'!$B$78)),"")</f>
        <v/>
      </c>
      <c r="I83" s="175" t="str" cm="1">
        <f t="array" ref="I83">IFERROR(SUM(SUMIFS('caseload data'!K:K,'caseload data'!$C:$C,'community %'!$B$78,'caseload data'!$D:$D,"SPO",'caseload data'!$B:$B,{"licence","community"}))/SUM(SUMIFS('caseload data'!K:K,'caseload data'!$B:$B,{"licence","community"},'caseload data'!$C:$C,'community %'!$B$78)),"")</f>
        <v/>
      </c>
      <c r="J83" s="175" t="str" cm="1">
        <f t="array" ref="J83">IFERROR(SUM(SUMIFS('caseload data'!L:L,'caseload data'!$C:$C,'community %'!$B$78,'caseload data'!$D:$D,"SPO",'caseload data'!$B:$B,{"licence","community"}))/SUM(SUMIFS('caseload data'!L:L,'caseload data'!$B:$B,{"licence","community"},'caseload data'!$C:$C,'community %'!$B$78)),"")</f>
        <v/>
      </c>
      <c r="K83" s="175" t="str" cm="1">
        <f t="array" ref="K83">IFERROR(SUM(SUMIFS('caseload data'!M:M,'caseload data'!$C:$C,'community %'!$B$78,'caseload data'!$D:$D,"SPO",'caseload data'!$B:$B,{"licence","community"}))/SUM(SUMIFS('caseload data'!M:M,'caseload data'!$B:$B,{"licence","community"},'caseload data'!$C:$C,'community %'!$B$78)),"")</f>
        <v/>
      </c>
      <c r="L83" s="175" t="str" cm="1">
        <f t="array" ref="L83">IFERROR(SUM(SUMIFS('caseload data'!N:N,'caseload data'!$C:$C,'community %'!$B$78,'caseload data'!$D:$D,"SPO",'caseload data'!$B:$B,{"licence","community"}))/SUM(SUMIFS('caseload data'!N:N,'caseload data'!$B:$B,{"licence","community"},'caseload data'!$C:$C,'community %'!$B$78)),"")</f>
        <v/>
      </c>
      <c r="M83" s="175" t="str" cm="1">
        <f t="array" ref="M83">IFERROR(SUM(SUMIFS('caseload data'!O:O,'caseload data'!$C:$C,'community %'!$B$78,'caseload data'!$D:$D,"SPO",'caseload data'!$B:$B,{"licence","community"}))/SUM(SUMIFS('caseload data'!O:O,'caseload data'!$B:$B,{"licence","community"},'caseload data'!$C:$C,'community %'!$B$78)),"")</f>
        <v/>
      </c>
      <c r="N83" s="175" t="str" cm="1">
        <f t="array" ref="N83">IFERROR(SUM(SUMIFS('caseload data'!P:P,'caseload data'!$C:$C,'community %'!$B$78,'caseload data'!$D:$D,"SPO",'caseload data'!$B:$B,{"licence","community"}))/SUM(SUMIFS('caseload data'!P:P,'caseload data'!$B:$B,{"licence","community"},'caseload data'!$C:$C,'community %'!$B$78)),"")</f>
        <v/>
      </c>
      <c r="O83" s="175" t="str" cm="1">
        <f t="array" ref="O83">IFERROR(SUM(SUMIFS('caseload data'!Q:Q,'caseload data'!$C:$C,'community %'!$B$78,'caseload data'!$D:$D,"SPO",'caseload data'!$B:$B,{"licence","community"}))/SUM(SUMIFS('caseload data'!Q:Q,'caseload data'!$B:$B,{"licence","community"},'caseload data'!$C:$C,'community %'!$B$78)),"")</f>
        <v/>
      </c>
      <c r="P83" s="175" t="str" cm="1">
        <f t="array" ref="P83">IFERROR(SUM(SUMIFS('caseload data'!R:R,'caseload data'!$C:$C,'community %'!$B$78,'caseload data'!$D:$D,"SPO",'caseload data'!$B:$B,{"licence","community"}))/SUM(SUMIFS('caseload data'!R:R,'caseload data'!$B:$B,{"licence","community"},'caseload data'!$C:$C,'community %'!$B$78)),"")</f>
        <v/>
      </c>
      <c r="Q83" s="175" t="str" cm="1">
        <f t="array" ref="Q83">IFERROR(SUM(SUMIFS('caseload data'!S:S,'caseload data'!$C:$C,'community %'!$B$78,'caseload data'!$D:$D,"SPO",'caseload data'!$B:$B,{"licence","community"}))/SUM(SUMIFS('caseload data'!S:S,'caseload data'!$B:$B,{"licence","community"},'caseload data'!$C:$C,'community %'!$B$78)),"")</f>
        <v/>
      </c>
      <c r="R83" s="175" t="str" cm="1">
        <f t="array" ref="R83">IFERROR(SUM(SUMIFS('caseload data'!T:T,'caseload data'!$C:$C,'community %'!$B$78,'caseload data'!$D:$D,"SPO",'caseload data'!$B:$B,{"licence","community"}))/SUM(SUMIFS('caseload data'!T:T,'caseload data'!$B:$B,{"licence","community"},'caseload data'!$C:$C,'community %'!$B$78)),"")</f>
        <v/>
      </c>
      <c r="T83" s="102" t="s">
        <v>1174</v>
      </c>
      <c r="U83" s="175" t="str" cm="1">
        <f t="array" ref="U83">IFERROR(SUM(SUMIFS('caseload data'!E:E,'caseload data'!$C:$C,'community %'!$T$78,'caseload data'!$D:$D,"SPO",'caseload data'!$B:$B,{"licence","community"}))/SUM(SUMIFS('caseload data'!E:E,'caseload data'!$B:$B,{"licence","community"},'caseload data'!$C:$C,'community %'!$T$78)),"")</f>
        <v/>
      </c>
      <c r="V83" s="175" t="str" cm="1">
        <f t="array" ref="V83">IFERROR(SUM(SUMIFS('caseload data'!F:F,'caseload data'!$C:$C,'community %'!$T$78,'caseload data'!$D:$D,"SPO",'caseload data'!$B:$B,{"licence","community"}))/SUM(SUMIFS('caseload data'!F:F,'caseload data'!$B:$B,{"licence","community"},'caseload data'!$C:$C,'community %'!$T$78)),"")</f>
        <v/>
      </c>
      <c r="W83" s="175" t="str" cm="1">
        <f t="array" ref="W83">IFERROR(SUM(SUMIFS('caseload data'!G:G,'caseload data'!$C:$C,'community %'!$T$78,'caseload data'!$D:$D,"SPO",'caseload data'!$B:$B,{"licence","community"}))/SUM(SUMIFS('caseload data'!G:G,'caseload data'!$B:$B,{"licence","community"},'caseload data'!$C:$C,'community %'!$T$78)),"")</f>
        <v/>
      </c>
      <c r="X83" s="175" t="str" cm="1">
        <f t="array" ref="X83">IFERROR(SUM(SUMIFS('caseload data'!H:H,'caseload data'!$C:$C,'community %'!$T$78,'caseload data'!$D:$D,"SPO",'caseload data'!$B:$B,{"licence","community"}))/SUM(SUMIFS('caseload data'!H:H,'caseload data'!$B:$B,{"licence","community"},'caseload data'!$C:$C,'community %'!$T$78)),"")</f>
        <v/>
      </c>
      <c r="Y83" s="175" t="str" cm="1">
        <f t="array" ref="Y83">IFERROR(SUM(SUMIFS('caseload data'!I:I,'caseload data'!$C:$C,'community %'!$T$78,'caseload data'!$D:$D,"SPO",'caseload data'!$B:$B,{"licence","community"}))/SUM(SUMIFS('caseload data'!I:I,'caseload data'!$B:$B,{"licence","community"},'caseload data'!$C:$C,'community %'!$T$78)),"")</f>
        <v/>
      </c>
      <c r="Z83" s="175" t="str" cm="1">
        <f t="array" ref="Z83">IFERROR(SUM(SUMIFS('caseload data'!J:J,'caseload data'!$C:$C,'community %'!$T$78,'caseload data'!$D:$D,"SPO",'caseload data'!$B:$B,{"licence","community"}))/SUM(SUMIFS('caseload data'!J:J,'caseload data'!$B:$B,{"licence","community"},'caseload data'!$C:$C,'community %'!$T$78)),"")</f>
        <v/>
      </c>
      <c r="AA83" s="175" t="str" cm="1">
        <f t="array" ref="AA83">IFERROR(SUM(SUMIFS('caseload data'!K:K,'caseload data'!$C:$C,'community %'!$T$78,'caseload data'!$D:$D,"SPO",'caseload data'!$B:$B,{"licence","community"}))/SUM(SUMIFS('caseload data'!K:K,'caseload data'!$B:$B,{"licence","community"},'caseload data'!$C:$C,'community %'!$T$78)),"")</f>
        <v/>
      </c>
      <c r="AB83" s="175" t="str" cm="1">
        <f t="array" ref="AB83">IFERROR(SUM(SUMIFS('caseload data'!L:L,'caseload data'!$C:$C,'community %'!$T$78,'caseload data'!$D:$D,"SPO",'caseload data'!$B:$B,{"licence","community"}))/SUM(SUMIFS('caseload data'!L:L,'caseload data'!$B:$B,{"licence","community"},'caseload data'!$C:$C,'community %'!$T$78)),"")</f>
        <v/>
      </c>
      <c r="AC83" s="175" t="str" cm="1">
        <f t="array" ref="AC83">IFERROR(SUM(SUMIFS('caseload data'!M:M,'caseload data'!$C:$C,'community %'!$T$78,'caseload data'!$D:$D,"SPO",'caseload data'!$B:$B,{"licence","community"}))/SUM(SUMIFS('caseload data'!M:M,'caseload data'!$B:$B,{"licence","community"},'caseload data'!$C:$C,'community %'!$T$78)),"")</f>
        <v/>
      </c>
      <c r="AD83" s="175" t="str" cm="1">
        <f t="array" ref="AD83">IFERROR(SUM(SUMIFS('caseload data'!N:N,'caseload data'!$C:$C,'community %'!$T$78,'caseload data'!$D:$D,"SPO",'caseload data'!$B:$B,{"licence","community"}))/SUM(SUMIFS('caseload data'!N:N,'caseload data'!$B:$B,{"licence","community"},'caseload data'!$C:$C,'community %'!$T$78)),"")</f>
        <v/>
      </c>
      <c r="AE83" s="175" t="str" cm="1">
        <f t="array" ref="AE83">IFERROR(SUM(SUMIFS('caseload data'!O:O,'caseload data'!$C:$C,'community %'!$T$78,'caseload data'!$D:$D,"SPO",'caseload data'!$B:$B,{"licence","community"}))/SUM(SUMIFS('caseload data'!O:O,'caseload data'!$B:$B,{"licence","community"},'caseload data'!$C:$C,'community %'!$T$78)),"")</f>
        <v/>
      </c>
      <c r="AF83" s="175" t="str" cm="1">
        <f t="array" ref="AF83">IFERROR(SUM(SUMIFS('caseload data'!P:P,'caseload data'!$C:$C,'community %'!$T$78,'caseload data'!$D:$D,"SPO",'caseload data'!$B:$B,{"licence","community"}))/SUM(SUMIFS('caseload data'!P:P,'caseload data'!$B:$B,{"licence","community"},'caseload data'!$C:$C,'community %'!$T$78)),"")</f>
        <v/>
      </c>
      <c r="AG83" s="175" t="str" cm="1">
        <f t="array" ref="AG83">IFERROR(SUM(SUMIFS('caseload data'!Q:Q,'caseload data'!$C:$C,'community %'!$T$78,'caseload data'!$D:$D,"SPO",'caseload data'!$B:$B,{"licence","community"}))/SUM(SUMIFS('caseload data'!Q:Q,'caseload data'!$B:$B,{"licence","community"},'caseload data'!$C:$C,'community %'!$T$78)),"")</f>
        <v/>
      </c>
      <c r="AH83" s="175" t="str" cm="1">
        <f t="array" ref="AH83">IFERROR(SUM(SUMIFS('caseload data'!R:R,'caseload data'!$C:$C,'community %'!$T$78,'caseload data'!$D:$D,"SPO",'caseload data'!$B:$B,{"licence","community"}))/SUM(SUMIFS('caseload data'!R:R,'caseload data'!$B:$B,{"licence","community"},'caseload data'!$C:$C,'community %'!$T$78)),"")</f>
        <v/>
      </c>
      <c r="AI83" s="175" t="str" cm="1">
        <f t="array" ref="AI83">IFERROR(SUM(SUMIFS('caseload data'!S:S,'caseload data'!$C:$C,'community %'!$T$78,'caseload data'!$D:$D,"SPO",'caseload data'!$B:$B,{"licence","community"}))/SUM(SUMIFS('caseload data'!S:S,'caseload data'!$B:$B,{"licence","community"},'caseload data'!$C:$C,'community %'!$T$78)),"")</f>
        <v/>
      </c>
      <c r="AJ83" s="175" t="str" cm="1">
        <f t="array" ref="AJ83">IFERROR(SUM(SUMIFS('caseload data'!T:T,'caseload data'!$C:$C,'community %'!$T$78,'caseload data'!$D:$D,"SPO",'caseload data'!$B:$B,{"licence","community"}))/SUM(SUMIFS('caseload data'!T:T,'caseload data'!$B:$B,{"licence","community"},'caseload data'!$C:$C,'community %'!$T$78)),"")</f>
        <v/>
      </c>
    </row>
    <row r="85" spans="2:36" ht="28" x14ac:dyDescent="0.15">
      <c r="B85" s="302" t="str">
        <f>HLOOKUP($B$5,Region_Table,24,0)</f>
        <v>Unpaid Work and Attendance Centres - N07</v>
      </c>
      <c r="C85" s="459" t="s">
        <v>1313</v>
      </c>
      <c r="D85" s="460"/>
      <c r="E85" s="460"/>
      <c r="F85" s="460"/>
      <c r="G85" s="460"/>
      <c r="H85" s="460"/>
      <c r="I85" s="460"/>
      <c r="J85" s="460"/>
      <c r="K85" s="460"/>
      <c r="L85" s="460"/>
      <c r="M85" s="489"/>
      <c r="N85" s="489"/>
      <c r="O85" s="490"/>
      <c r="P85" s="462" cm="1">
        <f t="array" ref="P85">SUM(SUMIFS('caseload data'!V:V,'caseload data'!B:B,{"licence","community"},'caseload data'!$C:$C,B85))</f>
        <v>0</v>
      </c>
      <c r="Q85" s="479"/>
      <c r="R85" s="480"/>
      <c r="T85" s="302" t="str">
        <f>HLOOKUP($B$5,Region_Table,25,0)</f>
        <v>Wandsworth, Merton and Sutton</v>
      </c>
      <c r="U85" s="459" t="s">
        <v>1313</v>
      </c>
      <c r="V85" s="460"/>
      <c r="W85" s="460"/>
      <c r="X85" s="460"/>
      <c r="Y85" s="460"/>
      <c r="Z85" s="460"/>
      <c r="AA85" s="460"/>
      <c r="AB85" s="460"/>
      <c r="AC85" s="460"/>
      <c r="AD85" s="460"/>
      <c r="AE85" s="489"/>
      <c r="AF85" s="489"/>
      <c r="AG85" s="490"/>
      <c r="AH85" s="462" cm="1">
        <f t="array" ref="AH85">SUM(SUMIFS('caseload data'!V:V,'caseload data'!B:B,{"licence","community"},'caseload data'!$C:$C,T85))</f>
        <v>0</v>
      </c>
      <c r="AI85" s="479"/>
      <c r="AJ85" s="480"/>
    </row>
    <row r="86" spans="2:36" x14ac:dyDescent="0.15">
      <c r="B86" s="99" t="s">
        <v>1170</v>
      </c>
      <c r="C86" s="40" t="s">
        <v>1022</v>
      </c>
      <c r="D86" s="40" t="s">
        <v>1023</v>
      </c>
      <c r="E86" s="40" t="s">
        <v>1024</v>
      </c>
      <c r="F86" s="40" t="s">
        <v>1025</v>
      </c>
      <c r="G86" s="40" t="s">
        <v>1026</v>
      </c>
      <c r="H86" s="40" t="s">
        <v>1027</v>
      </c>
      <c r="I86" s="40" t="s">
        <v>1028</v>
      </c>
      <c r="J86" s="40" t="s">
        <v>1029</v>
      </c>
      <c r="K86" s="40" t="s">
        <v>1030</v>
      </c>
      <c r="L86" s="40" t="s">
        <v>1031</v>
      </c>
      <c r="M86" s="40" t="s">
        <v>1032</v>
      </c>
      <c r="N86" s="40" t="s">
        <v>1033</v>
      </c>
      <c r="O86" s="40" t="s">
        <v>1034</v>
      </c>
      <c r="P86" s="40" t="s">
        <v>1035</v>
      </c>
      <c r="Q86" s="40" t="s">
        <v>1036</v>
      </c>
      <c r="R86" s="40" t="s">
        <v>1037</v>
      </c>
      <c r="T86" s="99" t="s">
        <v>1170</v>
      </c>
      <c r="U86" s="40" t="s">
        <v>1022</v>
      </c>
      <c r="V86" s="40" t="s">
        <v>1023</v>
      </c>
      <c r="W86" s="40" t="s">
        <v>1024</v>
      </c>
      <c r="X86" s="40" t="s">
        <v>1025</v>
      </c>
      <c r="Y86" s="40" t="s">
        <v>1026</v>
      </c>
      <c r="Z86" s="40" t="s">
        <v>1027</v>
      </c>
      <c r="AA86" s="40" t="s">
        <v>1028</v>
      </c>
      <c r="AB86" s="40" t="s">
        <v>1029</v>
      </c>
      <c r="AC86" s="40" t="s">
        <v>1030</v>
      </c>
      <c r="AD86" s="40" t="s">
        <v>1031</v>
      </c>
      <c r="AE86" s="40" t="s">
        <v>1032</v>
      </c>
      <c r="AF86" s="40" t="s">
        <v>1033</v>
      </c>
      <c r="AG86" s="40" t="s">
        <v>1034</v>
      </c>
      <c r="AH86" s="40" t="s">
        <v>1035</v>
      </c>
      <c r="AI86" s="40" t="s">
        <v>1036</v>
      </c>
      <c r="AJ86" s="40" t="s">
        <v>1037</v>
      </c>
    </row>
    <row r="87" spans="2:36" x14ac:dyDescent="0.15">
      <c r="B87" s="100" t="s">
        <v>1166</v>
      </c>
      <c r="C87" s="175" t="str" cm="1">
        <f t="array" ref="C87">IFERROR(SUM(SUMIFS('caseload data'!E:E,'caseload data'!$C:$C,'community %'!$B$85,'caseload data'!$D:$D,"PO",'caseload data'!$B:$B,{"licence","community"}))/SUM(SUMIFS('caseload data'!E:E,'caseload data'!$B:$B,{"licence","community"},'caseload data'!$C:$C,'community %'!$B$85)),"")</f>
        <v/>
      </c>
      <c r="D87" s="175" t="str" cm="1">
        <f t="array" ref="D87">IFERROR(SUM(SUMIFS('caseload data'!F:F,'caseload data'!$C:$C,'community %'!$B$85,'caseload data'!$D:$D,"PO",'caseload data'!$B:$B,{"licence","community"}))/SUM(SUMIFS('caseload data'!F:F,'caseload data'!$B:$B,{"licence","community"},'caseload data'!$C:$C,'community %'!$B$85)),"")</f>
        <v/>
      </c>
      <c r="E87" s="175" t="str" cm="1">
        <f t="array" ref="E87">IFERROR(SUM(SUMIFS('caseload data'!G:G,'caseload data'!$C:$C,'community %'!$B$85,'caseload data'!$D:$D,"PO",'caseload data'!$B:$B,{"licence","community"}))/SUM(SUMIFS('caseload data'!G:G,'caseload data'!$B:$B,{"licence","community"},'caseload data'!$C:$C,'community %'!$B$85)),"")</f>
        <v/>
      </c>
      <c r="F87" s="175" t="str" cm="1">
        <f t="array" ref="F87">IFERROR(SUM(SUMIFS('caseload data'!H:H,'caseload data'!$C:$C,'community %'!$B$85,'caseload data'!$D:$D,"PO",'caseload data'!$B:$B,{"licence","community"}))/SUM(SUMIFS('caseload data'!H:H,'caseload data'!$B:$B,{"licence","community"},'caseload data'!$C:$C,'community %'!$B$85)),"")</f>
        <v/>
      </c>
      <c r="G87" s="175" t="str" cm="1">
        <f t="array" ref="G87">IFERROR(SUM(SUMIFS('caseload data'!I:I,'caseload data'!$C:$C,'community %'!$B$85,'caseload data'!$D:$D,"PO",'caseload data'!$B:$B,{"licence","community"}))/SUM(SUMIFS('caseload data'!I:I,'caseload data'!$B:$B,{"licence","community"},'caseload data'!$C:$C,'community %'!$B$85)),"")</f>
        <v/>
      </c>
      <c r="H87" s="175" t="str" cm="1">
        <f t="array" ref="H87">IFERROR(SUM(SUMIFS('caseload data'!J:J,'caseload data'!$C:$C,'community %'!$B$85,'caseload data'!$D:$D,"PO",'caseload data'!$B:$B,{"licence","community"}))/SUM(SUMIFS('caseload data'!J:J,'caseload data'!$B:$B,{"licence","community"},'caseload data'!$C:$C,'community %'!$B$85)),"")</f>
        <v/>
      </c>
      <c r="I87" s="175" t="str" cm="1">
        <f t="array" ref="I87">IFERROR(SUM(SUMIFS('caseload data'!K:K,'caseload data'!$C:$C,'community %'!$B$85,'caseload data'!$D:$D,"PO",'caseload data'!$B:$B,{"licence","community"}))/SUM(SUMIFS('caseload data'!K:K,'caseload data'!$B:$B,{"licence","community"},'caseload data'!$C:$C,'community %'!$B$85)),"")</f>
        <v/>
      </c>
      <c r="J87" s="175" t="str" cm="1">
        <f t="array" ref="J87">IFERROR(SUM(SUMIFS('caseload data'!L:L,'caseload data'!$C:$C,'community %'!$B$85,'caseload data'!$D:$D,"PO",'caseload data'!$B:$B,{"licence","community"}))/SUM(SUMIFS('caseload data'!L:L,'caseload data'!$B:$B,{"licence","community"},'caseload data'!$C:$C,'community %'!$B$85)),"")</f>
        <v/>
      </c>
      <c r="K87" s="175" t="str" cm="1">
        <f t="array" ref="K87">IFERROR(SUM(SUMIFS('caseload data'!M:M,'caseload data'!$C:$C,'community %'!$B$85,'caseload data'!$D:$D,"PO",'caseload data'!$B:$B,{"licence","community"}))/SUM(SUMIFS('caseload data'!M:M,'caseload data'!$B:$B,{"licence","community"},'caseload data'!$C:$C,'community %'!$B$85)),"")</f>
        <v/>
      </c>
      <c r="L87" s="175" t="str" cm="1">
        <f t="array" ref="L87">IFERROR(SUM(SUMIFS('caseload data'!N:N,'caseload data'!$C:$C,'community %'!$B$85,'caseload data'!$D:$D,"PO",'caseload data'!$B:$B,{"licence","community"}))/SUM(SUMIFS('caseload data'!N:N,'caseload data'!$B:$B,{"licence","community"},'caseload data'!$C:$C,'community %'!$B$85)),"")</f>
        <v/>
      </c>
      <c r="M87" s="175" t="str" cm="1">
        <f t="array" ref="M87">IFERROR(SUM(SUMIFS('caseload data'!O:O,'caseload data'!$C:$C,'community %'!$B$85,'caseload data'!$D:$D,"PO",'caseload data'!$B:$B,{"licence","community"}))/SUM(SUMIFS('caseload data'!O:O,'caseload data'!$B:$B,{"licence","community"},'caseload data'!$C:$C,'community %'!$B$85)),"")</f>
        <v/>
      </c>
      <c r="N87" s="175" t="str" cm="1">
        <f t="array" ref="N87">IFERROR(SUM(SUMIFS('caseload data'!P:P,'caseload data'!$C:$C,'community %'!$B$85,'caseload data'!$D:$D,"PO",'caseload data'!$B:$B,{"licence","community"}))/SUM(SUMIFS('caseload data'!P:P,'caseload data'!$B:$B,{"licence","community"},'caseload data'!$C:$C,'community %'!$B$85)),"")</f>
        <v/>
      </c>
      <c r="O87" s="175" t="str" cm="1">
        <f t="array" ref="O87">IFERROR(SUM(SUMIFS('caseload data'!Q:Q,'caseload data'!$C:$C,'community %'!$B$85,'caseload data'!$D:$D,"PO",'caseload data'!$B:$B,{"licence","community"}))/SUM(SUMIFS('caseload data'!Q:Q,'caseload data'!$B:$B,{"licence","community"},'caseload data'!$C:$C,'community %'!$B$85)),"")</f>
        <v/>
      </c>
      <c r="P87" s="175" t="str" cm="1">
        <f t="array" ref="P87">IFERROR(SUM(SUMIFS('caseload data'!R:R,'caseload data'!$C:$C,'community %'!$B$85,'caseload data'!$D:$D,"PO",'caseload data'!$B:$B,{"licence","community"}))/SUM(SUMIFS('caseload data'!R:R,'caseload data'!$B:$B,{"licence","community"},'caseload data'!$C:$C,'community %'!$B$85)),"")</f>
        <v/>
      </c>
      <c r="Q87" s="175" t="str" cm="1">
        <f t="array" ref="Q87">IFERROR(SUM(SUMIFS('caseload data'!S:S,'caseload data'!$C:$C,'community %'!$B$85,'caseload data'!$D:$D,"PO",'caseload data'!$B:$B,{"licence","community"}))/SUM(SUMIFS('caseload data'!S:S,'caseload data'!$B:$B,{"licence","community"},'caseload data'!$C:$C,'community %'!$B$85)),"")</f>
        <v/>
      </c>
      <c r="R87" s="175" t="str" cm="1">
        <f t="array" ref="R87">IFERROR(SUM(SUMIFS('caseload data'!T:T,'caseload data'!$C:$C,'community %'!$B$85,'caseload data'!$D:$D,"PO",'caseload data'!$B:$B,{"licence","community"}))/SUM(SUMIFS('caseload data'!T:T,'caseload data'!$B:$B,{"licence","community"},'caseload data'!$C:$C,'community %'!$B$85)),"")</f>
        <v/>
      </c>
      <c r="T87" s="100" t="s">
        <v>1166</v>
      </c>
      <c r="U87" s="175" t="str" cm="1">
        <f t="array" ref="U87">IFERROR(SUM(SUMIFS('caseload data'!E:E,'caseload data'!$C:$C,'community %'!$T$85,'caseload data'!$D:$D,"PO",'caseload data'!$B:$B,{"licence","community"}))/SUM(SUMIFS('caseload data'!E:E,'caseload data'!$B:$B,{"licence","community"},'caseload data'!$C:$C,'community %'!$T$85)),"")</f>
        <v/>
      </c>
      <c r="V87" s="175" t="str" cm="1">
        <f t="array" ref="V87">IFERROR(SUM(SUMIFS('caseload data'!F:F,'caseload data'!$C:$C,'community %'!$T$85,'caseload data'!$D:$D,"PO",'caseload data'!$B:$B,{"licence","community"}))/SUM(SUMIFS('caseload data'!F:F,'caseload data'!$B:$B,{"licence","community"},'caseload data'!$C:$C,'community %'!$T$85)),"")</f>
        <v/>
      </c>
      <c r="W87" s="175" t="str" cm="1">
        <f t="array" ref="W87">IFERROR(SUM(SUMIFS('caseload data'!G:G,'caseload data'!$C:$C,'community %'!$T$85,'caseload data'!$D:$D,"PO",'caseload data'!$B:$B,{"licence","community"}))/SUM(SUMIFS('caseload data'!G:G,'caseload data'!$B:$B,{"licence","community"},'caseload data'!$C:$C,'community %'!$T$85)),"")</f>
        <v/>
      </c>
      <c r="X87" s="175" t="str" cm="1">
        <f t="array" ref="X87">IFERROR(SUM(SUMIFS('caseload data'!H:H,'caseload data'!$C:$C,'community %'!$T$85,'caseload data'!$D:$D,"PO",'caseload data'!$B:$B,{"licence","community"}))/SUM(SUMIFS('caseload data'!H:H,'caseload data'!$B:$B,{"licence","community"},'caseload data'!$C:$C,'community %'!$T$85)),"")</f>
        <v/>
      </c>
      <c r="Y87" s="175" t="str" cm="1">
        <f t="array" ref="Y87">IFERROR(SUM(SUMIFS('caseload data'!I:I,'caseload data'!$C:$C,'community %'!$T$85,'caseload data'!$D:$D,"PO",'caseload data'!$B:$B,{"licence","community"}))/SUM(SUMIFS('caseload data'!I:I,'caseload data'!$B:$B,{"licence","community"},'caseload data'!$C:$C,'community %'!$T$85)),"")</f>
        <v/>
      </c>
      <c r="Z87" s="175" t="str" cm="1">
        <f t="array" ref="Z87">IFERROR(SUM(SUMIFS('caseload data'!J:J,'caseload data'!$C:$C,'community %'!$T$85,'caseload data'!$D:$D,"PO",'caseload data'!$B:$B,{"licence","community"}))/SUM(SUMIFS('caseload data'!J:J,'caseload data'!$B:$B,{"licence","community"},'caseload data'!$C:$C,'community %'!$T$85)),"")</f>
        <v/>
      </c>
      <c r="AA87" s="175" t="str" cm="1">
        <f t="array" ref="AA87">IFERROR(SUM(SUMIFS('caseload data'!K:K,'caseload data'!$C:$C,'community %'!$T$85,'caseload data'!$D:$D,"PO",'caseload data'!$B:$B,{"licence","community"}))/SUM(SUMIFS('caseload data'!K:K,'caseload data'!$B:$B,{"licence","community"},'caseload data'!$C:$C,'community %'!$T$85)),"")</f>
        <v/>
      </c>
      <c r="AB87" s="175" t="str" cm="1">
        <f t="array" ref="AB87">IFERROR(SUM(SUMIFS('caseload data'!L:L,'caseload data'!$C:$C,'community %'!$T$85,'caseload data'!$D:$D,"PO",'caseload data'!$B:$B,{"licence","community"}))/SUM(SUMIFS('caseload data'!L:L,'caseload data'!$B:$B,{"licence","community"},'caseload data'!$C:$C,'community %'!$T$85)),"")</f>
        <v/>
      </c>
      <c r="AC87" s="175" t="str" cm="1">
        <f t="array" ref="AC87">IFERROR(SUM(SUMIFS('caseload data'!M:M,'caseload data'!$C:$C,'community %'!$T$85,'caseload data'!$D:$D,"PO",'caseload data'!$B:$B,{"licence","community"}))/SUM(SUMIFS('caseload data'!M:M,'caseload data'!$B:$B,{"licence","community"},'caseload data'!$C:$C,'community %'!$T$85)),"")</f>
        <v/>
      </c>
      <c r="AD87" s="175" t="str" cm="1">
        <f t="array" ref="AD87">IFERROR(SUM(SUMIFS('caseload data'!N:N,'caseload data'!$C:$C,'community %'!$T$85,'caseload data'!$D:$D,"PO",'caseload data'!$B:$B,{"licence","community"}))/SUM(SUMIFS('caseload data'!N:N,'caseload data'!$B:$B,{"licence","community"},'caseload data'!$C:$C,'community %'!$T$85)),"")</f>
        <v/>
      </c>
      <c r="AE87" s="175" t="str" cm="1">
        <f t="array" ref="AE87">IFERROR(SUM(SUMIFS('caseload data'!O:O,'caseload data'!$C:$C,'community %'!$T$85,'caseload data'!$D:$D,"PO",'caseload data'!$B:$B,{"licence","community"}))/SUM(SUMIFS('caseload data'!O:O,'caseload data'!$B:$B,{"licence","community"},'caseload data'!$C:$C,'community %'!$T$85)),"")</f>
        <v/>
      </c>
      <c r="AF87" s="175" t="str" cm="1">
        <f t="array" ref="AF87">IFERROR(SUM(SUMIFS('caseload data'!P:P,'caseload data'!$C:$C,'community %'!$T$85,'caseload data'!$D:$D,"PO",'caseload data'!$B:$B,{"licence","community"}))/SUM(SUMIFS('caseload data'!P:P,'caseload data'!$B:$B,{"licence","community"},'caseload data'!$C:$C,'community %'!$T$85)),"")</f>
        <v/>
      </c>
      <c r="AG87" s="175" t="str" cm="1">
        <f t="array" ref="AG87">IFERROR(SUM(SUMIFS('caseload data'!Q:Q,'caseload data'!$C:$C,'community %'!$T$85,'caseload data'!$D:$D,"PO",'caseload data'!$B:$B,{"licence","community"}))/SUM(SUMIFS('caseload data'!Q:Q,'caseload data'!$B:$B,{"licence","community"},'caseload data'!$C:$C,'community %'!$T$85)),"")</f>
        <v/>
      </c>
      <c r="AH87" s="175" t="str" cm="1">
        <f t="array" ref="AH87">IFERROR(SUM(SUMIFS('caseload data'!R:R,'caseload data'!$C:$C,'community %'!$T$85,'caseload data'!$D:$D,"PO",'caseload data'!$B:$B,{"licence","community"}))/SUM(SUMIFS('caseload data'!R:R,'caseload data'!$B:$B,{"licence","community"},'caseload data'!$C:$C,'community %'!$T$85)),"")</f>
        <v/>
      </c>
      <c r="AI87" s="175" t="str" cm="1">
        <f t="array" ref="AI87">IFERROR(SUM(SUMIFS('caseload data'!S:S,'caseload data'!$C:$C,'community %'!$T$85,'caseload data'!$D:$D,"PO",'caseload data'!$B:$B,{"licence","community"}))/SUM(SUMIFS('caseload data'!S:S,'caseload data'!$B:$B,{"licence","community"},'caseload data'!$C:$C,'community %'!$T$85)),"")</f>
        <v/>
      </c>
      <c r="AJ87" s="175" t="str" cm="1">
        <f t="array" ref="AJ87">IFERROR(SUM(SUMIFS('caseload data'!T:T,'caseload data'!$C:$C,'community %'!$T$85,'caseload data'!$D:$D,"PO",'caseload data'!$B:$B,{"licence","community"}))/SUM(SUMIFS('caseload data'!T:T,'caseload data'!$B:$B,{"licence","community"},'caseload data'!$C:$C,'community %'!$T$85)),"")</f>
        <v/>
      </c>
    </row>
    <row r="88" spans="2:36" x14ac:dyDescent="0.15">
      <c r="B88" s="101" t="s">
        <v>1172</v>
      </c>
      <c r="C88" s="175" t="str" cm="1">
        <f t="array" ref="C88">IFERROR(SUM(SUMIFS('caseload data'!E:E,'caseload data'!$C:$C,'community %'!$B$85,'caseload data'!$D:$D,"PSO",'caseload data'!$B:$B,{"licence","community"}))/SUM(SUMIFS('caseload data'!E:E,'caseload data'!$B:$B,{"licence","community"},'caseload data'!$C:$C,'community %'!$B$85)),"")</f>
        <v/>
      </c>
      <c r="D88" s="175" t="str" cm="1">
        <f t="array" ref="D88">IFERROR(SUM(SUMIFS('caseload data'!F:F,'caseload data'!$C:$C,'community %'!$B$85,'caseload data'!$D:$D,"PSO",'caseload data'!$B:$B,{"licence","community"}))/SUM(SUMIFS('caseload data'!F:F,'caseload data'!$B:$B,{"licence","community"},'caseload data'!$C:$C,'community %'!$B$85)),"")</f>
        <v/>
      </c>
      <c r="E88" s="175" t="str" cm="1">
        <f t="array" ref="E88">IFERROR(SUM(SUMIFS('caseload data'!G:G,'caseload data'!$C:$C,'community %'!$B$85,'caseload data'!$D:$D,"PSO",'caseload data'!$B:$B,{"licence","community"}))/SUM(SUMIFS('caseload data'!G:G,'caseload data'!$B:$B,{"licence","community"},'caseload data'!$C:$C,'community %'!$B$85)),"")</f>
        <v/>
      </c>
      <c r="F88" s="175" t="str" cm="1">
        <f t="array" ref="F88">IFERROR(SUM(SUMIFS('caseload data'!H:H,'caseload data'!$C:$C,'community %'!$B$85,'caseload data'!$D:$D,"PSO",'caseload data'!$B:$B,{"licence","community"}))/SUM(SUMIFS('caseload data'!H:H,'caseload data'!$B:$B,{"licence","community"},'caseload data'!$C:$C,'community %'!$B$85)),"")</f>
        <v/>
      </c>
      <c r="G88" s="175" t="str" cm="1">
        <f t="array" ref="G88">IFERROR(SUM(SUMIFS('caseload data'!I:I,'caseload data'!$C:$C,'community %'!$B$85,'caseload data'!$D:$D,"PSO",'caseload data'!$B:$B,{"licence","community"}))/SUM(SUMIFS('caseload data'!I:I,'caseload data'!$B:$B,{"licence","community"},'caseload data'!$C:$C,'community %'!$B$85)),"")</f>
        <v/>
      </c>
      <c r="H88" s="175" t="str" cm="1">
        <f t="array" ref="H88">IFERROR(SUM(SUMIFS('caseload data'!J:J,'caseload data'!$C:$C,'community %'!$B$85,'caseload data'!$D:$D,"PSO",'caseload data'!$B:$B,{"licence","community"}))/SUM(SUMIFS('caseload data'!J:J,'caseload data'!$B:$B,{"licence","community"},'caseload data'!$C:$C,'community %'!$B$85)),"")</f>
        <v/>
      </c>
      <c r="I88" s="175" t="str" cm="1">
        <f t="array" ref="I88">IFERROR(SUM(SUMIFS('caseload data'!K:K,'caseload data'!$C:$C,'community %'!$B$85,'caseload data'!$D:$D,"PSO",'caseload data'!$B:$B,{"licence","community"}))/SUM(SUMIFS('caseload data'!K:K,'caseload data'!$B:$B,{"licence","community"},'caseload data'!$C:$C,'community %'!$B$85)),"")</f>
        <v/>
      </c>
      <c r="J88" s="175" t="str" cm="1">
        <f t="array" ref="J88">IFERROR(SUM(SUMIFS('caseload data'!L:L,'caseload data'!$C:$C,'community %'!$B$85,'caseload data'!$D:$D,"PSO",'caseload data'!$B:$B,{"licence","community"}))/SUM(SUMIFS('caseload data'!L:L,'caseload data'!$B:$B,{"licence","community"},'caseload data'!$C:$C,'community %'!$B$85)),"")</f>
        <v/>
      </c>
      <c r="K88" s="175" t="str" cm="1">
        <f t="array" ref="K88">IFERROR(SUM(SUMIFS('caseload data'!M:M,'caseload data'!$C:$C,'community %'!$B$85,'caseload data'!$D:$D,"PSO",'caseload data'!$B:$B,{"licence","community"}))/SUM(SUMIFS('caseload data'!M:M,'caseload data'!$B:$B,{"licence","community"},'caseload data'!$C:$C,'community %'!$B$85)),"")</f>
        <v/>
      </c>
      <c r="L88" s="175" t="str" cm="1">
        <f t="array" ref="L88">IFERROR(SUM(SUMIFS('caseload data'!N:N,'caseload data'!$C:$C,'community %'!$B$85,'caseload data'!$D:$D,"PSO",'caseload data'!$B:$B,{"licence","community"}))/SUM(SUMIFS('caseload data'!N:N,'caseload data'!$B:$B,{"licence","community"},'caseload data'!$C:$C,'community %'!$B$85)),"")</f>
        <v/>
      </c>
      <c r="M88" s="175" t="str" cm="1">
        <f t="array" ref="M88">IFERROR(SUM(SUMIFS('caseload data'!O:O,'caseload data'!$C:$C,'community %'!$B$85,'caseload data'!$D:$D,"PSO",'caseload data'!$B:$B,{"licence","community"}))/SUM(SUMIFS('caseload data'!O:O,'caseload data'!$B:$B,{"licence","community"},'caseload data'!$C:$C,'community %'!$B$85)),"")</f>
        <v/>
      </c>
      <c r="N88" s="175" t="str" cm="1">
        <f t="array" ref="N88">IFERROR(SUM(SUMIFS('caseload data'!P:P,'caseload data'!$C:$C,'community %'!$B$85,'caseload data'!$D:$D,"PSO",'caseload data'!$B:$B,{"licence","community"}))/SUM(SUMIFS('caseload data'!P:P,'caseload data'!$B:$B,{"licence","community"},'caseload data'!$C:$C,'community %'!$B$85)),"")</f>
        <v/>
      </c>
      <c r="O88" s="175" t="str" cm="1">
        <f t="array" ref="O88">IFERROR(SUM(SUMIFS('caseload data'!Q:Q,'caseload data'!$C:$C,'community %'!$B$85,'caseload data'!$D:$D,"PSO",'caseload data'!$B:$B,{"licence","community"}))/SUM(SUMIFS('caseload data'!Q:Q,'caseload data'!$B:$B,{"licence","community"},'caseload data'!$C:$C,'community %'!$B$85)),"")</f>
        <v/>
      </c>
      <c r="P88" s="175" t="str" cm="1">
        <f t="array" ref="P88">IFERROR(SUM(SUMIFS('caseload data'!R:R,'caseload data'!$C:$C,'community %'!$B$85,'caseload data'!$D:$D,"PSO",'caseload data'!$B:$B,{"licence","community"}))/SUM(SUMIFS('caseload data'!R:R,'caseload data'!$B:$B,{"licence","community"},'caseload data'!$C:$C,'community %'!$B$85)),"")</f>
        <v/>
      </c>
      <c r="Q88" s="175" t="str" cm="1">
        <f t="array" ref="Q88">IFERROR(SUM(SUMIFS('caseload data'!S:S,'caseload data'!$C:$C,'community %'!$B$85,'caseload data'!$D:$D,"PSO",'caseload data'!$B:$B,{"licence","community"}))/SUM(SUMIFS('caseload data'!S:S,'caseload data'!$B:$B,{"licence","community"},'caseload data'!$C:$C,'community %'!$B$85)),"")</f>
        <v/>
      </c>
      <c r="R88" s="175" t="str" cm="1">
        <f t="array" ref="R88">IFERROR(SUM(SUMIFS('caseload data'!T:T,'caseload data'!$C:$C,'community %'!$B$85,'caseload data'!$D:$D,"PSO",'caseload data'!$B:$B,{"licence","community"}))/SUM(SUMIFS('caseload data'!T:T,'caseload data'!$B:$B,{"licence","community"},'caseload data'!$C:$C,'community %'!$B$85)),"")</f>
        <v/>
      </c>
      <c r="T88" s="101" t="s">
        <v>1172</v>
      </c>
      <c r="U88" s="175" t="str" cm="1">
        <f t="array" ref="U88">IFERROR(SUM(SUMIFS('caseload data'!E:E,'caseload data'!$C:$C,'community %'!$T$85,'caseload data'!$D:$D,"PSO",'caseload data'!$B:$B,{"licence","community"}))/SUM(SUMIFS('caseload data'!E:E,'caseload data'!$B:$B,{"licence","community"},'caseload data'!$C:$C,'community %'!$T$85)),"")</f>
        <v/>
      </c>
      <c r="V88" s="175" t="str" cm="1">
        <f t="array" ref="V88">IFERROR(SUM(SUMIFS('caseload data'!F:F,'caseload data'!$C:$C,'community %'!$T$85,'caseload data'!$D:$D,"PSO",'caseload data'!$B:$B,{"licence","community"}))/SUM(SUMIFS('caseload data'!F:F,'caseload data'!$B:$B,{"licence","community"},'caseload data'!$C:$C,'community %'!$T$85)),"")</f>
        <v/>
      </c>
      <c r="W88" s="175" t="str" cm="1">
        <f t="array" ref="W88">IFERROR(SUM(SUMIFS('caseload data'!G:G,'caseload data'!$C:$C,'community %'!$T$85,'caseload data'!$D:$D,"PSO",'caseload data'!$B:$B,{"licence","community"}))/SUM(SUMIFS('caseload data'!G:G,'caseload data'!$B:$B,{"licence","community"},'caseload data'!$C:$C,'community %'!$T$85)),"")</f>
        <v/>
      </c>
      <c r="X88" s="175" t="str" cm="1">
        <f t="array" ref="X88">IFERROR(SUM(SUMIFS('caseload data'!H:H,'caseload data'!$C:$C,'community %'!$T$85,'caseload data'!$D:$D,"PSO",'caseload data'!$B:$B,{"licence","community"}))/SUM(SUMIFS('caseload data'!H:H,'caseload data'!$B:$B,{"licence","community"},'caseload data'!$C:$C,'community %'!$T$85)),"")</f>
        <v/>
      </c>
      <c r="Y88" s="175" t="str" cm="1">
        <f t="array" ref="Y88">IFERROR(SUM(SUMIFS('caseload data'!I:I,'caseload data'!$C:$C,'community %'!$T$85,'caseload data'!$D:$D,"PSO",'caseload data'!$B:$B,{"licence","community"}))/SUM(SUMIFS('caseload data'!I:I,'caseload data'!$B:$B,{"licence","community"},'caseload data'!$C:$C,'community %'!$T$85)),"")</f>
        <v/>
      </c>
      <c r="Z88" s="175" t="str" cm="1">
        <f t="array" ref="Z88">IFERROR(SUM(SUMIFS('caseload data'!J:J,'caseload data'!$C:$C,'community %'!$T$85,'caseload data'!$D:$D,"PSO",'caseload data'!$B:$B,{"licence","community"}))/SUM(SUMIFS('caseload data'!J:J,'caseload data'!$B:$B,{"licence","community"},'caseload data'!$C:$C,'community %'!$T$85)),"")</f>
        <v/>
      </c>
      <c r="AA88" s="175" t="str" cm="1">
        <f t="array" ref="AA88">IFERROR(SUM(SUMIFS('caseload data'!K:K,'caseload data'!$C:$C,'community %'!$T$85,'caseload data'!$D:$D,"PSO",'caseload data'!$B:$B,{"licence","community"}))/SUM(SUMIFS('caseload data'!K:K,'caseload data'!$B:$B,{"licence","community"},'caseload data'!$C:$C,'community %'!$T$85)),"")</f>
        <v/>
      </c>
      <c r="AB88" s="175" t="str" cm="1">
        <f t="array" ref="AB88">IFERROR(SUM(SUMIFS('caseload data'!L:L,'caseload data'!$C:$C,'community %'!$T$85,'caseload data'!$D:$D,"PSO",'caseload data'!$B:$B,{"licence","community"}))/SUM(SUMIFS('caseload data'!L:L,'caseload data'!$B:$B,{"licence","community"},'caseload data'!$C:$C,'community %'!$T$85)),"")</f>
        <v/>
      </c>
      <c r="AC88" s="175" t="str" cm="1">
        <f t="array" ref="AC88">IFERROR(SUM(SUMIFS('caseload data'!M:M,'caseload data'!$C:$C,'community %'!$T$85,'caseload data'!$D:$D,"PSO",'caseload data'!$B:$B,{"licence","community"}))/SUM(SUMIFS('caseload data'!M:M,'caseload data'!$B:$B,{"licence","community"},'caseload data'!$C:$C,'community %'!$T$85)),"")</f>
        <v/>
      </c>
      <c r="AD88" s="175" t="str" cm="1">
        <f t="array" ref="AD88">IFERROR(SUM(SUMIFS('caseload data'!N:N,'caseload data'!$C:$C,'community %'!$T$85,'caseload data'!$D:$D,"PSO",'caseload data'!$B:$B,{"licence","community"}))/SUM(SUMIFS('caseload data'!N:N,'caseload data'!$B:$B,{"licence","community"},'caseload data'!$C:$C,'community %'!$T$85)),"")</f>
        <v/>
      </c>
      <c r="AE88" s="175" t="str" cm="1">
        <f t="array" ref="AE88">IFERROR(SUM(SUMIFS('caseload data'!O:O,'caseload data'!$C:$C,'community %'!$T$85,'caseload data'!$D:$D,"PSO",'caseload data'!$B:$B,{"licence","community"}))/SUM(SUMIFS('caseload data'!O:O,'caseload data'!$B:$B,{"licence","community"},'caseload data'!$C:$C,'community %'!$T$85)),"")</f>
        <v/>
      </c>
      <c r="AF88" s="175" t="str" cm="1">
        <f t="array" ref="AF88">IFERROR(SUM(SUMIFS('caseload data'!P:P,'caseload data'!$C:$C,'community %'!$T$85,'caseload data'!$D:$D,"PSO",'caseload data'!$B:$B,{"licence","community"}))/SUM(SUMIFS('caseload data'!P:P,'caseload data'!$B:$B,{"licence","community"},'caseload data'!$C:$C,'community %'!$T$85)),"")</f>
        <v/>
      </c>
      <c r="AG88" s="175" t="str" cm="1">
        <f t="array" ref="AG88">IFERROR(SUM(SUMIFS('caseload data'!Q:Q,'caseload data'!$C:$C,'community %'!$T$85,'caseload data'!$D:$D,"PSO",'caseload data'!$B:$B,{"licence","community"}))/SUM(SUMIFS('caseload data'!Q:Q,'caseload data'!$B:$B,{"licence","community"},'caseload data'!$C:$C,'community %'!$T$85)),"")</f>
        <v/>
      </c>
      <c r="AH88" s="175" t="str" cm="1">
        <f t="array" ref="AH88">IFERROR(SUM(SUMIFS('caseload data'!R:R,'caseload data'!$C:$C,'community %'!$T$85,'caseload data'!$D:$D,"PSO",'caseload data'!$B:$B,{"licence","community"}))/SUM(SUMIFS('caseload data'!R:R,'caseload data'!$B:$B,{"licence","community"},'caseload data'!$C:$C,'community %'!$T$85)),"")</f>
        <v/>
      </c>
      <c r="AI88" s="175" t="str" cm="1">
        <f t="array" ref="AI88">IFERROR(SUM(SUMIFS('caseload data'!S:S,'caseload data'!$C:$C,'community %'!$T$85,'caseload data'!$D:$D,"PSO",'caseload data'!$B:$B,{"licence","community"}))/SUM(SUMIFS('caseload data'!S:S,'caseload data'!$B:$B,{"licence","community"},'caseload data'!$C:$C,'community %'!$T$85)),"")</f>
        <v/>
      </c>
      <c r="AJ88" s="175" t="str" cm="1">
        <f t="array" ref="AJ88">IFERROR(SUM(SUMIFS('caseload data'!T:T,'caseload data'!$C:$C,'community %'!$T$85,'caseload data'!$D:$D,"PSO",'caseload data'!$B:$B,{"licence","community"}))/SUM(SUMIFS('caseload data'!T:T,'caseload data'!$B:$B,{"licence","community"},'caseload data'!$C:$C,'community %'!$T$85)),"")</f>
        <v/>
      </c>
    </row>
    <row r="89" spans="2:36" x14ac:dyDescent="0.15">
      <c r="B89" s="101" t="s">
        <v>1173</v>
      </c>
      <c r="C89" s="175" t="str" cm="1">
        <f t="array" ref="C89">IFERROR(SUM(SUMIFS('caseload data'!E:E,'caseload data'!$C:$C,'community %'!$B$85,'caseload data'!$D:$D,"TPO",'caseload data'!$B:$B,{"licence","community"}))/SUM(SUMIFS('caseload data'!E:E,'caseload data'!$B:$B,{"licence","community"},'caseload data'!$C:$C,'community %'!$B$85)),"")</f>
        <v/>
      </c>
      <c r="D89" s="175" t="str" cm="1">
        <f t="array" ref="D89">IFERROR(SUM(SUMIFS('caseload data'!F:F,'caseload data'!$C:$C,'community %'!$B$85,'caseload data'!$D:$D,"TPO",'caseload data'!$B:$B,{"licence","community"}))/SUM(SUMIFS('caseload data'!F:F,'caseload data'!$B:$B,{"licence","community"},'caseload data'!$C:$C,'community %'!$B$85)),"")</f>
        <v/>
      </c>
      <c r="E89" s="175" t="str" cm="1">
        <f t="array" ref="E89">IFERROR(SUM(SUMIFS('caseload data'!G:G,'caseload data'!$C:$C,'community %'!$B$85,'caseload data'!$D:$D,"TPO",'caseload data'!$B:$B,{"licence","community"}))/SUM(SUMIFS('caseload data'!G:G,'caseload data'!$B:$B,{"licence","community"},'caseload data'!$C:$C,'community %'!$B$85)),"")</f>
        <v/>
      </c>
      <c r="F89" s="175" t="str" cm="1">
        <f t="array" ref="F89">IFERROR(SUM(SUMIFS('caseload data'!H:H,'caseload data'!$C:$C,'community %'!$B$85,'caseload data'!$D:$D,"TPO",'caseload data'!$B:$B,{"licence","community"}))/SUM(SUMIFS('caseload data'!H:H,'caseload data'!$B:$B,{"licence","community"},'caseload data'!$C:$C,'community %'!$B$85)),"")</f>
        <v/>
      </c>
      <c r="G89" s="175" t="str" cm="1">
        <f t="array" ref="G89">IFERROR(SUM(SUMIFS('caseload data'!I:I,'caseload data'!$C:$C,'community %'!$B$85,'caseload data'!$D:$D,"TPO",'caseload data'!$B:$B,{"licence","community"}))/SUM(SUMIFS('caseload data'!I:I,'caseload data'!$B:$B,{"licence","community"},'caseload data'!$C:$C,'community %'!$B$85)),"")</f>
        <v/>
      </c>
      <c r="H89" s="175" t="str" cm="1">
        <f t="array" ref="H89">IFERROR(SUM(SUMIFS('caseload data'!J:J,'caseload data'!$C:$C,'community %'!$B$85,'caseload data'!$D:$D,"TPO",'caseload data'!$B:$B,{"licence","community"}))/SUM(SUMIFS('caseload data'!J:J,'caseload data'!$B:$B,{"licence","community"},'caseload data'!$C:$C,'community %'!$B$85)),"")</f>
        <v/>
      </c>
      <c r="I89" s="175" t="str" cm="1">
        <f t="array" ref="I89">IFERROR(SUM(SUMIFS('caseload data'!K:K,'caseload data'!$C:$C,'community %'!$B$85,'caseload data'!$D:$D,"TPO",'caseload data'!$B:$B,{"licence","community"}))/SUM(SUMIFS('caseload data'!K:K,'caseload data'!$B:$B,{"licence","community"},'caseload data'!$C:$C,'community %'!$B$85)),"")</f>
        <v/>
      </c>
      <c r="J89" s="175" t="str" cm="1">
        <f t="array" ref="J89">IFERROR(SUM(SUMIFS('caseload data'!L:L,'caseload data'!$C:$C,'community %'!$B$85,'caseload data'!$D:$D,"TPO",'caseload data'!$B:$B,{"licence","community"}))/SUM(SUMIFS('caseload data'!L:L,'caseload data'!$B:$B,{"licence","community"},'caseload data'!$C:$C,'community %'!$B$85)),"")</f>
        <v/>
      </c>
      <c r="K89" s="175" t="str" cm="1">
        <f t="array" ref="K89">IFERROR(SUM(SUMIFS('caseload data'!M:M,'caseload data'!$C:$C,'community %'!$B$85,'caseload data'!$D:$D,"TPO",'caseload data'!$B:$B,{"licence","community"}))/SUM(SUMIFS('caseload data'!M:M,'caseload data'!$B:$B,{"licence","community"},'caseload data'!$C:$C,'community %'!$B$85)),"")</f>
        <v/>
      </c>
      <c r="L89" s="175" t="str" cm="1">
        <f t="array" ref="L89">IFERROR(SUM(SUMIFS('caseload data'!N:N,'caseload data'!$C:$C,'community %'!$B$85,'caseload data'!$D:$D,"TPO",'caseload data'!$B:$B,{"licence","community"}))/SUM(SUMIFS('caseload data'!N:N,'caseload data'!$B:$B,{"licence","community"},'caseload data'!$C:$C,'community %'!$B$85)),"")</f>
        <v/>
      </c>
      <c r="M89" s="175" t="str" cm="1">
        <f t="array" ref="M89">IFERROR(SUM(SUMIFS('caseload data'!O:O,'caseload data'!$C:$C,'community %'!$B$85,'caseload data'!$D:$D,"TPO",'caseload data'!$B:$B,{"licence","community"}))/SUM(SUMIFS('caseload data'!O:O,'caseload data'!$B:$B,{"licence","community"},'caseload data'!$C:$C,'community %'!$B$85)),"")</f>
        <v/>
      </c>
      <c r="N89" s="175" t="str" cm="1">
        <f t="array" ref="N89">IFERROR(SUM(SUMIFS('caseload data'!P:P,'caseload data'!$C:$C,'community %'!$B$85,'caseload data'!$D:$D,"TPO",'caseload data'!$B:$B,{"licence","community"}))/SUM(SUMIFS('caseload data'!P:P,'caseload data'!$B:$B,{"licence","community"},'caseload data'!$C:$C,'community %'!$B$85)),"")</f>
        <v/>
      </c>
      <c r="O89" s="175" t="str" cm="1">
        <f t="array" ref="O89">IFERROR(SUM(SUMIFS('caseload data'!Q:Q,'caseload data'!$C:$C,'community %'!$B$85,'caseload data'!$D:$D,"TPO",'caseload data'!$B:$B,{"licence","community"}))/SUM(SUMIFS('caseload data'!Q:Q,'caseload data'!$B:$B,{"licence","community"},'caseload data'!$C:$C,'community %'!$B$85)),"")</f>
        <v/>
      </c>
      <c r="P89" s="175" t="str" cm="1">
        <f t="array" ref="P89">IFERROR(SUM(SUMIFS('caseload data'!R:R,'caseload data'!$C:$C,'community %'!$B$85,'caseload data'!$D:$D,"TPO",'caseload data'!$B:$B,{"licence","community"}))/SUM(SUMIFS('caseload data'!R:R,'caseload data'!$B:$B,{"licence","community"},'caseload data'!$C:$C,'community %'!$B$85)),"")</f>
        <v/>
      </c>
      <c r="Q89" s="175" t="str" cm="1">
        <f t="array" ref="Q89">IFERROR(SUM(SUMIFS('caseload data'!S:S,'caseload data'!$C:$C,'community %'!$B$85,'caseload data'!$D:$D,"TPO",'caseload data'!$B:$B,{"licence","community"}))/SUM(SUMIFS('caseload data'!S:S,'caseload data'!$B:$B,{"licence","community"},'caseload data'!$C:$C,'community %'!$B$85)),"")</f>
        <v/>
      </c>
      <c r="R89" s="175" t="str" cm="1">
        <f t="array" ref="R89">IFERROR(SUM(SUMIFS('caseload data'!T:T,'caseload data'!$C:$C,'community %'!$B$85,'caseload data'!$D:$D,"TPO",'caseload data'!$B:$B,{"licence","community"}))/SUM(SUMIFS('caseload data'!T:T,'caseload data'!$B:$B,{"licence","community"},'caseload data'!$C:$C,'community %'!$B$85)),"")</f>
        <v/>
      </c>
      <c r="T89" s="101" t="s">
        <v>1173</v>
      </c>
      <c r="U89" s="175" t="str" cm="1">
        <f t="array" ref="U89">IFERROR(SUM(SUMIFS('caseload data'!E:E,'caseload data'!$C:$C,'community %'!$T$85,'caseload data'!$D:$D,"TPO",'caseload data'!$B:$B,{"licence","community"}))/SUM(SUMIFS('caseload data'!E:E,'caseload data'!$B:$B,{"licence","community"},'caseload data'!$C:$C,'community %'!$T$85)),"")</f>
        <v/>
      </c>
      <c r="V89" s="175" t="str" cm="1">
        <f t="array" ref="V89">IFERROR(SUM(SUMIFS('caseload data'!F:F,'caseload data'!$C:$C,'community %'!$T$85,'caseload data'!$D:$D,"TPO",'caseload data'!$B:$B,{"licence","community"}))/SUM(SUMIFS('caseload data'!F:F,'caseload data'!$B:$B,{"licence","community"},'caseload data'!$C:$C,'community %'!$T$85)),"")</f>
        <v/>
      </c>
      <c r="W89" s="175" t="str" cm="1">
        <f t="array" ref="W89">IFERROR(SUM(SUMIFS('caseload data'!G:G,'caseload data'!$C:$C,'community %'!$T$85,'caseload data'!$D:$D,"TPO",'caseload data'!$B:$B,{"licence","community"}))/SUM(SUMIFS('caseload data'!G:G,'caseload data'!$B:$B,{"licence","community"},'caseload data'!$C:$C,'community %'!$T$85)),"")</f>
        <v/>
      </c>
      <c r="X89" s="175" t="str" cm="1">
        <f t="array" ref="X89">IFERROR(SUM(SUMIFS('caseload data'!H:H,'caseload data'!$C:$C,'community %'!$T$85,'caseload data'!$D:$D,"TPO",'caseload data'!$B:$B,{"licence","community"}))/SUM(SUMIFS('caseload data'!H:H,'caseload data'!$B:$B,{"licence","community"},'caseload data'!$C:$C,'community %'!$T$85)),"")</f>
        <v/>
      </c>
      <c r="Y89" s="175" t="str" cm="1">
        <f t="array" ref="Y89">IFERROR(SUM(SUMIFS('caseload data'!I:I,'caseload data'!$C:$C,'community %'!$T$85,'caseload data'!$D:$D,"TPO",'caseload data'!$B:$B,{"licence","community"}))/SUM(SUMIFS('caseload data'!I:I,'caseload data'!$B:$B,{"licence","community"},'caseload data'!$C:$C,'community %'!$T$85)),"")</f>
        <v/>
      </c>
      <c r="Z89" s="175" t="str" cm="1">
        <f t="array" ref="Z89">IFERROR(SUM(SUMIFS('caseload data'!J:J,'caseload data'!$C:$C,'community %'!$T$85,'caseload data'!$D:$D,"TPO",'caseload data'!$B:$B,{"licence","community"}))/SUM(SUMIFS('caseload data'!J:J,'caseload data'!$B:$B,{"licence","community"},'caseload data'!$C:$C,'community %'!$T$85)),"")</f>
        <v/>
      </c>
      <c r="AA89" s="175" t="str" cm="1">
        <f t="array" ref="AA89">IFERROR(SUM(SUMIFS('caseload data'!K:K,'caseload data'!$C:$C,'community %'!$T$85,'caseload data'!$D:$D,"TPO",'caseload data'!$B:$B,{"licence","community"}))/SUM(SUMIFS('caseload data'!K:K,'caseload data'!$B:$B,{"licence","community"},'caseload data'!$C:$C,'community %'!$T$85)),"")</f>
        <v/>
      </c>
      <c r="AB89" s="175" t="str" cm="1">
        <f t="array" ref="AB89">IFERROR(SUM(SUMIFS('caseload data'!L:L,'caseload data'!$C:$C,'community %'!$T$85,'caseload data'!$D:$D,"TPO",'caseload data'!$B:$B,{"licence","community"}))/SUM(SUMIFS('caseload data'!L:L,'caseload data'!$B:$B,{"licence","community"},'caseload data'!$C:$C,'community %'!$T$85)),"")</f>
        <v/>
      </c>
      <c r="AC89" s="175" t="str" cm="1">
        <f t="array" ref="AC89">IFERROR(SUM(SUMIFS('caseload data'!M:M,'caseload data'!$C:$C,'community %'!$T$85,'caseload data'!$D:$D,"TPO",'caseload data'!$B:$B,{"licence","community"}))/SUM(SUMIFS('caseload data'!M:M,'caseload data'!$B:$B,{"licence","community"},'caseload data'!$C:$C,'community %'!$T$85)),"")</f>
        <v/>
      </c>
      <c r="AD89" s="175" t="str" cm="1">
        <f t="array" ref="AD89">IFERROR(SUM(SUMIFS('caseload data'!N:N,'caseload data'!$C:$C,'community %'!$T$85,'caseload data'!$D:$D,"TPO",'caseload data'!$B:$B,{"licence","community"}))/SUM(SUMIFS('caseload data'!N:N,'caseload data'!$B:$B,{"licence","community"},'caseload data'!$C:$C,'community %'!$T$85)),"")</f>
        <v/>
      </c>
      <c r="AE89" s="175" t="str" cm="1">
        <f t="array" ref="AE89">IFERROR(SUM(SUMIFS('caseload data'!O:O,'caseload data'!$C:$C,'community %'!$T$85,'caseload data'!$D:$D,"TPO",'caseload data'!$B:$B,{"licence","community"}))/SUM(SUMIFS('caseload data'!O:O,'caseload data'!$B:$B,{"licence","community"},'caseload data'!$C:$C,'community %'!$T$85)),"")</f>
        <v/>
      </c>
      <c r="AF89" s="175" t="str" cm="1">
        <f t="array" ref="AF89">IFERROR(SUM(SUMIFS('caseload data'!P:P,'caseload data'!$C:$C,'community %'!$T$85,'caseload data'!$D:$D,"TPO",'caseload data'!$B:$B,{"licence","community"}))/SUM(SUMIFS('caseload data'!P:P,'caseload data'!$B:$B,{"licence","community"},'caseload data'!$C:$C,'community %'!$T$85)),"")</f>
        <v/>
      </c>
      <c r="AG89" s="175" t="str" cm="1">
        <f t="array" ref="AG89">IFERROR(SUM(SUMIFS('caseload data'!Q:Q,'caseload data'!$C:$C,'community %'!$T$85,'caseload data'!$D:$D,"TPO",'caseload data'!$B:$B,{"licence","community"}))/SUM(SUMIFS('caseload data'!Q:Q,'caseload data'!$B:$B,{"licence","community"},'caseload data'!$C:$C,'community %'!$T$85)),"")</f>
        <v/>
      </c>
      <c r="AH89" s="175" t="str" cm="1">
        <f t="array" ref="AH89">IFERROR(SUM(SUMIFS('caseload data'!R:R,'caseload data'!$C:$C,'community %'!$T$85,'caseload data'!$D:$D,"TPO",'caseload data'!$B:$B,{"licence","community"}))/SUM(SUMIFS('caseload data'!R:R,'caseload data'!$B:$B,{"licence","community"},'caseload data'!$C:$C,'community %'!$T$85)),"")</f>
        <v/>
      </c>
      <c r="AI89" s="175" t="str" cm="1">
        <f t="array" ref="AI89">IFERROR(SUM(SUMIFS('caseload data'!S:S,'caseload data'!$C:$C,'community %'!$T$85,'caseload data'!$D:$D,"TPO",'caseload data'!$B:$B,{"licence","community"}))/SUM(SUMIFS('caseload data'!S:S,'caseload data'!$B:$B,{"licence","community"},'caseload data'!$C:$C,'community %'!$T$85)),"")</f>
        <v/>
      </c>
      <c r="AJ89" s="175" t="str" cm="1">
        <f t="array" ref="AJ89">IFERROR(SUM(SUMIFS('caseload data'!T:T,'caseload data'!$C:$C,'community %'!$T$85,'caseload data'!$D:$D,"TPO",'caseload data'!$B:$B,{"licence","community"}))/SUM(SUMIFS('caseload data'!T:T,'caseload data'!$B:$B,{"licence","community"},'caseload data'!$C:$C,'community %'!$T$85)),"")</f>
        <v/>
      </c>
    </row>
    <row r="90" spans="2:36" x14ac:dyDescent="0.15">
      <c r="B90" s="102" t="s">
        <v>1174</v>
      </c>
      <c r="C90" s="175" t="str" cm="1">
        <f t="array" ref="C90">IFERROR(SUM(SUMIFS('caseload data'!E:E,'caseload data'!$C:$C,'community %'!$B$85,'caseload data'!$D:$D,"SPO",'caseload data'!$B:$B,{"licence","community"}))/SUM(SUMIFS('caseload data'!E:E,'caseload data'!$B:$B,{"licence","community"},'caseload data'!$C:$C,'community %'!$B$85)),"")</f>
        <v/>
      </c>
      <c r="D90" s="175" t="str" cm="1">
        <f t="array" ref="D90">IFERROR(SUM(SUMIFS('caseload data'!F:F,'caseload data'!$C:$C,'community %'!$B$85,'caseload data'!$D:$D,"SPO",'caseload data'!$B:$B,{"licence","community"}))/SUM(SUMIFS('caseload data'!F:F,'caseload data'!$B:$B,{"licence","community"},'caseload data'!$C:$C,'community %'!$B$85)),"")</f>
        <v/>
      </c>
      <c r="E90" s="175" t="str" cm="1">
        <f t="array" ref="E90">IFERROR(SUM(SUMIFS('caseload data'!G:G,'caseload data'!$C:$C,'community %'!$B$85,'caseload data'!$D:$D,"SPO",'caseload data'!$B:$B,{"licence","community"}))/SUM(SUMIFS('caseload data'!G:G,'caseload data'!$B:$B,{"licence","community"},'caseload data'!$C:$C,'community %'!$B$85)),"")</f>
        <v/>
      </c>
      <c r="F90" s="175" t="str" cm="1">
        <f t="array" ref="F90">IFERROR(SUM(SUMIFS('caseload data'!H:H,'caseload data'!$C:$C,'community %'!$B$85,'caseload data'!$D:$D,"SPO",'caseload data'!$B:$B,{"licence","community"}))/SUM(SUMIFS('caseload data'!H:H,'caseload data'!$B:$B,{"licence","community"},'caseload data'!$C:$C,'community %'!$B$85)),"")</f>
        <v/>
      </c>
      <c r="G90" s="175" t="str" cm="1">
        <f t="array" ref="G90">IFERROR(SUM(SUMIFS('caseload data'!I:I,'caseload data'!$C:$C,'community %'!$B$85,'caseload data'!$D:$D,"SPO",'caseload data'!$B:$B,{"licence","community"}))/SUM(SUMIFS('caseload data'!I:I,'caseload data'!$B:$B,{"licence","community"},'caseload data'!$C:$C,'community %'!$B$85)),"")</f>
        <v/>
      </c>
      <c r="H90" s="175" t="str" cm="1">
        <f t="array" ref="H90">IFERROR(SUM(SUMIFS('caseload data'!J:J,'caseload data'!$C:$C,'community %'!$B$85,'caseload data'!$D:$D,"SPO",'caseload data'!$B:$B,{"licence","community"}))/SUM(SUMIFS('caseload data'!J:J,'caseload data'!$B:$B,{"licence","community"},'caseload data'!$C:$C,'community %'!$B$85)),"")</f>
        <v/>
      </c>
      <c r="I90" s="175" t="str" cm="1">
        <f t="array" ref="I90">IFERROR(SUM(SUMIFS('caseload data'!K:K,'caseload data'!$C:$C,'community %'!$B$85,'caseload data'!$D:$D,"SPO",'caseload data'!$B:$B,{"licence","community"}))/SUM(SUMIFS('caseload data'!K:K,'caseload data'!$B:$B,{"licence","community"},'caseload data'!$C:$C,'community %'!$B$85)),"")</f>
        <v/>
      </c>
      <c r="J90" s="175" t="str" cm="1">
        <f t="array" ref="J90">IFERROR(SUM(SUMIFS('caseload data'!L:L,'caseload data'!$C:$C,'community %'!$B$85,'caseload data'!$D:$D,"SPO",'caseload data'!$B:$B,{"licence","community"}))/SUM(SUMIFS('caseload data'!L:L,'caseload data'!$B:$B,{"licence","community"},'caseload data'!$C:$C,'community %'!$B$85)),"")</f>
        <v/>
      </c>
      <c r="K90" s="175" t="str" cm="1">
        <f t="array" ref="K90">IFERROR(SUM(SUMIFS('caseload data'!M:M,'caseload data'!$C:$C,'community %'!$B$85,'caseload data'!$D:$D,"SPO",'caseload data'!$B:$B,{"licence","community"}))/SUM(SUMIFS('caseload data'!M:M,'caseload data'!$B:$B,{"licence","community"},'caseload data'!$C:$C,'community %'!$B$85)),"")</f>
        <v/>
      </c>
      <c r="L90" s="175" t="str" cm="1">
        <f t="array" ref="L90">IFERROR(SUM(SUMIFS('caseload data'!N:N,'caseload data'!$C:$C,'community %'!$B$85,'caseload data'!$D:$D,"SPO",'caseload data'!$B:$B,{"licence","community"}))/SUM(SUMIFS('caseload data'!N:N,'caseload data'!$B:$B,{"licence","community"},'caseload data'!$C:$C,'community %'!$B$85)),"")</f>
        <v/>
      </c>
      <c r="M90" s="175" t="str" cm="1">
        <f t="array" ref="M90">IFERROR(SUM(SUMIFS('caseload data'!O:O,'caseload data'!$C:$C,'community %'!$B$85,'caseload data'!$D:$D,"SPO",'caseload data'!$B:$B,{"licence","community"}))/SUM(SUMIFS('caseload data'!O:O,'caseload data'!$B:$B,{"licence","community"},'caseload data'!$C:$C,'community %'!$B$85)),"")</f>
        <v/>
      </c>
      <c r="N90" s="175" t="str" cm="1">
        <f t="array" ref="N90">IFERROR(SUM(SUMIFS('caseload data'!P:P,'caseload data'!$C:$C,'community %'!$B$85,'caseload data'!$D:$D,"SPO",'caseload data'!$B:$B,{"licence","community"}))/SUM(SUMIFS('caseload data'!P:P,'caseload data'!$B:$B,{"licence","community"},'caseload data'!$C:$C,'community %'!$B$85)),"")</f>
        <v/>
      </c>
      <c r="O90" s="175" t="str" cm="1">
        <f t="array" ref="O90">IFERROR(SUM(SUMIFS('caseload data'!Q:Q,'caseload data'!$C:$C,'community %'!$B$85,'caseload data'!$D:$D,"SPO",'caseload data'!$B:$B,{"licence","community"}))/SUM(SUMIFS('caseload data'!Q:Q,'caseload data'!$B:$B,{"licence","community"},'caseload data'!$C:$C,'community %'!$B$85)),"")</f>
        <v/>
      </c>
      <c r="P90" s="175" t="str" cm="1">
        <f t="array" ref="P90">IFERROR(SUM(SUMIFS('caseload data'!R:R,'caseload data'!$C:$C,'community %'!$B$85,'caseload data'!$D:$D,"SPO",'caseload data'!$B:$B,{"licence","community"}))/SUM(SUMIFS('caseload data'!R:R,'caseload data'!$B:$B,{"licence","community"},'caseload data'!$C:$C,'community %'!$B$85)),"")</f>
        <v/>
      </c>
      <c r="Q90" s="175" t="str" cm="1">
        <f t="array" ref="Q90">IFERROR(SUM(SUMIFS('caseload data'!S:S,'caseload data'!$C:$C,'community %'!$B$85,'caseload data'!$D:$D,"SPO",'caseload data'!$B:$B,{"licence","community"}))/SUM(SUMIFS('caseload data'!S:S,'caseload data'!$B:$B,{"licence","community"},'caseload data'!$C:$C,'community %'!$B$85)),"")</f>
        <v/>
      </c>
      <c r="R90" s="175" t="str" cm="1">
        <f t="array" ref="R90">IFERROR(SUM(SUMIFS('caseload data'!T:T,'caseload data'!$C:$C,'community %'!$B$85,'caseload data'!$D:$D,"SPO",'caseload data'!$B:$B,{"licence","community"}))/SUM(SUMIFS('caseload data'!T:T,'caseload data'!$B:$B,{"licence","community"},'caseload data'!$C:$C,'community %'!$B$85)),"")</f>
        <v/>
      </c>
      <c r="T90" s="102" t="s">
        <v>1174</v>
      </c>
      <c r="U90" s="175" t="str" cm="1">
        <f t="array" ref="U90">IFERROR(SUM(SUMIFS('caseload data'!E:E,'caseload data'!$C:$C,'community %'!$T$85,'caseload data'!$D:$D,"SPO",'caseload data'!$B:$B,{"licence","community"}))/SUM(SUMIFS('caseload data'!E:E,'caseload data'!$B:$B,{"licence","community"},'caseload data'!$C:$C,'community %'!$T$85)),"")</f>
        <v/>
      </c>
      <c r="V90" s="175" t="str" cm="1">
        <f t="array" ref="V90">IFERROR(SUM(SUMIFS('caseload data'!F:F,'caseload data'!$C:$C,'community %'!$T$85,'caseload data'!$D:$D,"SPO",'caseload data'!$B:$B,{"licence","community"}))/SUM(SUMIFS('caseload data'!F:F,'caseload data'!$B:$B,{"licence","community"},'caseload data'!$C:$C,'community %'!$T$85)),"")</f>
        <v/>
      </c>
      <c r="W90" s="175" t="str" cm="1">
        <f t="array" ref="W90">IFERROR(SUM(SUMIFS('caseload data'!G:G,'caseload data'!$C:$C,'community %'!$T$85,'caseload data'!$D:$D,"SPO",'caseload data'!$B:$B,{"licence","community"}))/SUM(SUMIFS('caseload data'!G:G,'caseload data'!$B:$B,{"licence","community"},'caseload data'!$C:$C,'community %'!$T$85)),"")</f>
        <v/>
      </c>
      <c r="X90" s="175" t="str" cm="1">
        <f t="array" ref="X90">IFERROR(SUM(SUMIFS('caseload data'!H:H,'caseload data'!$C:$C,'community %'!$T$85,'caseload data'!$D:$D,"SPO",'caseload data'!$B:$B,{"licence","community"}))/SUM(SUMIFS('caseload data'!H:H,'caseload data'!$B:$B,{"licence","community"},'caseload data'!$C:$C,'community %'!$T$85)),"")</f>
        <v/>
      </c>
      <c r="Y90" s="175" t="str" cm="1">
        <f t="array" ref="Y90">IFERROR(SUM(SUMIFS('caseload data'!I:I,'caseload data'!$C:$C,'community %'!$T$85,'caseload data'!$D:$D,"SPO",'caseload data'!$B:$B,{"licence","community"}))/SUM(SUMIFS('caseload data'!I:I,'caseload data'!$B:$B,{"licence","community"},'caseload data'!$C:$C,'community %'!$T$85)),"")</f>
        <v/>
      </c>
      <c r="Z90" s="175" t="str" cm="1">
        <f t="array" ref="Z90">IFERROR(SUM(SUMIFS('caseload data'!J:J,'caseload data'!$C:$C,'community %'!$T$85,'caseload data'!$D:$D,"SPO",'caseload data'!$B:$B,{"licence","community"}))/SUM(SUMIFS('caseload data'!J:J,'caseload data'!$B:$B,{"licence","community"},'caseload data'!$C:$C,'community %'!$T$85)),"")</f>
        <v/>
      </c>
      <c r="AA90" s="175" t="str" cm="1">
        <f t="array" ref="AA90">IFERROR(SUM(SUMIFS('caseload data'!K:K,'caseload data'!$C:$C,'community %'!$T$85,'caseload data'!$D:$D,"SPO",'caseload data'!$B:$B,{"licence","community"}))/SUM(SUMIFS('caseload data'!K:K,'caseload data'!$B:$B,{"licence","community"},'caseload data'!$C:$C,'community %'!$T$85)),"")</f>
        <v/>
      </c>
      <c r="AB90" s="175" t="str" cm="1">
        <f t="array" ref="AB90">IFERROR(SUM(SUMIFS('caseload data'!L:L,'caseload data'!$C:$C,'community %'!$T$85,'caseload data'!$D:$D,"SPO",'caseload data'!$B:$B,{"licence","community"}))/SUM(SUMIFS('caseload data'!L:L,'caseload data'!$B:$B,{"licence","community"},'caseload data'!$C:$C,'community %'!$T$85)),"")</f>
        <v/>
      </c>
      <c r="AC90" s="175" t="str" cm="1">
        <f t="array" ref="AC90">IFERROR(SUM(SUMIFS('caseload data'!M:M,'caseload data'!$C:$C,'community %'!$T$85,'caseload data'!$D:$D,"SPO",'caseload data'!$B:$B,{"licence","community"}))/SUM(SUMIFS('caseload data'!M:M,'caseload data'!$B:$B,{"licence","community"},'caseload data'!$C:$C,'community %'!$T$85)),"")</f>
        <v/>
      </c>
      <c r="AD90" s="175" t="str" cm="1">
        <f t="array" ref="AD90">IFERROR(SUM(SUMIFS('caseload data'!N:N,'caseload data'!$C:$C,'community %'!$T$85,'caseload data'!$D:$D,"SPO",'caseload data'!$B:$B,{"licence","community"}))/SUM(SUMIFS('caseload data'!N:N,'caseload data'!$B:$B,{"licence","community"},'caseload data'!$C:$C,'community %'!$T$85)),"")</f>
        <v/>
      </c>
      <c r="AE90" s="175" t="str" cm="1">
        <f t="array" ref="AE90">IFERROR(SUM(SUMIFS('caseload data'!O:O,'caseload data'!$C:$C,'community %'!$T$85,'caseload data'!$D:$D,"SPO",'caseload data'!$B:$B,{"licence","community"}))/SUM(SUMIFS('caseload data'!O:O,'caseload data'!$B:$B,{"licence","community"},'caseload data'!$C:$C,'community %'!$T$85)),"")</f>
        <v/>
      </c>
      <c r="AF90" s="175" t="str" cm="1">
        <f t="array" ref="AF90">IFERROR(SUM(SUMIFS('caseload data'!P:P,'caseload data'!$C:$C,'community %'!$T$85,'caseload data'!$D:$D,"SPO",'caseload data'!$B:$B,{"licence","community"}))/SUM(SUMIFS('caseload data'!P:P,'caseload data'!$B:$B,{"licence","community"},'caseload data'!$C:$C,'community %'!$T$85)),"")</f>
        <v/>
      </c>
      <c r="AG90" s="175" t="str" cm="1">
        <f t="array" ref="AG90">IFERROR(SUM(SUMIFS('caseload data'!Q:Q,'caseload data'!$C:$C,'community %'!$T$85,'caseload data'!$D:$D,"SPO",'caseload data'!$B:$B,{"licence","community"}))/SUM(SUMIFS('caseload data'!Q:Q,'caseload data'!$B:$B,{"licence","community"},'caseload data'!$C:$C,'community %'!$T$85)),"")</f>
        <v/>
      </c>
      <c r="AH90" s="175" t="str" cm="1">
        <f t="array" ref="AH90">IFERROR(SUM(SUMIFS('caseload data'!R:R,'caseload data'!$C:$C,'community %'!$T$85,'caseload data'!$D:$D,"SPO",'caseload data'!$B:$B,{"licence","community"}))/SUM(SUMIFS('caseload data'!R:R,'caseload data'!$B:$B,{"licence","community"},'caseload data'!$C:$C,'community %'!$T$85)),"")</f>
        <v/>
      </c>
      <c r="AI90" s="175" t="str" cm="1">
        <f t="array" ref="AI90">IFERROR(SUM(SUMIFS('caseload data'!S:S,'caseload data'!$C:$C,'community %'!$T$85,'caseload data'!$D:$D,"SPO",'caseload data'!$B:$B,{"licence","community"}))/SUM(SUMIFS('caseload data'!S:S,'caseload data'!$B:$B,{"licence","community"},'caseload data'!$C:$C,'community %'!$T$85)),"")</f>
        <v/>
      </c>
      <c r="AJ90" s="175" t="str" cm="1">
        <f t="array" ref="AJ90">IFERROR(SUM(SUMIFS('caseload data'!T:T,'caseload data'!$C:$C,'community %'!$T$85,'caseload data'!$D:$D,"SPO",'caseload data'!$B:$B,{"licence","community"}))/SUM(SUMIFS('caseload data'!T:T,'caseload data'!$B:$B,{"licence","community"},'caseload data'!$C:$C,'community %'!$T$85)),"")</f>
        <v/>
      </c>
    </row>
    <row r="92" spans="2:36" ht="21" customHeight="1" x14ac:dyDescent="0.15">
      <c r="B92" s="302">
        <f>HLOOKUP($B$5,Region_Table,26,0)</f>
        <v>0</v>
      </c>
      <c r="C92" s="459" t="s">
        <v>1313</v>
      </c>
      <c r="D92" s="460"/>
      <c r="E92" s="460"/>
      <c r="F92" s="460"/>
      <c r="G92" s="460"/>
      <c r="H92" s="460"/>
      <c r="I92" s="460"/>
      <c r="J92" s="460"/>
      <c r="K92" s="460"/>
      <c r="L92" s="460"/>
      <c r="M92" s="489"/>
      <c r="N92" s="489"/>
      <c r="O92" s="490"/>
      <c r="P92" s="462" cm="1">
        <f t="array" ref="P92">SUM(SUMIFS('caseload data'!V:V,'caseload data'!B:B,{"licence","community"},'caseload data'!$C:$C,B92))</f>
        <v>0</v>
      </c>
      <c r="Q92" s="479"/>
      <c r="R92" s="480"/>
      <c r="T92" s="302">
        <f>HLOOKUP($B$5,Region_Table,27,0)</f>
        <v>0</v>
      </c>
      <c r="U92" s="459" t="s">
        <v>1313</v>
      </c>
      <c r="V92" s="460"/>
      <c r="W92" s="460"/>
      <c r="X92" s="460"/>
      <c r="Y92" s="460"/>
      <c r="Z92" s="460"/>
      <c r="AA92" s="460"/>
      <c r="AB92" s="460"/>
      <c r="AC92" s="460"/>
      <c r="AD92" s="460"/>
      <c r="AE92" s="489"/>
      <c r="AF92" s="489"/>
      <c r="AG92" s="490"/>
      <c r="AH92" s="462" cm="1">
        <f t="array" ref="AH92">SUM(SUMIFS('caseload data'!V:V,'caseload data'!B:B,{"licence","community"},'caseload data'!$C:$C,T92))</f>
        <v>0</v>
      </c>
      <c r="AI92" s="479"/>
      <c r="AJ92" s="480"/>
    </row>
    <row r="93" spans="2:36" x14ac:dyDescent="0.15">
      <c r="B93" s="99" t="s">
        <v>1170</v>
      </c>
      <c r="C93" s="40" t="s">
        <v>1022</v>
      </c>
      <c r="D93" s="40" t="s">
        <v>1023</v>
      </c>
      <c r="E93" s="40" t="s">
        <v>1024</v>
      </c>
      <c r="F93" s="40" t="s">
        <v>1025</v>
      </c>
      <c r="G93" s="40" t="s">
        <v>1026</v>
      </c>
      <c r="H93" s="40" t="s">
        <v>1027</v>
      </c>
      <c r="I93" s="40" t="s">
        <v>1028</v>
      </c>
      <c r="J93" s="40" t="s">
        <v>1029</v>
      </c>
      <c r="K93" s="40" t="s">
        <v>1030</v>
      </c>
      <c r="L93" s="40" t="s">
        <v>1031</v>
      </c>
      <c r="M93" s="40" t="s">
        <v>1032</v>
      </c>
      <c r="N93" s="40" t="s">
        <v>1033</v>
      </c>
      <c r="O93" s="40" t="s">
        <v>1034</v>
      </c>
      <c r="P93" s="40" t="s">
        <v>1035</v>
      </c>
      <c r="Q93" s="40" t="s">
        <v>1036</v>
      </c>
      <c r="R93" s="40" t="s">
        <v>1037</v>
      </c>
      <c r="T93" s="99" t="s">
        <v>1170</v>
      </c>
      <c r="U93" s="40" t="s">
        <v>1022</v>
      </c>
      <c r="V93" s="40" t="s">
        <v>1023</v>
      </c>
      <c r="W93" s="40" t="s">
        <v>1024</v>
      </c>
      <c r="X93" s="40" t="s">
        <v>1025</v>
      </c>
      <c r="Y93" s="40" t="s">
        <v>1026</v>
      </c>
      <c r="Z93" s="40" t="s">
        <v>1027</v>
      </c>
      <c r="AA93" s="40" t="s">
        <v>1028</v>
      </c>
      <c r="AB93" s="40" t="s">
        <v>1029</v>
      </c>
      <c r="AC93" s="40" t="s">
        <v>1030</v>
      </c>
      <c r="AD93" s="40" t="s">
        <v>1031</v>
      </c>
      <c r="AE93" s="40" t="s">
        <v>1032</v>
      </c>
      <c r="AF93" s="40" t="s">
        <v>1033</v>
      </c>
      <c r="AG93" s="40" t="s">
        <v>1034</v>
      </c>
      <c r="AH93" s="40" t="s">
        <v>1035</v>
      </c>
      <c r="AI93" s="40" t="s">
        <v>1036</v>
      </c>
      <c r="AJ93" s="40" t="s">
        <v>1037</v>
      </c>
    </row>
    <row r="94" spans="2:36" x14ac:dyDescent="0.15">
      <c r="B94" s="100" t="s">
        <v>1166</v>
      </c>
      <c r="C94" s="175" t="str" cm="1">
        <f t="array" ref="C94">IFERROR(SUM(SUMIFS('caseload data'!E:E,'caseload data'!$C:$C,'community %'!$B$92,'caseload data'!$D:$D,"PO",'caseload data'!$B:$B,{"licence","community"}))/SUM(SUMIFS('caseload data'!E:E,'caseload data'!$B:$B,{"licence","community"},'caseload data'!$C:$C,'community %'!$B$92)),"")</f>
        <v/>
      </c>
      <c r="D94" s="175" t="str" cm="1">
        <f t="array" ref="D94">IFERROR(SUM(SUMIFS('caseload data'!F:F,'caseload data'!$C:$C,'community %'!$B$92,'caseload data'!$D:$D,"PO",'caseload data'!$B:$B,{"licence","community"}))/SUM(SUMIFS('caseload data'!F:F,'caseload data'!$B:$B,{"licence","community"},'caseload data'!$C:$C,'community %'!$B$92)),"")</f>
        <v/>
      </c>
      <c r="E94" s="175" t="str" cm="1">
        <f t="array" ref="E94">IFERROR(SUM(SUMIFS('caseload data'!G:G,'caseload data'!$C:$C,'community %'!$B$92,'caseload data'!$D:$D,"PO",'caseload data'!$B:$B,{"licence","community"}))/SUM(SUMIFS('caseload data'!G:G,'caseload data'!$B:$B,{"licence","community"},'caseload data'!$C:$C,'community %'!$B$92)),"")</f>
        <v/>
      </c>
      <c r="F94" s="175" t="str" cm="1">
        <f t="array" ref="F94">IFERROR(SUM(SUMIFS('caseload data'!H:H,'caseload data'!$C:$C,'community %'!$B$92,'caseload data'!$D:$D,"PO",'caseload data'!$B:$B,{"licence","community"}))/SUM(SUMIFS('caseload data'!H:H,'caseload data'!$B:$B,{"licence","community"},'caseload data'!$C:$C,'community %'!$B$92)),"")</f>
        <v/>
      </c>
      <c r="G94" s="175" t="str" cm="1">
        <f t="array" ref="G94">IFERROR(SUM(SUMIFS('caseload data'!I:I,'caseload data'!$C:$C,'community %'!$B$92,'caseload data'!$D:$D,"PO",'caseload data'!$B:$B,{"licence","community"}))/SUM(SUMIFS('caseload data'!I:I,'caseload data'!$B:$B,{"licence","community"},'caseload data'!$C:$C,'community %'!$B$92)),"")</f>
        <v/>
      </c>
      <c r="H94" s="175" t="str" cm="1">
        <f t="array" ref="H94">IFERROR(SUM(SUMIFS('caseload data'!J:J,'caseload data'!$C:$C,'community %'!$B$92,'caseload data'!$D:$D,"PO",'caseload data'!$B:$B,{"licence","community"}))/SUM(SUMIFS('caseload data'!J:J,'caseload data'!$B:$B,{"licence","community"},'caseload data'!$C:$C,'community %'!$B$92)),"")</f>
        <v/>
      </c>
      <c r="I94" s="175" t="str" cm="1">
        <f t="array" ref="I94">IFERROR(SUM(SUMIFS('caseload data'!K:K,'caseload data'!$C:$C,'community %'!$B$92,'caseload data'!$D:$D,"PO",'caseload data'!$B:$B,{"licence","community"}))/SUM(SUMIFS('caseload data'!K:K,'caseload data'!$B:$B,{"licence","community"},'caseload data'!$C:$C,'community %'!$B$92)),"")</f>
        <v/>
      </c>
      <c r="J94" s="175" t="str" cm="1">
        <f t="array" ref="J94">IFERROR(SUM(SUMIFS('caseload data'!L:L,'caseload data'!$C:$C,'community %'!$B$92,'caseload data'!$D:$D,"PO",'caseload data'!$B:$B,{"licence","community"}))/SUM(SUMIFS('caseload data'!L:L,'caseload data'!$B:$B,{"licence","community"},'caseload data'!$C:$C,'community %'!$B$92)),"")</f>
        <v/>
      </c>
      <c r="K94" s="175" t="str" cm="1">
        <f t="array" ref="K94">IFERROR(SUM(SUMIFS('caseload data'!M:M,'caseload data'!$C:$C,'community %'!$B$92,'caseload data'!$D:$D,"PO",'caseload data'!$B:$B,{"licence","community"}))/SUM(SUMIFS('caseload data'!M:M,'caseload data'!$B:$B,{"licence","community"},'caseload data'!$C:$C,'community %'!$B$92)),"")</f>
        <v/>
      </c>
      <c r="L94" s="175" t="str" cm="1">
        <f t="array" ref="L94">IFERROR(SUM(SUMIFS('caseload data'!N:N,'caseload data'!$C:$C,'community %'!$B$92,'caseload data'!$D:$D,"PO",'caseload data'!$B:$B,{"licence","community"}))/SUM(SUMIFS('caseload data'!N:N,'caseload data'!$B:$B,{"licence","community"},'caseload data'!$C:$C,'community %'!$B$92)),"")</f>
        <v/>
      </c>
      <c r="M94" s="175" t="str" cm="1">
        <f t="array" ref="M94">IFERROR(SUM(SUMIFS('caseload data'!O:O,'caseload data'!$C:$C,'community %'!$B$92,'caseload data'!$D:$D,"PO",'caseload data'!$B:$B,{"licence","community"}))/SUM(SUMIFS('caseload data'!O:O,'caseload data'!$B:$B,{"licence","community"},'caseload data'!$C:$C,'community %'!$B$92)),"")</f>
        <v/>
      </c>
      <c r="N94" s="175" t="str" cm="1">
        <f t="array" ref="N94">IFERROR(SUM(SUMIFS('caseload data'!P:P,'caseload data'!$C:$C,'community %'!$B$92,'caseload data'!$D:$D,"PO",'caseload data'!$B:$B,{"licence","community"}))/SUM(SUMIFS('caseload data'!P:P,'caseload data'!$B:$B,{"licence","community"},'caseload data'!$C:$C,'community %'!$B$92)),"")</f>
        <v/>
      </c>
      <c r="O94" s="175" t="str" cm="1">
        <f t="array" ref="O94">IFERROR(SUM(SUMIFS('caseload data'!Q:Q,'caseload data'!$C:$C,'community %'!$B$92,'caseload data'!$D:$D,"PO",'caseload data'!$B:$B,{"licence","community"}))/SUM(SUMIFS('caseload data'!Q:Q,'caseload data'!$B:$B,{"licence","community"},'caseload data'!$C:$C,'community %'!$B$92)),"")</f>
        <v/>
      </c>
      <c r="P94" s="175" t="str" cm="1">
        <f t="array" ref="P94">IFERROR(SUM(SUMIFS('caseload data'!R:R,'caseload data'!$C:$C,'community %'!$B$92,'caseload data'!$D:$D,"PO",'caseload data'!$B:$B,{"licence","community"}))/SUM(SUMIFS('caseload data'!R:R,'caseload data'!$B:$B,{"licence","community"},'caseload data'!$C:$C,'community %'!$B$92)),"")</f>
        <v/>
      </c>
      <c r="Q94" s="175" t="str" cm="1">
        <f t="array" ref="Q94">IFERROR(SUM(SUMIFS('caseload data'!S:S,'caseload data'!$C:$C,'community %'!$B$92,'caseload data'!$D:$D,"PO",'caseload data'!$B:$B,{"licence","community"}))/SUM(SUMIFS('caseload data'!S:S,'caseload data'!$B:$B,{"licence","community"},'caseload data'!$C:$C,'community %'!$B$92)),"")</f>
        <v/>
      </c>
      <c r="R94" s="175" t="str" cm="1">
        <f t="array" ref="R94">IFERROR(SUM(SUMIFS('caseload data'!T:T,'caseload data'!$C:$C,'community %'!$B$92,'caseload data'!$D:$D,"PO",'caseload data'!$B:$B,{"licence","community"}))/SUM(SUMIFS('caseload data'!T:T,'caseload data'!$B:$B,{"licence","community"},'caseload data'!$C:$C,'community %'!$B$92)),"")</f>
        <v/>
      </c>
      <c r="T94" s="100" t="s">
        <v>1166</v>
      </c>
      <c r="U94" s="175" t="str" cm="1">
        <f t="array" ref="U94">IFERROR(SUM(SUMIFS('caseload data'!E:E,'caseload data'!$C:$C,'community %'!$T$92,'caseload data'!$D:$D,"PO",'caseload data'!$B:$B,{"licence","community"}))/SUM(SUMIFS('caseload data'!E:E,'caseload data'!$B:$B,{"licence","community"},'caseload data'!$C:$C,'community %'!$T$92)),"")</f>
        <v/>
      </c>
      <c r="V94" s="175" t="str" cm="1">
        <f t="array" ref="V94">IFERROR(SUM(SUMIFS('caseload data'!F:F,'caseload data'!$C:$C,'community %'!$T$92,'caseload data'!$D:$D,"PO",'caseload data'!$B:$B,{"licence","community"}))/SUM(SUMIFS('caseload data'!F:F,'caseload data'!$B:$B,{"licence","community"},'caseload data'!$C:$C,'community %'!$T$92)),"")</f>
        <v/>
      </c>
      <c r="W94" s="175" t="str" cm="1">
        <f t="array" ref="W94">IFERROR(SUM(SUMIFS('caseload data'!G:G,'caseload data'!$C:$C,'community %'!$T$92,'caseload data'!$D:$D,"PO",'caseload data'!$B:$B,{"licence","community"}))/SUM(SUMIFS('caseload data'!G:G,'caseload data'!$B:$B,{"licence","community"},'caseload data'!$C:$C,'community %'!$T$92)),"")</f>
        <v/>
      </c>
      <c r="X94" s="175" t="str" cm="1">
        <f t="array" ref="X94">IFERROR(SUM(SUMIFS('caseload data'!H:H,'caseload data'!$C:$C,'community %'!$T$92,'caseload data'!$D:$D,"PO",'caseload data'!$B:$B,{"licence","community"}))/SUM(SUMIFS('caseload data'!H:H,'caseload data'!$B:$B,{"licence","community"},'caseload data'!$C:$C,'community %'!$T$92)),"")</f>
        <v/>
      </c>
      <c r="Y94" s="175" t="str" cm="1">
        <f t="array" ref="Y94">IFERROR(SUM(SUMIFS('caseload data'!I:I,'caseload data'!$C:$C,'community %'!$T$92,'caseload data'!$D:$D,"PO",'caseload data'!$B:$B,{"licence","community"}))/SUM(SUMIFS('caseload data'!I:I,'caseload data'!$B:$B,{"licence","community"},'caseload data'!$C:$C,'community %'!$T$92)),"")</f>
        <v/>
      </c>
      <c r="Z94" s="175" t="str" cm="1">
        <f t="array" ref="Z94">IFERROR(SUM(SUMIFS('caseload data'!J:J,'caseload data'!$C:$C,'community %'!$T$92,'caseload data'!$D:$D,"PO",'caseload data'!$B:$B,{"licence","community"}))/SUM(SUMIFS('caseload data'!J:J,'caseload data'!$B:$B,{"licence","community"},'caseload data'!$C:$C,'community %'!$T$92)),"")</f>
        <v/>
      </c>
      <c r="AA94" s="175" t="str" cm="1">
        <f t="array" ref="AA94">IFERROR(SUM(SUMIFS('caseload data'!K:K,'caseload data'!$C:$C,'community %'!$T$92,'caseload data'!$D:$D,"PO",'caseload data'!$B:$B,{"licence","community"}))/SUM(SUMIFS('caseload data'!K:K,'caseload data'!$B:$B,{"licence","community"},'caseload data'!$C:$C,'community %'!$T$92)),"")</f>
        <v/>
      </c>
      <c r="AB94" s="175" t="str" cm="1">
        <f t="array" ref="AB94">IFERROR(SUM(SUMIFS('caseload data'!L:L,'caseload data'!$C:$C,'community %'!$T$92,'caseload data'!$D:$D,"PO",'caseload data'!$B:$B,{"licence","community"}))/SUM(SUMIFS('caseload data'!L:L,'caseload data'!$B:$B,{"licence","community"},'caseload data'!$C:$C,'community %'!$T$92)),"")</f>
        <v/>
      </c>
      <c r="AC94" s="175" t="str" cm="1">
        <f t="array" ref="AC94">IFERROR(SUM(SUMIFS('caseload data'!M:M,'caseload data'!$C:$C,'community %'!$T$92,'caseload data'!$D:$D,"PO",'caseload data'!$B:$B,{"licence","community"}))/SUM(SUMIFS('caseload data'!M:M,'caseload data'!$B:$B,{"licence","community"},'caseload data'!$C:$C,'community %'!$T$92)),"")</f>
        <v/>
      </c>
      <c r="AD94" s="175" t="str" cm="1">
        <f t="array" ref="AD94">IFERROR(SUM(SUMIFS('caseload data'!N:N,'caseload data'!$C:$C,'community %'!$T$92,'caseload data'!$D:$D,"PO",'caseload data'!$B:$B,{"licence","community"}))/SUM(SUMIFS('caseload data'!N:N,'caseload data'!$B:$B,{"licence","community"},'caseload data'!$C:$C,'community %'!$T$92)),"")</f>
        <v/>
      </c>
      <c r="AE94" s="175" t="str" cm="1">
        <f t="array" ref="AE94">IFERROR(SUM(SUMIFS('caseload data'!O:O,'caseload data'!$C:$C,'community %'!$T$92,'caseload data'!$D:$D,"PO",'caseload data'!$B:$B,{"licence","community"}))/SUM(SUMIFS('caseload data'!O:O,'caseload data'!$B:$B,{"licence","community"},'caseload data'!$C:$C,'community %'!$T$92)),"")</f>
        <v/>
      </c>
      <c r="AF94" s="175" t="str" cm="1">
        <f t="array" ref="AF94">IFERROR(SUM(SUMIFS('caseload data'!P:P,'caseload data'!$C:$C,'community %'!$T$92,'caseload data'!$D:$D,"PO",'caseload data'!$B:$B,{"licence","community"}))/SUM(SUMIFS('caseload data'!P:P,'caseload data'!$B:$B,{"licence","community"},'caseload data'!$C:$C,'community %'!$T$92)),"")</f>
        <v/>
      </c>
      <c r="AG94" s="175" t="str" cm="1">
        <f t="array" ref="AG94">IFERROR(SUM(SUMIFS('caseload data'!Q:Q,'caseload data'!$C:$C,'community %'!$T$92,'caseload data'!$D:$D,"PO",'caseload data'!$B:$B,{"licence","community"}))/SUM(SUMIFS('caseload data'!Q:Q,'caseload data'!$B:$B,{"licence","community"},'caseload data'!$C:$C,'community %'!$T$92)),"")</f>
        <v/>
      </c>
      <c r="AH94" s="175" t="str" cm="1">
        <f t="array" ref="AH94">IFERROR(SUM(SUMIFS('caseload data'!R:R,'caseload data'!$C:$C,'community %'!$T$92,'caseload data'!$D:$D,"PO",'caseload data'!$B:$B,{"licence","community"}))/SUM(SUMIFS('caseload data'!R:R,'caseload data'!$B:$B,{"licence","community"},'caseload data'!$C:$C,'community %'!$T$92)),"")</f>
        <v/>
      </c>
      <c r="AI94" s="175" t="str" cm="1">
        <f t="array" ref="AI94">IFERROR(SUM(SUMIFS('caseload data'!S:S,'caseload data'!$C:$C,'community %'!$T$92,'caseload data'!$D:$D,"PO",'caseload data'!$B:$B,{"licence","community"}))/SUM(SUMIFS('caseload data'!S:S,'caseload data'!$B:$B,{"licence","community"},'caseload data'!$C:$C,'community %'!$T$92)),"")</f>
        <v/>
      </c>
      <c r="AJ94" s="175" t="str" cm="1">
        <f t="array" ref="AJ94">IFERROR(SUM(SUMIFS('caseload data'!T:T,'caseload data'!$C:$C,'community %'!$T$92,'caseload data'!$D:$D,"PO",'caseload data'!$B:$B,{"licence","community"}))/SUM(SUMIFS('caseload data'!T:T,'caseload data'!$B:$B,{"licence","community"},'caseload data'!$C:$C,'community %'!$T$92)),"")</f>
        <v/>
      </c>
    </row>
    <row r="95" spans="2:36" x14ac:dyDescent="0.15">
      <c r="B95" s="101" t="s">
        <v>1172</v>
      </c>
      <c r="C95" s="175" t="str" cm="1">
        <f t="array" ref="C95">IFERROR(SUM(SUMIFS('caseload data'!E:E,'caseload data'!$C:$C,'community %'!$B$92,'caseload data'!$D:$D,"PSO",'caseload data'!$B:$B,{"licence","community"}))/SUM(SUMIFS('caseload data'!E:E,'caseload data'!$B:$B,{"licence","community"},'caseload data'!$C:$C,'community %'!$B$92)),"")</f>
        <v/>
      </c>
      <c r="D95" s="175" t="str" cm="1">
        <f t="array" ref="D95">IFERROR(SUM(SUMIFS('caseload data'!F:F,'caseload data'!$C:$C,'community %'!$B$92,'caseload data'!$D:$D,"PSO",'caseload data'!$B:$B,{"licence","community"}))/SUM(SUMIFS('caseload data'!F:F,'caseload data'!$B:$B,{"licence","community"},'caseload data'!$C:$C,'community %'!$B$92)),"")</f>
        <v/>
      </c>
      <c r="E95" s="175" t="str" cm="1">
        <f t="array" ref="E95">IFERROR(SUM(SUMIFS('caseload data'!G:G,'caseload data'!$C:$C,'community %'!$B$92,'caseload data'!$D:$D,"PSO",'caseload data'!$B:$B,{"licence","community"}))/SUM(SUMIFS('caseload data'!G:G,'caseload data'!$B:$B,{"licence","community"},'caseload data'!$C:$C,'community %'!$B$92)),"")</f>
        <v/>
      </c>
      <c r="F95" s="175" t="str" cm="1">
        <f t="array" ref="F95">IFERROR(SUM(SUMIFS('caseload data'!H:H,'caseload data'!$C:$C,'community %'!$B$92,'caseload data'!$D:$D,"PSO",'caseload data'!$B:$B,{"licence","community"}))/SUM(SUMIFS('caseload data'!H:H,'caseload data'!$B:$B,{"licence","community"},'caseload data'!$C:$C,'community %'!$B$92)),"")</f>
        <v/>
      </c>
      <c r="G95" s="175" t="str" cm="1">
        <f t="array" ref="G95">IFERROR(SUM(SUMIFS('caseload data'!I:I,'caseload data'!$C:$C,'community %'!$B$92,'caseload data'!$D:$D,"PSO",'caseload data'!$B:$B,{"licence","community"}))/SUM(SUMIFS('caseload data'!I:I,'caseload data'!$B:$B,{"licence","community"},'caseload data'!$C:$C,'community %'!$B$92)),"")</f>
        <v/>
      </c>
      <c r="H95" s="175" t="str" cm="1">
        <f t="array" ref="H95">IFERROR(SUM(SUMIFS('caseload data'!J:J,'caseload data'!$C:$C,'community %'!$B$92,'caseload data'!$D:$D,"PSO",'caseload data'!$B:$B,{"licence","community"}))/SUM(SUMIFS('caseload data'!J:J,'caseload data'!$B:$B,{"licence","community"},'caseload data'!$C:$C,'community %'!$B$92)),"")</f>
        <v/>
      </c>
      <c r="I95" s="175" t="str" cm="1">
        <f t="array" ref="I95">IFERROR(SUM(SUMIFS('caseload data'!K:K,'caseload data'!$C:$C,'community %'!$B$92,'caseload data'!$D:$D,"PSO",'caseload data'!$B:$B,{"licence","community"}))/SUM(SUMIFS('caseload data'!K:K,'caseload data'!$B:$B,{"licence","community"},'caseload data'!$C:$C,'community %'!$B$92)),"")</f>
        <v/>
      </c>
      <c r="J95" s="175" t="str" cm="1">
        <f t="array" ref="J95">IFERROR(SUM(SUMIFS('caseload data'!L:L,'caseload data'!$C:$C,'community %'!$B$92,'caseload data'!$D:$D,"PSO",'caseload data'!$B:$B,{"licence","community"}))/SUM(SUMIFS('caseload data'!L:L,'caseload data'!$B:$B,{"licence","community"},'caseload data'!$C:$C,'community %'!$B$92)),"")</f>
        <v/>
      </c>
      <c r="K95" s="175" t="str" cm="1">
        <f t="array" ref="K95">IFERROR(SUM(SUMIFS('caseload data'!M:M,'caseload data'!$C:$C,'community %'!$B$92,'caseload data'!$D:$D,"PSO",'caseload data'!$B:$B,{"licence","community"}))/SUM(SUMIFS('caseload data'!M:M,'caseload data'!$B:$B,{"licence","community"},'caseload data'!$C:$C,'community %'!$B$92)),"")</f>
        <v/>
      </c>
      <c r="L95" s="175" t="str" cm="1">
        <f t="array" ref="L95">IFERROR(SUM(SUMIFS('caseload data'!N:N,'caseload data'!$C:$C,'community %'!$B$92,'caseload data'!$D:$D,"PSO",'caseload data'!$B:$B,{"licence","community"}))/SUM(SUMIFS('caseload data'!N:N,'caseload data'!$B:$B,{"licence","community"},'caseload data'!$C:$C,'community %'!$B$92)),"")</f>
        <v/>
      </c>
      <c r="M95" s="175" t="str" cm="1">
        <f t="array" ref="M95">IFERROR(SUM(SUMIFS('caseload data'!O:O,'caseload data'!$C:$C,'community %'!$B$92,'caseload data'!$D:$D,"PSO",'caseload data'!$B:$B,{"licence","community"}))/SUM(SUMIFS('caseload data'!O:O,'caseload data'!$B:$B,{"licence","community"},'caseload data'!$C:$C,'community %'!$B$92)),"")</f>
        <v/>
      </c>
      <c r="N95" s="175" t="str" cm="1">
        <f t="array" ref="N95">IFERROR(SUM(SUMIFS('caseload data'!P:P,'caseload data'!$C:$C,'community %'!$B$92,'caseload data'!$D:$D,"PSO",'caseload data'!$B:$B,{"licence","community"}))/SUM(SUMIFS('caseload data'!P:P,'caseload data'!$B:$B,{"licence","community"},'caseload data'!$C:$C,'community %'!$B$92)),"")</f>
        <v/>
      </c>
      <c r="O95" s="175" t="str" cm="1">
        <f t="array" ref="O95">IFERROR(SUM(SUMIFS('caseload data'!Q:Q,'caseload data'!$C:$C,'community %'!$B$92,'caseload data'!$D:$D,"PSO",'caseload data'!$B:$B,{"licence","community"}))/SUM(SUMIFS('caseload data'!Q:Q,'caseload data'!$B:$B,{"licence","community"},'caseload data'!$C:$C,'community %'!$B$92)),"")</f>
        <v/>
      </c>
      <c r="P95" s="175" t="str" cm="1">
        <f t="array" ref="P95">IFERROR(SUM(SUMIFS('caseload data'!R:R,'caseload data'!$C:$C,'community %'!$B$92,'caseload data'!$D:$D,"PSO",'caseload data'!$B:$B,{"licence","community"}))/SUM(SUMIFS('caseload data'!R:R,'caseload data'!$B:$B,{"licence","community"},'caseload data'!$C:$C,'community %'!$B$92)),"")</f>
        <v/>
      </c>
      <c r="Q95" s="175" t="str" cm="1">
        <f t="array" ref="Q95">IFERROR(SUM(SUMIFS('caseload data'!S:S,'caseload data'!$C:$C,'community %'!$B$92,'caseload data'!$D:$D,"PSO",'caseload data'!$B:$B,{"licence","community"}))/SUM(SUMIFS('caseload data'!S:S,'caseload data'!$B:$B,{"licence","community"},'caseload data'!$C:$C,'community %'!$B$92)),"")</f>
        <v/>
      </c>
      <c r="R95" s="175" t="str" cm="1">
        <f t="array" ref="R95">IFERROR(SUM(SUMIFS('caseload data'!T:T,'caseload data'!$C:$C,'community %'!$B$92,'caseload data'!$D:$D,"PSO",'caseload data'!$B:$B,{"licence","community"}))/SUM(SUMIFS('caseload data'!T:T,'caseload data'!$B:$B,{"licence","community"},'caseload data'!$C:$C,'community %'!$B$92)),"")</f>
        <v/>
      </c>
      <c r="T95" s="101" t="s">
        <v>1172</v>
      </c>
      <c r="U95" s="175" t="str" cm="1">
        <f t="array" ref="U95">IFERROR(SUM(SUMIFS('caseload data'!E:E,'caseload data'!$C:$C,'community %'!$T$92,'caseload data'!$D:$D,"PSO",'caseload data'!$B:$B,{"licence","community"}))/SUM(SUMIFS('caseload data'!E:E,'caseload data'!$B:$B,{"licence","community"},'caseload data'!$C:$C,'community %'!$T$92)),"")</f>
        <v/>
      </c>
      <c r="V95" s="175" t="str" cm="1">
        <f t="array" ref="V95">IFERROR(SUM(SUMIFS('caseload data'!F:F,'caseload data'!$C:$C,'community %'!$T$92,'caseload data'!$D:$D,"PSO",'caseload data'!$B:$B,{"licence","community"}))/SUM(SUMIFS('caseload data'!F:F,'caseload data'!$B:$B,{"licence","community"},'caseload data'!$C:$C,'community %'!$T$92)),"")</f>
        <v/>
      </c>
      <c r="W95" s="175" t="str" cm="1">
        <f t="array" ref="W95">IFERROR(SUM(SUMIFS('caseload data'!G:G,'caseload data'!$C:$C,'community %'!$T$92,'caseload data'!$D:$D,"PSO",'caseload data'!$B:$B,{"licence","community"}))/SUM(SUMIFS('caseload data'!G:G,'caseload data'!$B:$B,{"licence","community"},'caseload data'!$C:$C,'community %'!$T$92)),"")</f>
        <v/>
      </c>
      <c r="X95" s="175" t="str" cm="1">
        <f t="array" ref="X95">IFERROR(SUM(SUMIFS('caseload data'!H:H,'caseload data'!$C:$C,'community %'!$T$92,'caseload data'!$D:$D,"PSO",'caseload data'!$B:$B,{"licence","community"}))/SUM(SUMIFS('caseload data'!H:H,'caseload data'!$B:$B,{"licence","community"},'caseload data'!$C:$C,'community %'!$T$92)),"")</f>
        <v/>
      </c>
      <c r="Y95" s="175" t="str" cm="1">
        <f t="array" ref="Y95">IFERROR(SUM(SUMIFS('caseload data'!I:I,'caseload data'!$C:$C,'community %'!$T$92,'caseload data'!$D:$D,"PSO",'caseload data'!$B:$B,{"licence","community"}))/SUM(SUMIFS('caseload data'!I:I,'caseload data'!$B:$B,{"licence","community"},'caseload data'!$C:$C,'community %'!$T$92)),"")</f>
        <v/>
      </c>
      <c r="Z95" s="175" t="str" cm="1">
        <f t="array" ref="Z95">IFERROR(SUM(SUMIFS('caseload data'!J:J,'caseload data'!$C:$C,'community %'!$T$92,'caseload data'!$D:$D,"PSO",'caseload data'!$B:$B,{"licence","community"}))/SUM(SUMIFS('caseload data'!J:J,'caseload data'!$B:$B,{"licence","community"},'caseload data'!$C:$C,'community %'!$T$92)),"")</f>
        <v/>
      </c>
      <c r="AA95" s="175" t="str" cm="1">
        <f t="array" ref="AA95">IFERROR(SUM(SUMIFS('caseload data'!K:K,'caseload data'!$C:$C,'community %'!$T$92,'caseload data'!$D:$D,"PSO",'caseload data'!$B:$B,{"licence","community"}))/SUM(SUMIFS('caseload data'!K:K,'caseload data'!$B:$B,{"licence","community"},'caseload data'!$C:$C,'community %'!$T$92)),"")</f>
        <v/>
      </c>
      <c r="AB95" s="175" t="str" cm="1">
        <f t="array" ref="AB95">IFERROR(SUM(SUMIFS('caseload data'!L:L,'caseload data'!$C:$C,'community %'!$T$92,'caseload data'!$D:$D,"PSO",'caseload data'!$B:$B,{"licence","community"}))/SUM(SUMIFS('caseload data'!L:L,'caseload data'!$B:$B,{"licence","community"},'caseload data'!$C:$C,'community %'!$T$92)),"")</f>
        <v/>
      </c>
      <c r="AC95" s="175" t="str" cm="1">
        <f t="array" ref="AC95">IFERROR(SUM(SUMIFS('caseload data'!M:M,'caseload data'!$C:$C,'community %'!$T$92,'caseload data'!$D:$D,"PSO",'caseload data'!$B:$B,{"licence","community"}))/SUM(SUMIFS('caseload data'!M:M,'caseload data'!$B:$B,{"licence","community"},'caseload data'!$C:$C,'community %'!$T$92)),"")</f>
        <v/>
      </c>
      <c r="AD95" s="175" t="str" cm="1">
        <f t="array" ref="AD95">IFERROR(SUM(SUMIFS('caseload data'!N:N,'caseload data'!$C:$C,'community %'!$T$92,'caseload data'!$D:$D,"PSO",'caseload data'!$B:$B,{"licence","community"}))/SUM(SUMIFS('caseload data'!N:N,'caseload data'!$B:$B,{"licence","community"},'caseload data'!$C:$C,'community %'!$T$92)),"")</f>
        <v/>
      </c>
      <c r="AE95" s="175" t="str" cm="1">
        <f t="array" ref="AE95">IFERROR(SUM(SUMIFS('caseload data'!O:O,'caseload data'!$C:$C,'community %'!$T$92,'caseload data'!$D:$D,"PSO",'caseload data'!$B:$B,{"licence","community"}))/SUM(SUMIFS('caseload data'!O:O,'caseload data'!$B:$B,{"licence","community"},'caseload data'!$C:$C,'community %'!$T$92)),"")</f>
        <v/>
      </c>
      <c r="AF95" s="175" t="str" cm="1">
        <f t="array" ref="AF95">IFERROR(SUM(SUMIFS('caseload data'!P:P,'caseload data'!$C:$C,'community %'!$T$92,'caseload data'!$D:$D,"PSO",'caseload data'!$B:$B,{"licence","community"}))/SUM(SUMIFS('caseload data'!P:P,'caseload data'!$B:$B,{"licence","community"},'caseload data'!$C:$C,'community %'!$T$92)),"")</f>
        <v/>
      </c>
      <c r="AG95" s="175" t="str" cm="1">
        <f t="array" ref="AG95">IFERROR(SUM(SUMIFS('caseload data'!Q:Q,'caseload data'!$C:$C,'community %'!$T$92,'caseload data'!$D:$D,"PSO",'caseload data'!$B:$B,{"licence","community"}))/SUM(SUMIFS('caseload data'!Q:Q,'caseload data'!$B:$B,{"licence","community"},'caseload data'!$C:$C,'community %'!$T$92)),"")</f>
        <v/>
      </c>
      <c r="AH95" s="175" t="str" cm="1">
        <f t="array" ref="AH95">IFERROR(SUM(SUMIFS('caseload data'!R:R,'caseload data'!$C:$C,'community %'!$T$92,'caseload data'!$D:$D,"PSO",'caseload data'!$B:$B,{"licence","community"}))/SUM(SUMIFS('caseload data'!R:R,'caseload data'!$B:$B,{"licence","community"},'caseload data'!$C:$C,'community %'!$T$92)),"")</f>
        <v/>
      </c>
      <c r="AI95" s="175" t="str" cm="1">
        <f t="array" ref="AI95">IFERROR(SUM(SUMIFS('caseload data'!S:S,'caseload data'!$C:$C,'community %'!$T$92,'caseload data'!$D:$D,"PSO",'caseload data'!$B:$B,{"licence","community"}))/SUM(SUMIFS('caseload data'!S:S,'caseload data'!$B:$B,{"licence","community"},'caseload data'!$C:$C,'community %'!$T$92)),"")</f>
        <v/>
      </c>
      <c r="AJ95" s="175" t="str" cm="1">
        <f t="array" ref="AJ95">IFERROR(SUM(SUMIFS('caseload data'!T:T,'caseload data'!$C:$C,'community %'!$T$92,'caseload data'!$D:$D,"PSO",'caseload data'!$B:$B,{"licence","community"}))/SUM(SUMIFS('caseload data'!T:T,'caseload data'!$B:$B,{"licence","community"},'caseload data'!$C:$C,'community %'!$T$92)),"")</f>
        <v/>
      </c>
    </row>
    <row r="96" spans="2:36" x14ac:dyDescent="0.15">
      <c r="B96" s="101" t="s">
        <v>1173</v>
      </c>
      <c r="C96" s="175" t="str" cm="1">
        <f t="array" ref="C96">IFERROR(SUM(SUMIFS('caseload data'!E:E,'caseload data'!$C:$C,'community %'!$B$92,'caseload data'!$D:$D,"TPO",'caseload data'!$B:$B,{"licence","community"}))/SUM(SUMIFS('caseload data'!E:E,'caseload data'!$B:$B,{"licence","community"},'caseload data'!$C:$C,'community %'!$B$92)),"")</f>
        <v/>
      </c>
      <c r="D96" s="175" t="str" cm="1">
        <f t="array" ref="D96">IFERROR(SUM(SUMIFS('caseload data'!F:F,'caseload data'!$C:$C,'community %'!$B$92,'caseload data'!$D:$D,"TPO",'caseload data'!$B:$B,{"licence","community"}))/SUM(SUMIFS('caseload data'!F:F,'caseload data'!$B:$B,{"licence","community"},'caseload data'!$C:$C,'community %'!$B$92)),"")</f>
        <v/>
      </c>
      <c r="E96" s="175" t="str" cm="1">
        <f t="array" ref="E96">IFERROR(SUM(SUMIFS('caseload data'!G:G,'caseload data'!$C:$C,'community %'!$B$92,'caseload data'!$D:$D,"TPO",'caseload data'!$B:$B,{"licence","community"}))/SUM(SUMIFS('caseload data'!G:G,'caseload data'!$B:$B,{"licence","community"},'caseload data'!$C:$C,'community %'!$B$92)),"")</f>
        <v/>
      </c>
      <c r="F96" s="175" t="str" cm="1">
        <f t="array" ref="F96">IFERROR(SUM(SUMIFS('caseload data'!H:H,'caseload data'!$C:$C,'community %'!$B$92,'caseload data'!$D:$D,"TPO",'caseload data'!$B:$B,{"licence","community"}))/SUM(SUMIFS('caseload data'!H:H,'caseload data'!$B:$B,{"licence","community"},'caseload data'!$C:$C,'community %'!$B$92)),"")</f>
        <v/>
      </c>
      <c r="G96" s="175" t="str" cm="1">
        <f t="array" ref="G96">IFERROR(SUM(SUMIFS('caseload data'!I:I,'caseload data'!$C:$C,'community %'!$B$92,'caseload data'!$D:$D,"TPO",'caseload data'!$B:$B,{"licence","community"}))/SUM(SUMIFS('caseload data'!I:I,'caseload data'!$B:$B,{"licence","community"},'caseload data'!$C:$C,'community %'!$B$92)),"")</f>
        <v/>
      </c>
      <c r="H96" s="175" t="str" cm="1">
        <f t="array" ref="H96">IFERROR(SUM(SUMIFS('caseload data'!J:J,'caseload data'!$C:$C,'community %'!$B$92,'caseload data'!$D:$D,"TPO",'caseload data'!$B:$B,{"licence","community"}))/SUM(SUMIFS('caseload data'!J:J,'caseload data'!$B:$B,{"licence","community"},'caseload data'!$C:$C,'community %'!$B$92)),"")</f>
        <v/>
      </c>
      <c r="I96" s="175" t="str" cm="1">
        <f t="array" ref="I96">IFERROR(SUM(SUMIFS('caseload data'!K:K,'caseload data'!$C:$C,'community %'!$B$92,'caseload data'!$D:$D,"TPO",'caseload data'!$B:$B,{"licence","community"}))/SUM(SUMIFS('caseload data'!K:K,'caseload data'!$B:$B,{"licence","community"},'caseload data'!$C:$C,'community %'!$B$92)),"")</f>
        <v/>
      </c>
      <c r="J96" s="175" t="str" cm="1">
        <f t="array" ref="J96">IFERROR(SUM(SUMIFS('caseload data'!L:L,'caseload data'!$C:$C,'community %'!$B$92,'caseload data'!$D:$D,"TPO",'caseload data'!$B:$B,{"licence","community"}))/SUM(SUMIFS('caseload data'!L:L,'caseload data'!$B:$B,{"licence","community"},'caseload data'!$C:$C,'community %'!$B$92)),"")</f>
        <v/>
      </c>
      <c r="K96" s="175" t="str" cm="1">
        <f t="array" ref="K96">IFERROR(SUM(SUMIFS('caseload data'!M:M,'caseload data'!$C:$C,'community %'!$B$92,'caseload data'!$D:$D,"TPO",'caseload data'!$B:$B,{"licence","community"}))/SUM(SUMIFS('caseload data'!M:M,'caseload data'!$B:$B,{"licence","community"},'caseload data'!$C:$C,'community %'!$B$92)),"")</f>
        <v/>
      </c>
      <c r="L96" s="175" t="str" cm="1">
        <f t="array" ref="L96">IFERROR(SUM(SUMIFS('caseload data'!N:N,'caseload data'!$C:$C,'community %'!$B$92,'caseload data'!$D:$D,"TPO",'caseload data'!$B:$B,{"licence","community"}))/SUM(SUMIFS('caseload data'!N:N,'caseload data'!$B:$B,{"licence","community"},'caseload data'!$C:$C,'community %'!$B$92)),"")</f>
        <v/>
      </c>
      <c r="M96" s="175" t="str" cm="1">
        <f t="array" ref="M96">IFERROR(SUM(SUMIFS('caseload data'!O:O,'caseload data'!$C:$C,'community %'!$B$92,'caseload data'!$D:$D,"TPO",'caseload data'!$B:$B,{"licence","community"}))/SUM(SUMIFS('caseload data'!O:O,'caseload data'!$B:$B,{"licence","community"},'caseload data'!$C:$C,'community %'!$B$92)),"")</f>
        <v/>
      </c>
      <c r="N96" s="175" t="str" cm="1">
        <f t="array" ref="N96">IFERROR(SUM(SUMIFS('caseload data'!P:P,'caseload data'!$C:$C,'community %'!$B$92,'caseload data'!$D:$D,"TPO",'caseload data'!$B:$B,{"licence","community"}))/SUM(SUMIFS('caseload data'!P:P,'caseload data'!$B:$B,{"licence","community"},'caseload data'!$C:$C,'community %'!$B$92)),"")</f>
        <v/>
      </c>
      <c r="O96" s="175" t="str" cm="1">
        <f t="array" ref="O96">IFERROR(SUM(SUMIFS('caseload data'!Q:Q,'caseload data'!$C:$C,'community %'!$B$92,'caseload data'!$D:$D,"TPO",'caseload data'!$B:$B,{"licence","community"}))/SUM(SUMIFS('caseload data'!Q:Q,'caseload data'!$B:$B,{"licence","community"},'caseload data'!$C:$C,'community %'!$B$92)),"")</f>
        <v/>
      </c>
      <c r="P96" s="175" t="str" cm="1">
        <f t="array" ref="P96">IFERROR(SUM(SUMIFS('caseload data'!R:R,'caseload data'!$C:$C,'community %'!$B$92,'caseload data'!$D:$D,"TPO",'caseload data'!$B:$B,{"licence","community"}))/SUM(SUMIFS('caseload data'!R:R,'caseload data'!$B:$B,{"licence","community"},'caseload data'!$C:$C,'community %'!$B$92)),"")</f>
        <v/>
      </c>
      <c r="Q96" s="175" t="str" cm="1">
        <f t="array" ref="Q96">IFERROR(SUM(SUMIFS('caseload data'!S:S,'caseload data'!$C:$C,'community %'!$B$92,'caseload data'!$D:$D,"TPO",'caseload data'!$B:$B,{"licence","community"}))/SUM(SUMIFS('caseload data'!S:S,'caseload data'!$B:$B,{"licence","community"},'caseload data'!$C:$C,'community %'!$B$92)),"")</f>
        <v/>
      </c>
      <c r="R96" s="175" t="str" cm="1">
        <f t="array" ref="R96">IFERROR(SUM(SUMIFS('caseload data'!T:T,'caseload data'!$C:$C,'community %'!$B$92,'caseload data'!$D:$D,"TPO",'caseload data'!$B:$B,{"licence","community"}))/SUM(SUMIFS('caseload data'!T:T,'caseload data'!$B:$B,{"licence","community"},'caseload data'!$C:$C,'community %'!$B$92)),"")</f>
        <v/>
      </c>
      <c r="T96" s="101" t="s">
        <v>1173</v>
      </c>
      <c r="U96" s="175" t="str" cm="1">
        <f t="array" ref="U96">IFERROR(SUM(SUMIFS('caseload data'!E:E,'caseload data'!$C:$C,'community %'!$T$92,'caseload data'!$D:$D,"TPO",'caseload data'!$B:$B,{"licence","community"}))/SUM(SUMIFS('caseload data'!E:E,'caseload data'!$B:$B,{"licence","community"},'caseload data'!$C:$C,'community %'!$T$92)),"")</f>
        <v/>
      </c>
      <c r="V96" s="175" t="str" cm="1">
        <f t="array" ref="V96">IFERROR(SUM(SUMIFS('caseload data'!F:F,'caseload data'!$C:$C,'community %'!$T$92,'caseload data'!$D:$D,"TPO",'caseload data'!$B:$B,{"licence","community"}))/SUM(SUMIFS('caseload data'!F:F,'caseload data'!$B:$B,{"licence","community"},'caseload data'!$C:$C,'community %'!$T$92)),"")</f>
        <v/>
      </c>
      <c r="W96" s="175" t="str" cm="1">
        <f t="array" ref="W96">IFERROR(SUM(SUMIFS('caseload data'!G:G,'caseload data'!$C:$C,'community %'!$T$92,'caseload data'!$D:$D,"TPO",'caseload data'!$B:$B,{"licence","community"}))/SUM(SUMIFS('caseload data'!G:G,'caseload data'!$B:$B,{"licence","community"},'caseload data'!$C:$C,'community %'!$T$92)),"")</f>
        <v/>
      </c>
      <c r="X96" s="175" t="str" cm="1">
        <f t="array" ref="X96">IFERROR(SUM(SUMIFS('caseload data'!H:H,'caseload data'!$C:$C,'community %'!$T$92,'caseload data'!$D:$D,"TPO",'caseload data'!$B:$B,{"licence","community"}))/SUM(SUMIFS('caseload data'!H:H,'caseload data'!$B:$B,{"licence","community"},'caseload data'!$C:$C,'community %'!$T$92)),"")</f>
        <v/>
      </c>
      <c r="Y96" s="175" t="str" cm="1">
        <f t="array" ref="Y96">IFERROR(SUM(SUMIFS('caseload data'!I:I,'caseload data'!$C:$C,'community %'!$T$92,'caseload data'!$D:$D,"TPO",'caseload data'!$B:$B,{"licence","community"}))/SUM(SUMIFS('caseload data'!I:I,'caseload data'!$B:$B,{"licence","community"},'caseload data'!$C:$C,'community %'!$T$92)),"")</f>
        <v/>
      </c>
      <c r="Z96" s="175" t="str" cm="1">
        <f t="array" ref="Z96">IFERROR(SUM(SUMIFS('caseload data'!J:J,'caseload data'!$C:$C,'community %'!$T$92,'caseload data'!$D:$D,"TPO",'caseload data'!$B:$B,{"licence","community"}))/SUM(SUMIFS('caseload data'!J:J,'caseload data'!$B:$B,{"licence","community"},'caseload data'!$C:$C,'community %'!$T$92)),"")</f>
        <v/>
      </c>
      <c r="AA96" s="175" t="str" cm="1">
        <f t="array" ref="AA96">IFERROR(SUM(SUMIFS('caseload data'!K:K,'caseload data'!$C:$C,'community %'!$T$92,'caseload data'!$D:$D,"TPO",'caseload data'!$B:$B,{"licence","community"}))/SUM(SUMIFS('caseload data'!K:K,'caseload data'!$B:$B,{"licence","community"},'caseload data'!$C:$C,'community %'!$T$92)),"")</f>
        <v/>
      </c>
      <c r="AB96" s="175" t="str" cm="1">
        <f t="array" ref="AB96">IFERROR(SUM(SUMIFS('caseload data'!L:L,'caseload data'!$C:$C,'community %'!$T$92,'caseload data'!$D:$D,"TPO",'caseload data'!$B:$B,{"licence","community"}))/SUM(SUMIFS('caseload data'!L:L,'caseload data'!$B:$B,{"licence","community"},'caseload data'!$C:$C,'community %'!$T$92)),"")</f>
        <v/>
      </c>
      <c r="AC96" s="175" t="str" cm="1">
        <f t="array" ref="AC96">IFERROR(SUM(SUMIFS('caseload data'!M:M,'caseload data'!$C:$C,'community %'!$T$92,'caseload data'!$D:$D,"TPO",'caseload data'!$B:$B,{"licence","community"}))/SUM(SUMIFS('caseload data'!M:M,'caseload data'!$B:$B,{"licence","community"},'caseload data'!$C:$C,'community %'!$T$92)),"")</f>
        <v/>
      </c>
      <c r="AD96" s="175" t="str" cm="1">
        <f t="array" ref="AD96">IFERROR(SUM(SUMIFS('caseload data'!N:N,'caseload data'!$C:$C,'community %'!$T$92,'caseload data'!$D:$D,"TPO",'caseload data'!$B:$B,{"licence","community"}))/SUM(SUMIFS('caseload data'!N:N,'caseload data'!$B:$B,{"licence","community"},'caseload data'!$C:$C,'community %'!$T$92)),"")</f>
        <v/>
      </c>
      <c r="AE96" s="175" t="str" cm="1">
        <f t="array" ref="AE96">IFERROR(SUM(SUMIFS('caseload data'!O:O,'caseload data'!$C:$C,'community %'!$T$92,'caseload data'!$D:$D,"TPO",'caseload data'!$B:$B,{"licence","community"}))/SUM(SUMIFS('caseload data'!O:O,'caseload data'!$B:$B,{"licence","community"},'caseload data'!$C:$C,'community %'!$T$92)),"")</f>
        <v/>
      </c>
      <c r="AF96" s="175" t="str" cm="1">
        <f t="array" ref="AF96">IFERROR(SUM(SUMIFS('caseload data'!P:P,'caseload data'!$C:$C,'community %'!$T$92,'caseload data'!$D:$D,"TPO",'caseload data'!$B:$B,{"licence","community"}))/SUM(SUMIFS('caseload data'!P:P,'caseload data'!$B:$B,{"licence","community"},'caseload data'!$C:$C,'community %'!$T$92)),"")</f>
        <v/>
      </c>
      <c r="AG96" s="175" t="str" cm="1">
        <f t="array" ref="AG96">IFERROR(SUM(SUMIFS('caseload data'!Q:Q,'caseload data'!$C:$C,'community %'!$T$92,'caseload data'!$D:$D,"TPO",'caseload data'!$B:$B,{"licence","community"}))/SUM(SUMIFS('caseload data'!Q:Q,'caseload data'!$B:$B,{"licence","community"},'caseload data'!$C:$C,'community %'!$T$92)),"")</f>
        <v/>
      </c>
      <c r="AH96" s="175" t="str" cm="1">
        <f t="array" ref="AH96">IFERROR(SUM(SUMIFS('caseload data'!R:R,'caseload data'!$C:$C,'community %'!$T$92,'caseload data'!$D:$D,"TPO",'caseload data'!$B:$B,{"licence","community"}))/SUM(SUMIFS('caseload data'!R:R,'caseload data'!$B:$B,{"licence","community"},'caseload data'!$C:$C,'community %'!$T$92)),"")</f>
        <v/>
      </c>
      <c r="AI96" s="175" t="str" cm="1">
        <f t="array" ref="AI96">IFERROR(SUM(SUMIFS('caseload data'!S:S,'caseload data'!$C:$C,'community %'!$T$92,'caseload data'!$D:$D,"TPO",'caseload data'!$B:$B,{"licence","community"}))/SUM(SUMIFS('caseload data'!S:S,'caseload data'!$B:$B,{"licence","community"},'caseload data'!$C:$C,'community %'!$T$92)),"")</f>
        <v/>
      </c>
      <c r="AJ96" s="175" t="str" cm="1">
        <f t="array" ref="AJ96">IFERROR(SUM(SUMIFS('caseload data'!T:T,'caseload data'!$C:$C,'community %'!$T$92,'caseload data'!$D:$D,"TPO",'caseload data'!$B:$B,{"licence","community"}))/SUM(SUMIFS('caseload data'!T:T,'caseload data'!$B:$B,{"licence","community"},'caseload data'!$C:$C,'community %'!$T$92)),"")</f>
        <v/>
      </c>
    </row>
    <row r="97" spans="2:36" x14ac:dyDescent="0.15">
      <c r="B97" s="102" t="s">
        <v>1174</v>
      </c>
      <c r="C97" s="175" t="str" cm="1">
        <f t="array" ref="C97">IFERROR(SUM(SUMIFS('caseload data'!E:E,'caseload data'!$C:$C,'community %'!$B$92,'caseload data'!$D:$D,"SPO",'caseload data'!$B:$B,{"licence","community"}))/SUM(SUMIFS('caseload data'!E:E,'caseload data'!$B:$B,{"licence","community"},'caseload data'!$C:$C,'community %'!$B$92)),"")</f>
        <v/>
      </c>
      <c r="D97" s="175" t="str" cm="1">
        <f t="array" ref="D97">IFERROR(SUM(SUMIFS('caseload data'!F:F,'caseload data'!$C:$C,'community %'!$B$92,'caseload data'!$D:$D,"SPO",'caseload data'!$B:$B,{"licence","community"}))/SUM(SUMIFS('caseload data'!F:F,'caseload data'!$B:$B,{"licence","community"},'caseload data'!$C:$C,'community %'!$B$92)),"")</f>
        <v/>
      </c>
      <c r="E97" s="175" t="str" cm="1">
        <f t="array" ref="E97">IFERROR(SUM(SUMIFS('caseload data'!G:G,'caseload data'!$C:$C,'community %'!$B$92,'caseload data'!$D:$D,"SPO",'caseload data'!$B:$B,{"licence","community"}))/SUM(SUMIFS('caseload data'!G:G,'caseload data'!$B:$B,{"licence","community"},'caseload data'!$C:$C,'community %'!$B$92)),"")</f>
        <v/>
      </c>
      <c r="F97" s="175" t="str" cm="1">
        <f t="array" ref="F97">IFERROR(SUM(SUMIFS('caseload data'!H:H,'caseload data'!$C:$C,'community %'!$B$92,'caseload data'!$D:$D,"SPO",'caseload data'!$B:$B,{"licence","community"}))/SUM(SUMIFS('caseload data'!H:H,'caseload data'!$B:$B,{"licence","community"},'caseload data'!$C:$C,'community %'!$B$92)),"")</f>
        <v/>
      </c>
      <c r="G97" s="175" t="str" cm="1">
        <f t="array" ref="G97">IFERROR(SUM(SUMIFS('caseload data'!I:I,'caseload data'!$C:$C,'community %'!$B$92,'caseload data'!$D:$D,"SPO",'caseload data'!$B:$B,{"licence","community"}))/SUM(SUMIFS('caseload data'!I:I,'caseload data'!$B:$B,{"licence","community"},'caseload data'!$C:$C,'community %'!$B$92)),"")</f>
        <v/>
      </c>
      <c r="H97" s="175" t="str" cm="1">
        <f t="array" ref="H97">IFERROR(SUM(SUMIFS('caseload data'!J:J,'caseload data'!$C:$C,'community %'!$B$92,'caseload data'!$D:$D,"SPO",'caseload data'!$B:$B,{"licence","community"}))/SUM(SUMIFS('caseload data'!J:J,'caseload data'!$B:$B,{"licence","community"},'caseload data'!$C:$C,'community %'!$B$92)),"")</f>
        <v/>
      </c>
      <c r="I97" s="175" t="str" cm="1">
        <f t="array" ref="I97">IFERROR(SUM(SUMIFS('caseload data'!K:K,'caseload data'!$C:$C,'community %'!$B$92,'caseload data'!$D:$D,"SPO",'caseload data'!$B:$B,{"licence","community"}))/SUM(SUMIFS('caseload data'!K:K,'caseload data'!$B:$B,{"licence","community"},'caseload data'!$C:$C,'community %'!$B$92)),"")</f>
        <v/>
      </c>
      <c r="J97" s="175" t="str" cm="1">
        <f t="array" ref="J97">IFERROR(SUM(SUMIFS('caseload data'!L:L,'caseload data'!$C:$C,'community %'!$B$92,'caseload data'!$D:$D,"SPO",'caseload data'!$B:$B,{"licence","community"}))/SUM(SUMIFS('caseload data'!L:L,'caseload data'!$B:$B,{"licence","community"},'caseload data'!$C:$C,'community %'!$B$92)),"")</f>
        <v/>
      </c>
      <c r="K97" s="175" t="str" cm="1">
        <f t="array" ref="K97">IFERROR(SUM(SUMIFS('caseload data'!M:M,'caseload data'!$C:$C,'community %'!$B$92,'caseload data'!$D:$D,"SPO",'caseload data'!$B:$B,{"licence","community"}))/SUM(SUMIFS('caseload data'!M:M,'caseload data'!$B:$B,{"licence","community"},'caseload data'!$C:$C,'community %'!$B$92)),"")</f>
        <v/>
      </c>
      <c r="L97" s="175" t="str" cm="1">
        <f t="array" ref="L97">IFERROR(SUM(SUMIFS('caseload data'!N:N,'caseload data'!$C:$C,'community %'!$B$92,'caseload data'!$D:$D,"SPO",'caseload data'!$B:$B,{"licence","community"}))/SUM(SUMIFS('caseload data'!N:N,'caseload data'!$B:$B,{"licence","community"},'caseload data'!$C:$C,'community %'!$B$92)),"")</f>
        <v/>
      </c>
      <c r="M97" s="175" t="str" cm="1">
        <f t="array" ref="M97">IFERROR(SUM(SUMIFS('caseload data'!O:O,'caseload data'!$C:$C,'community %'!$B$92,'caseload data'!$D:$D,"SPO",'caseload data'!$B:$B,{"licence","community"}))/SUM(SUMIFS('caseload data'!O:O,'caseload data'!$B:$B,{"licence","community"},'caseload data'!$C:$C,'community %'!$B$92)),"")</f>
        <v/>
      </c>
      <c r="N97" s="175" t="str" cm="1">
        <f t="array" ref="N97">IFERROR(SUM(SUMIFS('caseload data'!P:P,'caseload data'!$C:$C,'community %'!$B$92,'caseload data'!$D:$D,"SPO",'caseload data'!$B:$B,{"licence","community"}))/SUM(SUMIFS('caseload data'!P:P,'caseload data'!$B:$B,{"licence","community"},'caseload data'!$C:$C,'community %'!$B$92)),"")</f>
        <v/>
      </c>
      <c r="O97" s="175" t="str" cm="1">
        <f t="array" ref="O97">IFERROR(SUM(SUMIFS('caseload data'!Q:Q,'caseload data'!$C:$C,'community %'!$B$92,'caseload data'!$D:$D,"SPO",'caseload data'!$B:$B,{"licence","community"}))/SUM(SUMIFS('caseload data'!Q:Q,'caseload data'!$B:$B,{"licence","community"},'caseload data'!$C:$C,'community %'!$B$92)),"")</f>
        <v/>
      </c>
      <c r="P97" s="175" t="str" cm="1">
        <f t="array" ref="P97">IFERROR(SUM(SUMIFS('caseload data'!R:R,'caseload data'!$C:$C,'community %'!$B$92,'caseload data'!$D:$D,"SPO",'caseload data'!$B:$B,{"licence","community"}))/SUM(SUMIFS('caseload data'!R:R,'caseload data'!$B:$B,{"licence","community"},'caseload data'!$C:$C,'community %'!$B$92)),"")</f>
        <v/>
      </c>
      <c r="Q97" s="175" t="str" cm="1">
        <f t="array" ref="Q97">IFERROR(SUM(SUMIFS('caseload data'!S:S,'caseload data'!$C:$C,'community %'!$B$92,'caseload data'!$D:$D,"SPO",'caseload data'!$B:$B,{"licence","community"}))/SUM(SUMIFS('caseload data'!S:S,'caseload data'!$B:$B,{"licence","community"},'caseload data'!$C:$C,'community %'!$B$92)),"")</f>
        <v/>
      </c>
      <c r="R97" s="175" t="str" cm="1">
        <f t="array" ref="R97">IFERROR(SUM(SUMIFS('caseload data'!T:T,'caseload data'!$C:$C,'community %'!$B$92,'caseload data'!$D:$D,"SPO",'caseload data'!$B:$B,{"licence","community"}))/SUM(SUMIFS('caseload data'!T:T,'caseload data'!$B:$B,{"licence","community"},'caseload data'!$C:$C,'community %'!$B$92)),"")</f>
        <v/>
      </c>
      <c r="T97" s="102" t="s">
        <v>1174</v>
      </c>
      <c r="U97" s="175" t="str" cm="1">
        <f t="array" ref="U97">IFERROR(SUM(SUMIFS('caseload data'!E:E,'caseload data'!$C:$C,'community %'!$T$92,'caseload data'!$D:$D,"SPO",'caseload data'!$B:$B,{"licence","community"}))/SUM(SUMIFS('caseload data'!E:E,'caseload data'!$B:$B,{"licence","community"},'caseload data'!$C:$C,'community %'!$T$92)),"")</f>
        <v/>
      </c>
      <c r="V97" s="175" t="str" cm="1">
        <f t="array" ref="V97">IFERROR(SUM(SUMIFS('caseload data'!F:F,'caseload data'!$C:$C,'community %'!$T$92,'caseload data'!$D:$D,"SPO",'caseload data'!$B:$B,{"licence","community"}))/SUM(SUMIFS('caseload data'!F:F,'caseload data'!$B:$B,{"licence","community"},'caseload data'!$C:$C,'community %'!$T$92)),"")</f>
        <v/>
      </c>
      <c r="W97" s="175" t="str" cm="1">
        <f t="array" ref="W97">IFERROR(SUM(SUMIFS('caseload data'!G:G,'caseload data'!$C:$C,'community %'!$T$92,'caseload data'!$D:$D,"SPO",'caseload data'!$B:$B,{"licence","community"}))/SUM(SUMIFS('caseload data'!G:G,'caseload data'!$B:$B,{"licence","community"},'caseload data'!$C:$C,'community %'!$T$92)),"")</f>
        <v/>
      </c>
      <c r="X97" s="175" t="str" cm="1">
        <f t="array" ref="X97">IFERROR(SUM(SUMIFS('caseload data'!H:H,'caseload data'!$C:$C,'community %'!$T$92,'caseload data'!$D:$D,"SPO",'caseload data'!$B:$B,{"licence","community"}))/SUM(SUMIFS('caseload data'!H:H,'caseload data'!$B:$B,{"licence","community"},'caseload data'!$C:$C,'community %'!$T$92)),"")</f>
        <v/>
      </c>
      <c r="Y97" s="175" t="str" cm="1">
        <f t="array" ref="Y97">IFERROR(SUM(SUMIFS('caseload data'!I:I,'caseload data'!$C:$C,'community %'!$T$92,'caseload data'!$D:$D,"SPO",'caseload data'!$B:$B,{"licence","community"}))/SUM(SUMIFS('caseload data'!I:I,'caseload data'!$B:$B,{"licence","community"},'caseload data'!$C:$C,'community %'!$T$92)),"")</f>
        <v/>
      </c>
      <c r="Z97" s="175" t="str" cm="1">
        <f t="array" ref="Z97">IFERROR(SUM(SUMIFS('caseload data'!J:J,'caseload data'!$C:$C,'community %'!$T$92,'caseload data'!$D:$D,"SPO",'caseload data'!$B:$B,{"licence","community"}))/SUM(SUMIFS('caseload data'!J:J,'caseload data'!$B:$B,{"licence","community"},'caseload data'!$C:$C,'community %'!$T$92)),"")</f>
        <v/>
      </c>
      <c r="AA97" s="175" t="str" cm="1">
        <f t="array" ref="AA97">IFERROR(SUM(SUMIFS('caseload data'!K:K,'caseload data'!$C:$C,'community %'!$T$92,'caseload data'!$D:$D,"SPO",'caseload data'!$B:$B,{"licence","community"}))/SUM(SUMIFS('caseload data'!K:K,'caseload data'!$B:$B,{"licence","community"},'caseload data'!$C:$C,'community %'!$T$92)),"")</f>
        <v/>
      </c>
      <c r="AB97" s="175" t="str" cm="1">
        <f t="array" ref="AB97">IFERROR(SUM(SUMIFS('caseload data'!L:L,'caseload data'!$C:$C,'community %'!$T$92,'caseload data'!$D:$D,"SPO",'caseload data'!$B:$B,{"licence","community"}))/SUM(SUMIFS('caseload data'!L:L,'caseload data'!$B:$B,{"licence","community"},'caseload data'!$C:$C,'community %'!$T$92)),"")</f>
        <v/>
      </c>
      <c r="AC97" s="175" t="str" cm="1">
        <f t="array" ref="AC97">IFERROR(SUM(SUMIFS('caseload data'!M:M,'caseload data'!$C:$C,'community %'!$T$92,'caseload data'!$D:$D,"SPO",'caseload data'!$B:$B,{"licence","community"}))/SUM(SUMIFS('caseload data'!M:M,'caseload data'!$B:$B,{"licence","community"},'caseload data'!$C:$C,'community %'!$T$92)),"")</f>
        <v/>
      </c>
      <c r="AD97" s="175" t="str" cm="1">
        <f t="array" ref="AD97">IFERROR(SUM(SUMIFS('caseload data'!N:N,'caseload data'!$C:$C,'community %'!$T$92,'caseload data'!$D:$D,"SPO",'caseload data'!$B:$B,{"licence","community"}))/SUM(SUMIFS('caseload data'!N:N,'caseload data'!$B:$B,{"licence","community"},'caseload data'!$C:$C,'community %'!$T$92)),"")</f>
        <v/>
      </c>
      <c r="AE97" s="175" t="str" cm="1">
        <f t="array" ref="AE97">IFERROR(SUM(SUMIFS('caseload data'!O:O,'caseload data'!$C:$C,'community %'!$T$92,'caseload data'!$D:$D,"SPO",'caseload data'!$B:$B,{"licence","community"}))/SUM(SUMIFS('caseload data'!O:O,'caseload data'!$B:$B,{"licence","community"},'caseload data'!$C:$C,'community %'!$T$92)),"")</f>
        <v/>
      </c>
      <c r="AF97" s="175" t="str" cm="1">
        <f t="array" ref="AF97">IFERROR(SUM(SUMIFS('caseload data'!P:P,'caseload data'!$C:$C,'community %'!$T$92,'caseload data'!$D:$D,"SPO",'caseload data'!$B:$B,{"licence","community"}))/SUM(SUMIFS('caseload data'!P:P,'caseload data'!$B:$B,{"licence","community"},'caseload data'!$C:$C,'community %'!$T$92)),"")</f>
        <v/>
      </c>
      <c r="AG97" s="175" t="str" cm="1">
        <f t="array" ref="AG97">IFERROR(SUM(SUMIFS('caseload data'!Q:Q,'caseload data'!$C:$C,'community %'!$T$92,'caseload data'!$D:$D,"SPO",'caseload data'!$B:$B,{"licence","community"}))/SUM(SUMIFS('caseload data'!Q:Q,'caseload data'!$B:$B,{"licence","community"},'caseload data'!$C:$C,'community %'!$T$92)),"")</f>
        <v/>
      </c>
      <c r="AH97" s="175" t="str" cm="1">
        <f t="array" ref="AH97">IFERROR(SUM(SUMIFS('caseload data'!R:R,'caseload data'!$C:$C,'community %'!$T$92,'caseload data'!$D:$D,"SPO",'caseload data'!$B:$B,{"licence","community"}))/SUM(SUMIFS('caseload data'!R:R,'caseload data'!$B:$B,{"licence","community"},'caseload data'!$C:$C,'community %'!$T$92)),"")</f>
        <v/>
      </c>
      <c r="AI97" s="175" t="str" cm="1">
        <f t="array" ref="AI97">IFERROR(SUM(SUMIFS('caseload data'!S:S,'caseload data'!$C:$C,'community %'!$T$92,'caseload data'!$D:$D,"SPO",'caseload data'!$B:$B,{"licence","community"}))/SUM(SUMIFS('caseload data'!S:S,'caseload data'!$B:$B,{"licence","community"},'caseload data'!$C:$C,'community %'!$T$92)),"")</f>
        <v/>
      </c>
      <c r="AJ97" s="175" t="str" cm="1">
        <f t="array" ref="AJ97">IFERROR(SUM(SUMIFS('caseload data'!T:T,'caseload data'!$C:$C,'community %'!$T$92,'caseload data'!$D:$D,"SPO",'caseload data'!$B:$B,{"licence","community"}))/SUM(SUMIFS('caseload data'!T:T,'caseload data'!$B:$B,{"licence","community"},'caseload data'!$C:$C,'community %'!$T$92)),"")</f>
        <v/>
      </c>
    </row>
    <row r="99" spans="2:36" ht="22.5" customHeight="1" x14ac:dyDescent="0.15">
      <c r="B99" s="302">
        <f>HLOOKUP($B$5,Region_Table,28,0)</f>
        <v>0</v>
      </c>
      <c r="C99" s="459" t="s">
        <v>1313</v>
      </c>
      <c r="D99" s="460"/>
      <c r="E99" s="460"/>
      <c r="F99" s="460"/>
      <c r="G99" s="460"/>
      <c r="H99" s="460"/>
      <c r="I99" s="460"/>
      <c r="J99" s="460"/>
      <c r="K99" s="460"/>
      <c r="L99" s="460"/>
      <c r="M99" s="489"/>
      <c r="N99" s="489"/>
      <c r="O99" s="490"/>
      <c r="P99" s="462" cm="1">
        <f t="array" ref="P99">SUM(SUMIFS('caseload data'!V:V,'caseload data'!B:B,{"licence","community"},'caseload data'!$C:$C,B99))</f>
        <v>0</v>
      </c>
      <c r="Q99" s="479"/>
      <c r="R99" s="480"/>
      <c r="T99" s="302">
        <f>HLOOKUP($B$5,Region_Table,29,0)</f>
        <v>0</v>
      </c>
      <c r="U99" s="459" t="s">
        <v>1313</v>
      </c>
      <c r="V99" s="460"/>
      <c r="W99" s="460"/>
      <c r="X99" s="460"/>
      <c r="Y99" s="460"/>
      <c r="Z99" s="460"/>
      <c r="AA99" s="460"/>
      <c r="AB99" s="460"/>
      <c r="AC99" s="460"/>
      <c r="AD99" s="460"/>
      <c r="AE99" s="489"/>
      <c r="AF99" s="489"/>
      <c r="AG99" s="490"/>
      <c r="AH99" s="462" cm="1">
        <f t="array" ref="AH99">SUM(SUMIFS('caseload data'!V:V,'caseload data'!B:B,{"licence","community"},'caseload data'!$C:$C,T99))</f>
        <v>0</v>
      </c>
      <c r="AI99" s="479"/>
      <c r="AJ99" s="480"/>
    </row>
    <row r="100" spans="2:36" x14ac:dyDescent="0.15">
      <c r="B100" s="99" t="s">
        <v>1170</v>
      </c>
      <c r="C100" s="40" t="s">
        <v>1022</v>
      </c>
      <c r="D100" s="40" t="s">
        <v>1023</v>
      </c>
      <c r="E100" s="40" t="s">
        <v>1024</v>
      </c>
      <c r="F100" s="40" t="s">
        <v>1025</v>
      </c>
      <c r="G100" s="40" t="s">
        <v>1026</v>
      </c>
      <c r="H100" s="40" t="s">
        <v>1027</v>
      </c>
      <c r="I100" s="40" t="s">
        <v>1028</v>
      </c>
      <c r="J100" s="40" t="s">
        <v>1029</v>
      </c>
      <c r="K100" s="40" t="s">
        <v>1030</v>
      </c>
      <c r="L100" s="40" t="s">
        <v>1031</v>
      </c>
      <c r="M100" s="40" t="s">
        <v>1032</v>
      </c>
      <c r="N100" s="40" t="s">
        <v>1033</v>
      </c>
      <c r="O100" s="40" t="s">
        <v>1034</v>
      </c>
      <c r="P100" s="40" t="s">
        <v>1035</v>
      </c>
      <c r="Q100" s="40" t="s">
        <v>1036</v>
      </c>
      <c r="R100" s="40" t="s">
        <v>1037</v>
      </c>
      <c r="T100" s="304" t="s">
        <v>1170</v>
      </c>
      <c r="U100" s="40" t="s">
        <v>1022</v>
      </c>
      <c r="V100" s="40" t="s">
        <v>1023</v>
      </c>
      <c r="W100" s="40" t="s">
        <v>1024</v>
      </c>
      <c r="X100" s="40" t="s">
        <v>1025</v>
      </c>
      <c r="Y100" s="40" t="s">
        <v>1026</v>
      </c>
      <c r="Z100" s="40" t="s">
        <v>1027</v>
      </c>
      <c r="AA100" s="40" t="s">
        <v>1028</v>
      </c>
      <c r="AB100" s="40" t="s">
        <v>1029</v>
      </c>
      <c r="AC100" s="40" t="s">
        <v>1030</v>
      </c>
      <c r="AD100" s="40" t="s">
        <v>1031</v>
      </c>
      <c r="AE100" s="40" t="s">
        <v>1032</v>
      </c>
      <c r="AF100" s="40" t="s">
        <v>1033</v>
      </c>
      <c r="AG100" s="40" t="s">
        <v>1034</v>
      </c>
      <c r="AH100" s="40" t="s">
        <v>1035</v>
      </c>
      <c r="AI100" s="40" t="s">
        <v>1036</v>
      </c>
      <c r="AJ100" s="40" t="s">
        <v>1037</v>
      </c>
    </row>
    <row r="101" spans="2:36" x14ac:dyDescent="0.15">
      <c r="B101" s="100" t="s">
        <v>1166</v>
      </c>
      <c r="C101" s="175" t="str" cm="1">
        <f t="array" ref="C101">IFERROR(SUM(SUMIFS('caseload data'!E:E,'caseload data'!$C:$C,'community %'!$B$99,'caseload data'!$D:$D,"PO",'caseload data'!$B:$B,{"licence","community"}))/SUM(SUMIFS('caseload data'!E:E,'caseload data'!$B:$B,{"licence","community"},'caseload data'!$C:$C,'community %'!$B$99)),"")</f>
        <v/>
      </c>
      <c r="D101" s="175" t="str" cm="1">
        <f t="array" ref="D101">IFERROR(SUM(SUMIFS('caseload data'!F:F,'caseload data'!$C:$C,'community %'!$B$99,'caseload data'!$D:$D,"PO",'caseload data'!$B:$B,{"licence","community"}))/SUM(SUMIFS('caseload data'!F:F,'caseload data'!$B:$B,{"licence","community"},'caseload data'!$C:$C,'community %'!$B$99)),"")</f>
        <v/>
      </c>
      <c r="E101" s="175" t="str" cm="1">
        <f t="array" ref="E101">IFERROR(SUM(SUMIFS('caseload data'!G:G,'caseload data'!$C:$C,'community %'!$B$99,'caseload data'!$D:$D,"PO",'caseload data'!$B:$B,{"licence","community"}))/SUM(SUMIFS('caseload data'!G:G,'caseload data'!$B:$B,{"licence","community"},'caseload data'!$C:$C,'community %'!$B$99)),"")</f>
        <v/>
      </c>
      <c r="F101" s="175" t="str" cm="1">
        <f t="array" ref="F101">IFERROR(SUM(SUMIFS('caseload data'!H:H,'caseload data'!$C:$C,'community %'!$B$99,'caseload data'!$D:$D,"PO",'caseload data'!$B:$B,{"licence","community"}))/SUM(SUMIFS('caseload data'!H:H,'caseload data'!$B:$B,{"licence","community"},'caseload data'!$C:$C,'community %'!$B$99)),"")</f>
        <v/>
      </c>
      <c r="G101" s="175" t="str" cm="1">
        <f t="array" ref="G101">IFERROR(SUM(SUMIFS('caseload data'!I:I,'caseload data'!$C:$C,'community %'!$B$99,'caseload data'!$D:$D,"PO",'caseload data'!$B:$B,{"licence","community"}))/SUM(SUMIFS('caseload data'!I:I,'caseload data'!$B:$B,{"licence","community"},'caseload data'!$C:$C,'community %'!$B$99)),"")</f>
        <v/>
      </c>
      <c r="H101" s="175" t="str" cm="1">
        <f t="array" ref="H101">IFERROR(SUM(SUMIFS('caseload data'!J:J,'caseload data'!$C:$C,'community %'!$B$99,'caseload data'!$D:$D,"PO",'caseload data'!$B:$B,{"licence","community"}))/SUM(SUMIFS('caseload data'!J:J,'caseload data'!$B:$B,{"licence","community"},'caseload data'!$C:$C,'community %'!$B$99)),"")</f>
        <v/>
      </c>
      <c r="I101" s="175" t="str" cm="1">
        <f t="array" ref="I101">IFERROR(SUM(SUMIFS('caseload data'!K:K,'caseload data'!$C:$C,'community %'!$B$99,'caseload data'!$D:$D,"PO",'caseload data'!$B:$B,{"licence","community"}))/SUM(SUMIFS('caseload data'!K:K,'caseload data'!$B:$B,{"licence","community"},'caseload data'!$C:$C,'community %'!$B$99)),"")</f>
        <v/>
      </c>
      <c r="J101" s="175" t="str" cm="1">
        <f t="array" ref="J101">IFERROR(SUM(SUMIFS('caseload data'!L:L,'caseload data'!$C:$C,'community %'!$B$99,'caseload data'!$D:$D,"PO",'caseload data'!$B:$B,{"licence","community"}))/SUM(SUMIFS('caseload data'!L:L,'caseload data'!$B:$B,{"licence","community"},'caseload data'!$C:$C,'community %'!$B$99)),"")</f>
        <v/>
      </c>
      <c r="K101" s="175" t="str" cm="1">
        <f t="array" ref="K101">IFERROR(SUM(SUMIFS('caseload data'!M:M,'caseload data'!$C:$C,'community %'!$B$99,'caseload data'!$D:$D,"PO",'caseload data'!$B:$B,{"licence","community"}))/SUM(SUMIFS('caseload data'!M:M,'caseload data'!$B:$B,{"licence","community"},'caseload data'!$C:$C,'community %'!$B$99)),"")</f>
        <v/>
      </c>
      <c r="L101" s="175" t="str" cm="1">
        <f t="array" ref="L101">IFERROR(SUM(SUMIFS('caseload data'!N:N,'caseload data'!$C:$C,'community %'!$B$99,'caseload data'!$D:$D,"PO",'caseload data'!$B:$B,{"licence","community"}))/SUM(SUMIFS('caseload data'!N:N,'caseload data'!$B:$B,{"licence","community"},'caseload data'!$C:$C,'community %'!$B$99)),"")</f>
        <v/>
      </c>
      <c r="M101" s="175" t="str" cm="1">
        <f t="array" ref="M101">IFERROR(SUM(SUMIFS('caseload data'!O:O,'caseload data'!$C:$C,'community %'!$B$99,'caseload data'!$D:$D,"PO",'caseload data'!$B:$B,{"licence","community"}))/SUM(SUMIFS('caseload data'!O:O,'caseload data'!$B:$B,{"licence","community"},'caseload data'!$C:$C,'community %'!$B$99)),"")</f>
        <v/>
      </c>
      <c r="N101" s="175" t="str" cm="1">
        <f t="array" ref="N101">IFERROR(SUM(SUMIFS('caseload data'!P:P,'caseload data'!$C:$C,'community %'!$B$99,'caseload data'!$D:$D,"PO",'caseload data'!$B:$B,{"licence","community"}))/SUM(SUMIFS('caseload data'!P:P,'caseload data'!$B:$B,{"licence","community"},'caseload data'!$C:$C,'community %'!$B$99)),"")</f>
        <v/>
      </c>
      <c r="O101" s="175" t="str" cm="1">
        <f t="array" ref="O101">IFERROR(SUM(SUMIFS('caseload data'!Q:Q,'caseload data'!$C:$C,'community %'!$B$99,'caseload data'!$D:$D,"PO",'caseload data'!$B:$B,{"licence","community"}))/SUM(SUMIFS('caseload data'!Q:Q,'caseload data'!$B:$B,{"licence","community"},'caseload data'!$C:$C,'community %'!$B$99)),"")</f>
        <v/>
      </c>
      <c r="P101" s="175" t="str" cm="1">
        <f t="array" ref="P101">IFERROR(SUM(SUMIFS('caseload data'!R:R,'caseload data'!$C:$C,'community %'!$B$99,'caseload data'!$D:$D,"PO",'caseload data'!$B:$B,{"licence","community"}))/SUM(SUMIFS('caseload data'!R:R,'caseload data'!$B:$B,{"licence","community"},'caseload data'!$C:$C,'community %'!$B$99)),"")</f>
        <v/>
      </c>
      <c r="Q101" s="175" t="str" cm="1">
        <f t="array" ref="Q101">IFERROR(SUM(SUMIFS('caseload data'!S:S,'caseload data'!$C:$C,'community %'!$B$99,'caseload data'!$D:$D,"PO",'caseload data'!$B:$B,{"licence","community"}))/SUM(SUMIFS('caseload data'!S:S,'caseload data'!$B:$B,{"licence","community"},'caseload data'!$C:$C,'community %'!$B$99)),"")</f>
        <v/>
      </c>
      <c r="R101" s="175" t="str" cm="1">
        <f t="array" ref="R101">IFERROR(SUM(SUMIFS('caseload data'!T:T,'caseload data'!$C:$C,'community %'!$B$99,'caseload data'!$D:$D,"PO",'caseload data'!$B:$B,{"licence","community"}))/SUM(SUMIFS('caseload data'!T:T,'caseload data'!$B:$B,{"licence","community"},'caseload data'!$C:$C,'community %'!$B$99)),"")</f>
        <v/>
      </c>
      <c r="T101" s="100" t="s">
        <v>1166</v>
      </c>
      <c r="U101" s="175" t="str" cm="1">
        <f t="array" ref="U101">IFERROR(SUM(SUMIFS('caseload data'!E:E,'caseload data'!$C:$C,'community %'!$T$99,'caseload data'!$D:$D,"PO",'caseload data'!$B:$B,{"licence","community"}))/SUM(SUMIFS('caseload data'!E:E,'caseload data'!$B:$B,{"licence","community"},'caseload data'!$C:$C,'community %'!$T$99)),"")</f>
        <v/>
      </c>
      <c r="V101" s="175" t="str" cm="1">
        <f t="array" ref="V101">IFERROR(SUM(SUMIFS('caseload data'!F:F,'caseload data'!$C:$C,'community %'!$T$99,'caseload data'!$D:$D,"PO",'caseload data'!$B:$B,{"licence","community"}))/SUM(SUMIFS('caseload data'!F:F,'caseload data'!$B:$B,{"licence","community"},'caseload data'!$C:$C,'community %'!$T$99)),"")</f>
        <v/>
      </c>
      <c r="W101" s="175" t="str" cm="1">
        <f t="array" ref="W101">IFERROR(SUM(SUMIFS('caseload data'!G:G,'caseload data'!$C:$C,'community %'!$T$99,'caseload data'!$D:$D,"PO",'caseload data'!$B:$B,{"licence","community"}))/SUM(SUMIFS('caseload data'!G:G,'caseload data'!$B:$B,{"licence","community"},'caseload data'!$C:$C,'community %'!$T$99)),"")</f>
        <v/>
      </c>
      <c r="X101" s="175" t="str" cm="1">
        <f t="array" ref="X101">IFERROR(SUM(SUMIFS('caseload data'!H:H,'caseload data'!$C:$C,'community %'!$T$99,'caseload data'!$D:$D,"PO",'caseload data'!$B:$B,{"licence","community"}))/SUM(SUMIFS('caseload data'!H:H,'caseload data'!$B:$B,{"licence","community"},'caseload data'!$C:$C,'community %'!$T$99)),"")</f>
        <v/>
      </c>
      <c r="Y101" s="175" t="str" cm="1">
        <f t="array" ref="Y101">IFERROR(SUM(SUMIFS('caseload data'!I:I,'caseload data'!$C:$C,'community %'!$T$99,'caseload data'!$D:$D,"PO",'caseload data'!$B:$B,{"licence","community"}))/SUM(SUMIFS('caseload data'!I:I,'caseload data'!$B:$B,{"licence","community"},'caseload data'!$C:$C,'community %'!$T$99)),"")</f>
        <v/>
      </c>
      <c r="Z101" s="175" t="str" cm="1">
        <f t="array" ref="Z101">IFERROR(SUM(SUMIFS('caseload data'!J:J,'caseload data'!$C:$C,'community %'!$T$99,'caseload data'!$D:$D,"PO",'caseload data'!$B:$B,{"licence","community"}))/SUM(SUMIFS('caseload data'!J:J,'caseload data'!$B:$B,{"licence","community"},'caseload data'!$C:$C,'community %'!$T$99)),"")</f>
        <v/>
      </c>
      <c r="AA101" s="175" t="str" cm="1">
        <f t="array" ref="AA101">IFERROR(SUM(SUMIFS('caseload data'!K:K,'caseload data'!$C:$C,'community %'!$T$99,'caseload data'!$D:$D,"PO",'caseload data'!$B:$B,{"licence","community"}))/SUM(SUMIFS('caseload data'!K:K,'caseload data'!$B:$B,{"licence","community"},'caseload data'!$C:$C,'community %'!$T$99)),"")</f>
        <v/>
      </c>
      <c r="AB101" s="175" t="str" cm="1">
        <f t="array" ref="AB101">IFERROR(SUM(SUMIFS('caseload data'!L:L,'caseload data'!$C:$C,'community %'!$T$99,'caseload data'!$D:$D,"PO",'caseload data'!$B:$B,{"licence","community"}))/SUM(SUMIFS('caseload data'!L:L,'caseload data'!$B:$B,{"licence","community"},'caseload data'!$C:$C,'community %'!$T$99)),"")</f>
        <v/>
      </c>
      <c r="AC101" s="175" t="str" cm="1">
        <f t="array" ref="AC101">IFERROR(SUM(SUMIFS('caseload data'!M:M,'caseload data'!$C:$C,'community %'!$T$99,'caseload data'!$D:$D,"PO",'caseload data'!$B:$B,{"licence","community"}))/SUM(SUMIFS('caseload data'!M:M,'caseload data'!$B:$B,{"licence","community"},'caseload data'!$C:$C,'community %'!$T$99)),"")</f>
        <v/>
      </c>
      <c r="AD101" s="175" t="str" cm="1">
        <f t="array" ref="AD101">IFERROR(SUM(SUMIFS('caseload data'!N:N,'caseload data'!$C:$C,'community %'!$T$99,'caseload data'!$D:$D,"PO",'caseload data'!$B:$B,{"licence","community"}))/SUM(SUMIFS('caseload data'!N:N,'caseload data'!$B:$B,{"licence","community"},'caseload data'!$C:$C,'community %'!$T$99)),"")</f>
        <v/>
      </c>
      <c r="AE101" s="175" t="str" cm="1">
        <f t="array" ref="AE101">IFERROR(SUM(SUMIFS('caseload data'!O:O,'caseload data'!$C:$C,'community %'!$T$99,'caseload data'!$D:$D,"PO",'caseload data'!$B:$B,{"licence","community"}))/SUM(SUMIFS('caseload data'!O:O,'caseload data'!$B:$B,{"licence","community"},'caseload data'!$C:$C,'community %'!$T$99)),"")</f>
        <v/>
      </c>
      <c r="AF101" s="175" t="str" cm="1">
        <f t="array" ref="AF101">IFERROR(SUM(SUMIFS('caseload data'!P:P,'caseload data'!$C:$C,'community %'!$T$99,'caseload data'!$D:$D,"PO",'caseload data'!$B:$B,{"licence","community"}))/SUM(SUMIFS('caseload data'!P:P,'caseload data'!$B:$B,{"licence","community"},'caseload data'!$C:$C,'community %'!$T$99)),"")</f>
        <v/>
      </c>
      <c r="AG101" s="175" t="str" cm="1">
        <f t="array" ref="AG101">IFERROR(SUM(SUMIFS('caseload data'!Q:Q,'caseload data'!$C:$C,'community %'!$T$99,'caseload data'!$D:$D,"PO",'caseload data'!$B:$B,{"licence","community"}))/SUM(SUMIFS('caseload data'!Q:Q,'caseload data'!$B:$B,{"licence","community"},'caseload data'!$C:$C,'community %'!$T$99)),"")</f>
        <v/>
      </c>
      <c r="AH101" s="175" t="str" cm="1">
        <f t="array" ref="AH101">IFERROR(SUM(SUMIFS('caseload data'!R:R,'caseload data'!$C:$C,'community %'!$T$99,'caseload data'!$D:$D,"PO",'caseload data'!$B:$B,{"licence","community"}))/SUM(SUMIFS('caseload data'!R:R,'caseload data'!$B:$B,{"licence","community"},'caseload data'!$C:$C,'community %'!$T$99)),"")</f>
        <v/>
      </c>
      <c r="AI101" s="175" t="str" cm="1">
        <f t="array" ref="AI101">IFERROR(SUM(SUMIFS('caseload data'!S:S,'caseload data'!$C:$C,'community %'!$T$99,'caseload data'!$D:$D,"PO",'caseload data'!$B:$B,{"licence","community"}))/SUM(SUMIFS('caseload data'!S:S,'caseload data'!$B:$B,{"licence","community"},'caseload data'!$C:$C,'community %'!$T$99)),"")</f>
        <v/>
      </c>
      <c r="AJ101" s="175" t="str" cm="1">
        <f t="array" ref="AJ101">IFERROR(SUM(SUMIFS('caseload data'!T:T,'caseload data'!$C:$C,'community %'!$T$99,'caseload data'!$D:$D,"PO",'caseload data'!$B:$B,{"licence","community"}))/SUM(SUMIFS('caseload data'!T:T,'caseload data'!$B:$B,{"licence","community"},'caseload data'!$C:$C,'community %'!$T$99)),"")</f>
        <v/>
      </c>
    </row>
    <row r="102" spans="2:36" x14ac:dyDescent="0.15">
      <c r="B102" s="101" t="s">
        <v>1172</v>
      </c>
      <c r="C102" s="175" t="str" cm="1">
        <f t="array" ref="C102">IFERROR(SUM(SUMIFS('caseload data'!E:E,'caseload data'!$C:$C,'community %'!$B$99,'caseload data'!$D:$D,"PSO",'caseload data'!$B:$B,{"licence","community"}))/SUM(SUMIFS('caseload data'!E:E,'caseload data'!$B:$B,{"licence","community"},'caseload data'!$C:$C,'community %'!$B$99)),"")</f>
        <v/>
      </c>
      <c r="D102" s="175" t="str" cm="1">
        <f t="array" ref="D102">IFERROR(SUM(SUMIFS('caseload data'!F:F,'caseload data'!$C:$C,'community %'!$B$99,'caseload data'!$D:$D,"PSO",'caseload data'!$B:$B,{"licence","community"}))/SUM(SUMIFS('caseload data'!F:F,'caseload data'!$B:$B,{"licence","community"},'caseload data'!$C:$C,'community %'!$B$99)),"")</f>
        <v/>
      </c>
      <c r="E102" s="175" t="str" cm="1">
        <f t="array" ref="E102">IFERROR(SUM(SUMIFS('caseload data'!G:G,'caseload data'!$C:$C,'community %'!$B$99,'caseload data'!$D:$D,"PSO",'caseload data'!$B:$B,{"licence","community"}))/SUM(SUMIFS('caseload data'!G:G,'caseload data'!$B:$B,{"licence","community"},'caseload data'!$C:$C,'community %'!$B$99)),"")</f>
        <v/>
      </c>
      <c r="F102" s="175" t="str" cm="1">
        <f t="array" ref="F102">IFERROR(SUM(SUMIFS('caseload data'!H:H,'caseload data'!$C:$C,'community %'!$B$99,'caseload data'!$D:$D,"PSO",'caseload data'!$B:$B,{"licence","community"}))/SUM(SUMIFS('caseload data'!H:H,'caseload data'!$B:$B,{"licence","community"},'caseload data'!$C:$C,'community %'!$B$99)),"")</f>
        <v/>
      </c>
      <c r="G102" s="175" t="str" cm="1">
        <f t="array" ref="G102">IFERROR(SUM(SUMIFS('caseload data'!I:I,'caseload data'!$C:$C,'community %'!$B$99,'caseload data'!$D:$D,"PSO",'caseload data'!$B:$B,{"licence","community"}))/SUM(SUMIFS('caseload data'!I:I,'caseload data'!$B:$B,{"licence","community"},'caseload data'!$C:$C,'community %'!$B$99)),"")</f>
        <v/>
      </c>
      <c r="H102" s="175" t="str" cm="1">
        <f t="array" ref="H102">IFERROR(SUM(SUMIFS('caseload data'!J:J,'caseload data'!$C:$C,'community %'!$B$99,'caseload data'!$D:$D,"PSO",'caseload data'!$B:$B,{"licence","community"}))/SUM(SUMIFS('caseload data'!J:J,'caseload data'!$B:$B,{"licence","community"},'caseload data'!$C:$C,'community %'!$B$99)),"")</f>
        <v/>
      </c>
      <c r="I102" s="175" t="str" cm="1">
        <f t="array" ref="I102">IFERROR(SUM(SUMIFS('caseload data'!K:K,'caseload data'!$C:$C,'community %'!$B$99,'caseload data'!$D:$D,"PSO",'caseload data'!$B:$B,{"licence","community"}))/SUM(SUMIFS('caseload data'!K:K,'caseload data'!$B:$B,{"licence","community"},'caseload data'!$C:$C,'community %'!$B$99)),"")</f>
        <v/>
      </c>
      <c r="J102" s="175" t="str" cm="1">
        <f t="array" ref="J102">IFERROR(SUM(SUMIFS('caseload data'!L:L,'caseload data'!$C:$C,'community %'!$B$99,'caseload data'!$D:$D,"PSO",'caseload data'!$B:$B,{"licence","community"}))/SUM(SUMIFS('caseload data'!L:L,'caseload data'!$B:$B,{"licence","community"},'caseload data'!$C:$C,'community %'!$B$99)),"")</f>
        <v/>
      </c>
      <c r="K102" s="175" t="str" cm="1">
        <f t="array" ref="K102">IFERROR(SUM(SUMIFS('caseload data'!M:M,'caseload data'!$C:$C,'community %'!$B$99,'caseload data'!$D:$D,"PSO",'caseload data'!$B:$B,{"licence","community"}))/SUM(SUMIFS('caseload data'!M:M,'caseload data'!$B:$B,{"licence","community"},'caseload data'!$C:$C,'community %'!$B$99)),"")</f>
        <v/>
      </c>
      <c r="L102" s="175" t="str" cm="1">
        <f t="array" ref="L102">IFERROR(SUM(SUMIFS('caseload data'!N:N,'caseload data'!$C:$C,'community %'!$B$99,'caseload data'!$D:$D,"PSO",'caseload data'!$B:$B,{"licence","community"}))/SUM(SUMIFS('caseload data'!N:N,'caseload data'!$B:$B,{"licence","community"},'caseload data'!$C:$C,'community %'!$B$99)),"")</f>
        <v/>
      </c>
      <c r="M102" s="175" t="str" cm="1">
        <f t="array" ref="M102">IFERROR(SUM(SUMIFS('caseload data'!O:O,'caseload data'!$C:$C,'community %'!$B$99,'caseload data'!$D:$D,"PSO",'caseload data'!$B:$B,{"licence","community"}))/SUM(SUMIFS('caseload data'!O:O,'caseload data'!$B:$B,{"licence","community"},'caseload data'!$C:$C,'community %'!$B$99)),"")</f>
        <v/>
      </c>
      <c r="N102" s="175" t="str" cm="1">
        <f t="array" ref="N102">IFERROR(SUM(SUMIFS('caseload data'!P:P,'caseload data'!$C:$C,'community %'!$B$99,'caseload data'!$D:$D,"PSO",'caseload data'!$B:$B,{"licence","community"}))/SUM(SUMIFS('caseload data'!P:P,'caseload data'!$B:$B,{"licence","community"},'caseload data'!$C:$C,'community %'!$B$99)),"")</f>
        <v/>
      </c>
      <c r="O102" s="175" t="str" cm="1">
        <f t="array" ref="O102">IFERROR(SUM(SUMIFS('caseload data'!Q:Q,'caseload data'!$C:$C,'community %'!$B$99,'caseload data'!$D:$D,"PSO",'caseload data'!$B:$B,{"licence","community"}))/SUM(SUMIFS('caseload data'!Q:Q,'caseload data'!$B:$B,{"licence","community"},'caseload data'!$C:$C,'community %'!$B$99)),"")</f>
        <v/>
      </c>
      <c r="P102" s="175" t="str" cm="1">
        <f t="array" ref="P102">IFERROR(SUM(SUMIFS('caseload data'!R:R,'caseload data'!$C:$C,'community %'!$B$99,'caseload data'!$D:$D,"PSO",'caseload data'!$B:$B,{"licence","community"}))/SUM(SUMIFS('caseload data'!R:R,'caseload data'!$B:$B,{"licence","community"},'caseload data'!$C:$C,'community %'!$B$99)),"")</f>
        <v/>
      </c>
      <c r="Q102" s="175" t="str" cm="1">
        <f t="array" ref="Q102">IFERROR(SUM(SUMIFS('caseload data'!S:S,'caseload data'!$C:$C,'community %'!$B$99,'caseload data'!$D:$D,"PSO",'caseload data'!$B:$B,{"licence","community"}))/SUM(SUMIFS('caseload data'!S:S,'caseload data'!$B:$B,{"licence","community"},'caseload data'!$C:$C,'community %'!$B$99)),"")</f>
        <v/>
      </c>
      <c r="R102" s="175" t="str" cm="1">
        <f t="array" ref="R102">IFERROR(SUM(SUMIFS('caseload data'!T:T,'caseload data'!$C:$C,'community %'!$B$99,'caseload data'!$D:$D,"PSO",'caseload data'!$B:$B,{"licence","community"}))/SUM(SUMIFS('caseload data'!T:T,'caseload data'!$B:$B,{"licence","community"},'caseload data'!$C:$C,'community %'!$B$99)),"")</f>
        <v/>
      </c>
      <c r="T102" s="101" t="s">
        <v>1172</v>
      </c>
      <c r="U102" s="175" t="str" cm="1">
        <f t="array" ref="U102">IFERROR(SUM(SUMIFS('caseload data'!E:E,'caseload data'!$C:$C,'community %'!$T$99,'caseload data'!$D:$D,"PSO",'caseload data'!$B:$B,{"licence","community"}))/SUM(SUMIFS('caseload data'!E:E,'caseload data'!$B:$B,{"licence","community"},'caseload data'!$C:$C,'community %'!$T$99)),"")</f>
        <v/>
      </c>
      <c r="V102" s="175" t="str" cm="1">
        <f t="array" ref="V102">IFERROR(SUM(SUMIFS('caseload data'!F:F,'caseload data'!$C:$C,'community %'!$T$99,'caseload data'!$D:$D,"PSO",'caseload data'!$B:$B,{"licence","community"}))/SUM(SUMIFS('caseload data'!F:F,'caseload data'!$B:$B,{"licence","community"},'caseload data'!$C:$C,'community %'!$T$99)),"")</f>
        <v/>
      </c>
      <c r="W102" s="175" t="str" cm="1">
        <f t="array" ref="W102">IFERROR(SUM(SUMIFS('caseload data'!G:G,'caseload data'!$C:$C,'community %'!$T$99,'caseload data'!$D:$D,"PSO",'caseload data'!$B:$B,{"licence","community"}))/SUM(SUMIFS('caseload data'!G:G,'caseload data'!$B:$B,{"licence","community"},'caseload data'!$C:$C,'community %'!$T$99)),"")</f>
        <v/>
      </c>
      <c r="X102" s="175" t="str" cm="1">
        <f t="array" ref="X102">IFERROR(SUM(SUMIFS('caseload data'!H:H,'caseload data'!$C:$C,'community %'!$T$99,'caseload data'!$D:$D,"PSO",'caseload data'!$B:$B,{"licence","community"}))/SUM(SUMIFS('caseload data'!H:H,'caseload data'!$B:$B,{"licence","community"},'caseload data'!$C:$C,'community %'!$T$99)),"")</f>
        <v/>
      </c>
      <c r="Y102" s="175" t="str" cm="1">
        <f t="array" ref="Y102">IFERROR(SUM(SUMIFS('caseload data'!I:I,'caseload data'!$C:$C,'community %'!$T$99,'caseload data'!$D:$D,"PSO",'caseload data'!$B:$B,{"licence","community"}))/SUM(SUMIFS('caseload data'!I:I,'caseload data'!$B:$B,{"licence","community"},'caseload data'!$C:$C,'community %'!$T$99)),"")</f>
        <v/>
      </c>
      <c r="Z102" s="175" t="str" cm="1">
        <f t="array" ref="Z102">IFERROR(SUM(SUMIFS('caseload data'!J:J,'caseload data'!$C:$C,'community %'!$T$99,'caseload data'!$D:$D,"PSO",'caseload data'!$B:$B,{"licence","community"}))/SUM(SUMIFS('caseload data'!J:J,'caseload data'!$B:$B,{"licence","community"},'caseload data'!$C:$C,'community %'!$T$99)),"")</f>
        <v/>
      </c>
      <c r="AA102" s="175" t="str" cm="1">
        <f t="array" ref="AA102">IFERROR(SUM(SUMIFS('caseload data'!K:K,'caseload data'!$C:$C,'community %'!$T$99,'caseload data'!$D:$D,"PSO",'caseload data'!$B:$B,{"licence","community"}))/SUM(SUMIFS('caseload data'!K:K,'caseload data'!$B:$B,{"licence","community"},'caseload data'!$C:$C,'community %'!$T$99)),"")</f>
        <v/>
      </c>
      <c r="AB102" s="175" t="str" cm="1">
        <f t="array" ref="AB102">IFERROR(SUM(SUMIFS('caseload data'!L:L,'caseload data'!$C:$C,'community %'!$T$99,'caseload data'!$D:$D,"PSO",'caseload data'!$B:$B,{"licence","community"}))/SUM(SUMIFS('caseload data'!L:L,'caseload data'!$B:$B,{"licence","community"},'caseload data'!$C:$C,'community %'!$T$99)),"")</f>
        <v/>
      </c>
      <c r="AC102" s="175" t="str" cm="1">
        <f t="array" ref="AC102">IFERROR(SUM(SUMIFS('caseload data'!M:M,'caseload data'!$C:$C,'community %'!$T$99,'caseload data'!$D:$D,"PSO",'caseload data'!$B:$B,{"licence","community"}))/SUM(SUMIFS('caseload data'!M:M,'caseload data'!$B:$B,{"licence","community"},'caseload data'!$C:$C,'community %'!$T$99)),"")</f>
        <v/>
      </c>
      <c r="AD102" s="175" t="str" cm="1">
        <f t="array" ref="AD102">IFERROR(SUM(SUMIFS('caseload data'!N:N,'caseload data'!$C:$C,'community %'!$T$99,'caseload data'!$D:$D,"PSO",'caseload data'!$B:$B,{"licence","community"}))/SUM(SUMIFS('caseload data'!N:N,'caseload data'!$B:$B,{"licence","community"},'caseload data'!$C:$C,'community %'!$T$99)),"")</f>
        <v/>
      </c>
      <c r="AE102" s="175" t="str" cm="1">
        <f t="array" ref="AE102">IFERROR(SUM(SUMIFS('caseload data'!O:O,'caseload data'!$C:$C,'community %'!$T$99,'caseload data'!$D:$D,"PSO",'caseload data'!$B:$B,{"licence","community"}))/SUM(SUMIFS('caseload data'!O:O,'caseload data'!$B:$B,{"licence","community"},'caseload data'!$C:$C,'community %'!$T$99)),"")</f>
        <v/>
      </c>
      <c r="AF102" s="175" t="str" cm="1">
        <f t="array" ref="AF102">IFERROR(SUM(SUMIFS('caseload data'!P:P,'caseload data'!$C:$C,'community %'!$T$99,'caseload data'!$D:$D,"PSO",'caseload data'!$B:$B,{"licence","community"}))/SUM(SUMIFS('caseload data'!P:P,'caseload data'!$B:$B,{"licence","community"},'caseload data'!$C:$C,'community %'!$T$99)),"")</f>
        <v/>
      </c>
      <c r="AG102" s="175" t="str" cm="1">
        <f t="array" ref="AG102">IFERROR(SUM(SUMIFS('caseload data'!Q:Q,'caseload data'!$C:$C,'community %'!$T$99,'caseload data'!$D:$D,"PSO",'caseload data'!$B:$B,{"licence","community"}))/SUM(SUMIFS('caseload data'!Q:Q,'caseload data'!$B:$B,{"licence","community"},'caseload data'!$C:$C,'community %'!$T$99)),"")</f>
        <v/>
      </c>
      <c r="AH102" s="175" t="str" cm="1">
        <f t="array" ref="AH102">IFERROR(SUM(SUMIFS('caseload data'!R:R,'caseload data'!$C:$C,'community %'!$T$99,'caseload data'!$D:$D,"PSO",'caseload data'!$B:$B,{"licence","community"}))/SUM(SUMIFS('caseload data'!R:R,'caseload data'!$B:$B,{"licence","community"},'caseload data'!$C:$C,'community %'!$T$99)),"")</f>
        <v/>
      </c>
      <c r="AI102" s="175" t="str" cm="1">
        <f t="array" ref="AI102">IFERROR(SUM(SUMIFS('caseload data'!S:S,'caseload data'!$C:$C,'community %'!$T$99,'caseload data'!$D:$D,"PSO",'caseload data'!$B:$B,{"licence","community"}))/SUM(SUMIFS('caseload data'!S:S,'caseload data'!$B:$B,{"licence","community"},'caseload data'!$C:$C,'community %'!$T$99)),"")</f>
        <v/>
      </c>
      <c r="AJ102" s="175" t="str" cm="1">
        <f t="array" ref="AJ102">IFERROR(SUM(SUMIFS('caseload data'!T:T,'caseload data'!$C:$C,'community %'!$T$99,'caseload data'!$D:$D,"PSO",'caseload data'!$B:$B,{"licence","community"}))/SUM(SUMIFS('caseload data'!T:T,'caseload data'!$B:$B,{"licence","community"},'caseload data'!$C:$C,'community %'!$T$99)),"")</f>
        <v/>
      </c>
    </row>
    <row r="103" spans="2:36" x14ac:dyDescent="0.15">
      <c r="B103" s="101" t="s">
        <v>1173</v>
      </c>
      <c r="C103" s="175" t="str" cm="1">
        <f t="array" ref="C103">IFERROR(SUM(SUMIFS('caseload data'!E:E,'caseload data'!$C:$C,'community %'!$B$99,'caseload data'!$D:$D,"TPO",'caseload data'!$B:$B,{"licence","community"}))/SUM(SUMIFS('caseload data'!E:E,'caseload data'!$B:$B,{"licence","community"},'caseload data'!$C:$C,'community %'!$B$99)),"")</f>
        <v/>
      </c>
      <c r="D103" s="175" t="str" cm="1">
        <f t="array" ref="D103">IFERROR(SUM(SUMIFS('caseload data'!F:F,'caseload data'!$C:$C,'community %'!$B$99,'caseload data'!$D:$D,"TPO",'caseload data'!$B:$B,{"licence","community"}))/SUM(SUMIFS('caseload data'!F:F,'caseload data'!$B:$B,{"licence","community"},'caseload data'!$C:$C,'community %'!$B$99)),"")</f>
        <v/>
      </c>
      <c r="E103" s="175" t="str" cm="1">
        <f t="array" ref="E103">IFERROR(SUM(SUMIFS('caseload data'!G:G,'caseload data'!$C:$C,'community %'!$B$99,'caseload data'!$D:$D,"TPO",'caseload data'!$B:$B,{"licence","community"}))/SUM(SUMIFS('caseload data'!G:G,'caseload data'!$B:$B,{"licence","community"},'caseload data'!$C:$C,'community %'!$B$99)),"")</f>
        <v/>
      </c>
      <c r="F103" s="175" t="str" cm="1">
        <f t="array" ref="F103">IFERROR(SUM(SUMIFS('caseload data'!H:H,'caseload data'!$C:$C,'community %'!$B$99,'caseload data'!$D:$D,"TPO",'caseload data'!$B:$B,{"licence","community"}))/SUM(SUMIFS('caseload data'!H:H,'caseload data'!$B:$B,{"licence","community"},'caseload data'!$C:$C,'community %'!$B$99)),"")</f>
        <v/>
      </c>
      <c r="G103" s="175" t="str" cm="1">
        <f t="array" ref="G103">IFERROR(SUM(SUMIFS('caseload data'!I:I,'caseload data'!$C:$C,'community %'!$B$99,'caseload data'!$D:$D,"TPO",'caseload data'!$B:$B,{"licence","community"}))/SUM(SUMIFS('caseload data'!I:I,'caseload data'!$B:$B,{"licence","community"},'caseload data'!$C:$C,'community %'!$B$99)),"")</f>
        <v/>
      </c>
      <c r="H103" s="175" t="str" cm="1">
        <f t="array" ref="H103">IFERROR(SUM(SUMIFS('caseload data'!J:J,'caseload data'!$C:$C,'community %'!$B$99,'caseload data'!$D:$D,"TPO",'caseload data'!$B:$B,{"licence","community"}))/SUM(SUMIFS('caseload data'!J:J,'caseload data'!$B:$B,{"licence","community"},'caseload data'!$C:$C,'community %'!$B$99)),"")</f>
        <v/>
      </c>
      <c r="I103" s="175" t="str" cm="1">
        <f t="array" ref="I103">IFERROR(SUM(SUMIFS('caseload data'!K:K,'caseload data'!$C:$C,'community %'!$B$99,'caseload data'!$D:$D,"TPO",'caseload data'!$B:$B,{"licence","community"}))/SUM(SUMIFS('caseload data'!K:K,'caseload data'!$B:$B,{"licence","community"},'caseload data'!$C:$C,'community %'!$B$99)),"")</f>
        <v/>
      </c>
      <c r="J103" s="175" t="str" cm="1">
        <f t="array" ref="J103">IFERROR(SUM(SUMIFS('caseload data'!L:L,'caseload data'!$C:$C,'community %'!$B$99,'caseload data'!$D:$D,"TPO",'caseload data'!$B:$B,{"licence","community"}))/SUM(SUMIFS('caseload data'!L:L,'caseload data'!$B:$B,{"licence","community"},'caseload data'!$C:$C,'community %'!$B$99)),"")</f>
        <v/>
      </c>
      <c r="K103" s="175" t="str" cm="1">
        <f t="array" ref="K103">IFERROR(SUM(SUMIFS('caseload data'!M:M,'caseload data'!$C:$C,'community %'!$B$99,'caseload data'!$D:$D,"TPO",'caseload data'!$B:$B,{"licence","community"}))/SUM(SUMIFS('caseload data'!M:M,'caseload data'!$B:$B,{"licence","community"},'caseload data'!$C:$C,'community %'!$B$99)),"")</f>
        <v/>
      </c>
      <c r="L103" s="175" t="str" cm="1">
        <f t="array" ref="L103">IFERROR(SUM(SUMIFS('caseload data'!N:N,'caseload data'!$C:$C,'community %'!$B$99,'caseload data'!$D:$D,"TPO",'caseload data'!$B:$B,{"licence","community"}))/SUM(SUMIFS('caseload data'!N:N,'caseload data'!$B:$B,{"licence","community"},'caseload data'!$C:$C,'community %'!$B$99)),"")</f>
        <v/>
      </c>
      <c r="M103" s="175" t="str" cm="1">
        <f t="array" ref="M103">IFERROR(SUM(SUMIFS('caseload data'!O:O,'caseload data'!$C:$C,'community %'!$B$99,'caseload data'!$D:$D,"TPO",'caseload data'!$B:$B,{"licence","community"}))/SUM(SUMIFS('caseload data'!O:O,'caseload data'!$B:$B,{"licence","community"},'caseload data'!$C:$C,'community %'!$B$99)),"")</f>
        <v/>
      </c>
      <c r="N103" s="175" t="str" cm="1">
        <f t="array" ref="N103">IFERROR(SUM(SUMIFS('caseload data'!P:P,'caseload data'!$C:$C,'community %'!$B$99,'caseload data'!$D:$D,"TPO",'caseload data'!$B:$B,{"licence","community"}))/SUM(SUMIFS('caseload data'!P:P,'caseload data'!$B:$B,{"licence","community"},'caseload data'!$C:$C,'community %'!$B$99)),"")</f>
        <v/>
      </c>
      <c r="O103" s="175" t="str" cm="1">
        <f t="array" ref="O103">IFERROR(SUM(SUMIFS('caseload data'!Q:Q,'caseload data'!$C:$C,'community %'!$B$99,'caseload data'!$D:$D,"TPO",'caseload data'!$B:$B,{"licence","community"}))/SUM(SUMIFS('caseload data'!Q:Q,'caseload data'!$B:$B,{"licence","community"},'caseload data'!$C:$C,'community %'!$B$99)),"")</f>
        <v/>
      </c>
      <c r="P103" s="175" t="str" cm="1">
        <f t="array" ref="P103">IFERROR(SUM(SUMIFS('caseload data'!R:R,'caseload data'!$C:$C,'community %'!$B$99,'caseload data'!$D:$D,"TPO",'caseload data'!$B:$B,{"licence","community"}))/SUM(SUMIFS('caseload data'!R:R,'caseload data'!$B:$B,{"licence","community"},'caseload data'!$C:$C,'community %'!$B$99)),"")</f>
        <v/>
      </c>
      <c r="Q103" s="175" t="str" cm="1">
        <f t="array" ref="Q103">IFERROR(SUM(SUMIFS('caseload data'!S:S,'caseload data'!$C:$C,'community %'!$B$99,'caseload data'!$D:$D,"TPO",'caseload data'!$B:$B,{"licence","community"}))/SUM(SUMIFS('caseload data'!S:S,'caseload data'!$B:$B,{"licence","community"},'caseload data'!$C:$C,'community %'!$B$99)),"")</f>
        <v/>
      </c>
      <c r="R103" s="175" t="str" cm="1">
        <f t="array" ref="R103">IFERROR(SUM(SUMIFS('caseload data'!T:T,'caseload data'!$C:$C,'community %'!$B$99,'caseload data'!$D:$D,"TPO",'caseload data'!$B:$B,{"licence","community"}))/SUM(SUMIFS('caseload data'!T:T,'caseload data'!$B:$B,{"licence","community"},'caseload data'!$C:$C,'community %'!$B$99)),"")</f>
        <v/>
      </c>
      <c r="T103" s="101" t="s">
        <v>1173</v>
      </c>
      <c r="U103" s="175" t="str" cm="1">
        <f t="array" ref="U103">IFERROR(SUM(SUMIFS('caseload data'!E:E,'caseload data'!$C:$C,'community %'!$T$99,'caseload data'!$D:$D,"TPO",'caseload data'!$B:$B,{"licence","community"}))/SUM(SUMIFS('caseload data'!E:E,'caseload data'!$B:$B,{"licence","community"},'caseload data'!$C:$C,'community %'!$T$99)),"")</f>
        <v/>
      </c>
      <c r="V103" s="175" t="str" cm="1">
        <f t="array" ref="V103">IFERROR(SUM(SUMIFS('caseload data'!F:F,'caseload data'!$C:$C,'community %'!$T$99,'caseload data'!$D:$D,"TPO",'caseload data'!$B:$B,{"licence","community"}))/SUM(SUMIFS('caseload data'!F:F,'caseload data'!$B:$B,{"licence","community"},'caseload data'!$C:$C,'community %'!$T$99)),"")</f>
        <v/>
      </c>
      <c r="W103" s="175" t="str" cm="1">
        <f t="array" ref="W103">IFERROR(SUM(SUMIFS('caseload data'!G:G,'caseload data'!$C:$C,'community %'!$T$99,'caseload data'!$D:$D,"TPO",'caseload data'!$B:$B,{"licence","community"}))/SUM(SUMIFS('caseload data'!G:G,'caseload data'!$B:$B,{"licence","community"},'caseload data'!$C:$C,'community %'!$T$99)),"")</f>
        <v/>
      </c>
      <c r="X103" s="175" t="str" cm="1">
        <f t="array" ref="X103">IFERROR(SUM(SUMIFS('caseload data'!H:H,'caseload data'!$C:$C,'community %'!$T$99,'caseload data'!$D:$D,"TPO",'caseload data'!$B:$B,{"licence","community"}))/SUM(SUMIFS('caseload data'!H:H,'caseload data'!$B:$B,{"licence","community"},'caseload data'!$C:$C,'community %'!$T$99)),"")</f>
        <v/>
      </c>
      <c r="Y103" s="175" t="str" cm="1">
        <f t="array" ref="Y103">IFERROR(SUM(SUMIFS('caseload data'!I:I,'caseload data'!$C:$C,'community %'!$T$99,'caseload data'!$D:$D,"TPO",'caseload data'!$B:$B,{"licence","community"}))/SUM(SUMIFS('caseload data'!I:I,'caseload data'!$B:$B,{"licence","community"},'caseload data'!$C:$C,'community %'!$T$99)),"")</f>
        <v/>
      </c>
      <c r="Z103" s="175" t="str" cm="1">
        <f t="array" ref="Z103">IFERROR(SUM(SUMIFS('caseload data'!J:J,'caseload data'!$C:$C,'community %'!$T$99,'caseload data'!$D:$D,"TPO",'caseload data'!$B:$B,{"licence","community"}))/SUM(SUMIFS('caseload data'!J:J,'caseload data'!$B:$B,{"licence","community"},'caseload data'!$C:$C,'community %'!$T$99)),"")</f>
        <v/>
      </c>
      <c r="AA103" s="175" t="str" cm="1">
        <f t="array" ref="AA103">IFERROR(SUM(SUMIFS('caseload data'!K:K,'caseload data'!$C:$C,'community %'!$T$99,'caseload data'!$D:$D,"TPO",'caseload data'!$B:$B,{"licence","community"}))/SUM(SUMIFS('caseload data'!K:K,'caseload data'!$B:$B,{"licence","community"},'caseload data'!$C:$C,'community %'!$T$99)),"")</f>
        <v/>
      </c>
      <c r="AB103" s="175" t="str" cm="1">
        <f t="array" ref="AB103">IFERROR(SUM(SUMIFS('caseload data'!L:L,'caseload data'!$C:$C,'community %'!$T$99,'caseload data'!$D:$D,"TPO",'caseload data'!$B:$B,{"licence","community"}))/SUM(SUMIFS('caseload data'!L:L,'caseload data'!$B:$B,{"licence","community"},'caseload data'!$C:$C,'community %'!$T$99)),"")</f>
        <v/>
      </c>
      <c r="AC103" s="175" t="str" cm="1">
        <f t="array" ref="AC103">IFERROR(SUM(SUMIFS('caseload data'!M:M,'caseload data'!$C:$C,'community %'!$T$99,'caseload data'!$D:$D,"TPO",'caseload data'!$B:$B,{"licence","community"}))/SUM(SUMIFS('caseload data'!M:M,'caseload data'!$B:$B,{"licence","community"},'caseload data'!$C:$C,'community %'!$T$99)),"")</f>
        <v/>
      </c>
      <c r="AD103" s="175" t="str" cm="1">
        <f t="array" ref="AD103">IFERROR(SUM(SUMIFS('caseload data'!N:N,'caseload data'!$C:$C,'community %'!$T$99,'caseload data'!$D:$D,"TPO",'caseload data'!$B:$B,{"licence","community"}))/SUM(SUMIFS('caseload data'!N:N,'caseload data'!$B:$B,{"licence","community"},'caseload data'!$C:$C,'community %'!$T$99)),"")</f>
        <v/>
      </c>
      <c r="AE103" s="175" t="str" cm="1">
        <f t="array" ref="AE103">IFERROR(SUM(SUMIFS('caseload data'!O:O,'caseload data'!$C:$C,'community %'!$T$99,'caseload data'!$D:$D,"TPO",'caseload data'!$B:$B,{"licence","community"}))/SUM(SUMIFS('caseload data'!O:O,'caseload data'!$B:$B,{"licence","community"},'caseload data'!$C:$C,'community %'!$T$99)),"")</f>
        <v/>
      </c>
      <c r="AF103" s="175" t="str" cm="1">
        <f t="array" ref="AF103">IFERROR(SUM(SUMIFS('caseload data'!P:P,'caseload data'!$C:$C,'community %'!$T$99,'caseload data'!$D:$D,"TPO",'caseload data'!$B:$B,{"licence","community"}))/SUM(SUMIFS('caseload data'!P:P,'caseload data'!$B:$B,{"licence","community"},'caseload data'!$C:$C,'community %'!$T$99)),"")</f>
        <v/>
      </c>
      <c r="AG103" s="175" t="str" cm="1">
        <f t="array" ref="AG103">IFERROR(SUM(SUMIFS('caseload data'!Q:Q,'caseload data'!$C:$C,'community %'!$T$99,'caseload data'!$D:$D,"TPO",'caseload data'!$B:$B,{"licence","community"}))/SUM(SUMIFS('caseload data'!Q:Q,'caseload data'!$B:$B,{"licence","community"},'caseload data'!$C:$C,'community %'!$T$99)),"")</f>
        <v/>
      </c>
      <c r="AH103" s="175" t="str" cm="1">
        <f t="array" ref="AH103">IFERROR(SUM(SUMIFS('caseload data'!R:R,'caseload data'!$C:$C,'community %'!$T$99,'caseload data'!$D:$D,"TPO",'caseload data'!$B:$B,{"licence","community"}))/SUM(SUMIFS('caseload data'!R:R,'caseload data'!$B:$B,{"licence","community"},'caseload data'!$C:$C,'community %'!$T$99)),"")</f>
        <v/>
      </c>
      <c r="AI103" s="175" t="str" cm="1">
        <f t="array" ref="AI103">IFERROR(SUM(SUMIFS('caseload data'!S:S,'caseload data'!$C:$C,'community %'!$T$99,'caseload data'!$D:$D,"TPO",'caseload data'!$B:$B,{"licence","community"}))/SUM(SUMIFS('caseload data'!S:S,'caseload data'!$B:$B,{"licence","community"},'caseload data'!$C:$C,'community %'!$T$99)),"")</f>
        <v/>
      </c>
      <c r="AJ103" s="175" t="str" cm="1">
        <f t="array" ref="AJ103">IFERROR(SUM(SUMIFS('caseload data'!T:T,'caseload data'!$C:$C,'community %'!$T$99,'caseload data'!$D:$D,"TPO",'caseload data'!$B:$B,{"licence","community"}))/SUM(SUMIFS('caseload data'!T:T,'caseload data'!$B:$B,{"licence","community"},'caseload data'!$C:$C,'community %'!$T$99)),"")</f>
        <v/>
      </c>
    </row>
    <row r="104" spans="2:36" x14ac:dyDescent="0.15">
      <c r="B104" s="102" t="s">
        <v>1174</v>
      </c>
      <c r="C104" s="175" t="str" cm="1">
        <f t="array" ref="C104">IFERROR(SUM(SUMIFS('caseload data'!E:E,'caseload data'!$C:$C,'community %'!$B$99,'caseload data'!$D:$D,"SPO",'caseload data'!$B:$B,{"licence","community"}))/SUM(SUMIFS('caseload data'!E:E,'caseload data'!$B:$B,{"licence","community"},'caseload data'!$C:$C,'community %'!$B$99)),"")</f>
        <v/>
      </c>
      <c r="D104" s="175" t="str" cm="1">
        <f t="array" ref="D104">IFERROR(SUM(SUMIFS('caseload data'!F:F,'caseload data'!$C:$C,'community %'!$B$99,'caseload data'!$D:$D,"SPO",'caseload data'!$B:$B,{"licence","community"}))/SUM(SUMIFS('caseload data'!F:F,'caseload data'!$B:$B,{"licence","community"},'caseload data'!$C:$C,'community %'!$B$99)),"")</f>
        <v/>
      </c>
      <c r="E104" s="175" t="str" cm="1">
        <f t="array" ref="E104">IFERROR(SUM(SUMIFS('caseload data'!G:G,'caseload data'!$C:$C,'community %'!$B$99,'caseload data'!$D:$D,"SPO",'caseload data'!$B:$B,{"licence","community"}))/SUM(SUMIFS('caseload data'!G:G,'caseload data'!$B:$B,{"licence","community"},'caseload data'!$C:$C,'community %'!$B$99)),"")</f>
        <v/>
      </c>
      <c r="F104" s="175" t="str" cm="1">
        <f t="array" ref="F104">IFERROR(SUM(SUMIFS('caseload data'!H:H,'caseload data'!$C:$C,'community %'!$B$99,'caseload data'!$D:$D,"SPO",'caseload data'!$B:$B,{"licence","community"}))/SUM(SUMIFS('caseload data'!H:H,'caseload data'!$B:$B,{"licence","community"},'caseload data'!$C:$C,'community %'!$B$99)),"")</f>
        <v/>
      </c>
      <c r="G104" s="175" t="str" cm="1">
        <f t="array" ref="G104">IFERROR(SUM(SUMIFS('caseload data'!I:I,'caseload data'!$C:$C,'community %'!$B$99,'caseload data'!$D:$D,"SPO",'caseload data'!$B:$B,{"licence","community"}))/SUM(SUMIFS('caseload data'!I:I,'caseload data'!$B:$B,{"licence","community"},'caseload data'!$C:$C,'community %'!$B$99)),"")</f>
        <v/>
      </c>
      <c r="H104" s="175" t="str" cm="1">
        <f t="array" ref="H104">IFERROR(SUM(SUMIFS('caseload data'!J:J,'caseload data'!$C:$C,'community %'!$B$99,'caseload data'!$D:$D,"SPO",'caseload data'!$B:$B,{"licence","community"}))/SUM(SUMIFS('caseload data'!J:J,'caseload data'!$B:$B,{"licence","community"},'caseload data'!$C:$C,'community %'!$B$99)),"")</f>
        <v/>
      </c>
      <c r="I104" s="175" t="str" cm="1">
        <f t="array" ref="I104">IFERROR(SUM(SUMIFS('caseload data'!K:K,'caseload data'!$C:$C,'community %'!$B$99,'caseload data'!$D:$D,"SPO",'caseload data'!$B:$B,{"licence","community"}))/SUM(SUMIFS('caseload data'!K:K,'caseload data'!$B:$B,{"licence","community"},'caseload data'!$C:$C,'community %'!$B$99)),"")</f>
        <v/>
      </c>
      <c r="J104" s="175" t="str" cm="1">
        <f t="array" ref="J104">IFERROR(SUM(SUMIFS('caseload data'!L:L,'caseload data'!$C:$C,'community %'!$B$99,'caseload data'!$D:$D,"SPO",'caseload data'!$B:$B,{"licence","community"}))/SUM(SUMIFS('caseload data'!L:L,'caseload data'!$B:$B,{"licence","community"},'caseload data'!$C:$C,'community %'!$B$99)),"")</f>
        <v/>
      </c>
      <c r="K104" s="175" t="str" cm="1">
        <f t="array" ref="K104">IFERROR(SUM(SUMIFS('caseload data'!M:M,'caseload data'!$C:$C,'community %'!$B$99,'caseload data'!$D:$D,"SPO",'caseload data'!$B:$B,{"licence","community"}))/SUM(SUMIFS('caseload data'!M:M,'caseload data'!$B:$B,{"licence","community"},'caseload data'!$C:$C,'community %'!$B$99)),"")</f>
        <v/>
      </c>
      <c r="L104" s="175" t="str" cm="1">
        <f t="array" ref="L104">IFERROR(SUM(SUMIFS('caseload data'!N:N,'caseload data'!$C:$C,'community %'!$B$99,'caseload data'!$D:$D,"SPO",'caseload data'!$B:$B,{"licence","community"}))/SUM(SUMIFS('caseload data'!N:N,'caseload data'!$B:$B,{"licence","community"},'caseload data'!$C:$C,'community %'!$B$99)),"")</f>
        <v/>
      </c>
      <c r="M104" s="175" t="str" cm="1">
        <f t="array" ref="M104">IFERROR(SUM(SUMIFS('caseload data'!O:O,'caseload data'!$C:$C,'community %'!$B$99,'caseload data'!$D:$D,"SPO",'caseload data'!$B:$B,{"licence","community"}))/SUM(SUMIFS('caseload data'!O:O,'caseload data'!$B:$B,{"licence","community"},'caseload data'!$C:$C,'community %'!$B$99)),"")</f>
        <v/>
      </c>
      <c r="N104" s="175" t="str" cm="1">
        <f t="array" ref="N104">IFERROR(SUM(SUMIFS('caseload data'!P:P,'caseload data'!$C:$C,'community %'!$B$99,'caseload data'!$D:$D,"SPO",'caseload data'!$B:$B,{"licence","community"}))/SUM(SUMIFS('caseload data'!P:P,'caseload data'!$B:$B,{"licence","community"},'caseload data'!$C:$C,'community %'!$B$99)),"")</f>
        <v/>
      </c>
      <c r="O104" s="175" t="str" cm="1">
        <f t="array" ref="O104">IFERROR(SUM(SUMIFS('caseload data'!Q:Q,'caseload data'!$C:$C,'community %'!$B$99,'caseload data'!$D:$D,"SPO",'caseload data'!$B:$B,{"licence","community"}))/SUM(SUMIFS('caseload data'!Q:Q,'caseload data'!$B:$B,{"licence","community"},'caseload data'!$C:$C,'community %'!$B$99)),"")</f>
        <v/>
      </c>
      <c r="P104" s="175" t="str" cm="1">
        <f t="array" ref="P104">IFERROR(SUM(SUMIFS('caseload data'!R:R,'caseload data'!$C:$C,'community %'!$B$99,'caseload data'!$D:$D,"SPO",'caseload data'!$B:$B,{"licence","community"}))/SUM(SUMIFS('caseload data'!R:R,'caseload data'!$B:$B,{"licence","community"},'caseload data'!$C:$C,'community %'!$B$99)),"")</f>
        <v/>
      </c>
      <c r="Q104" s="175" t="str" cm="1">
        <f t="array" ref="Q104">IFERROR(SUM(SUMIFS('caseload data'!S:S,'caseload data'!$C:$C,'community %'!$B$99,'caseload data'!$D:$D,"SPO",'caseload data'!$B:$B,{"licence","community"}))/SUM(SUMIFS('caseload data'!S:S,'caseload data'!$B:$B,{"licence","community"},'caseload data'!$C:$C,'community %'!$B$99)),"")</f>
        <v/>
      </c>
      <c r="R104" s="175" t="str" cm="1">
        <f t="array" ref="R104">IFERROR(SUM(SUMIFS('caseload data'!T:T,'caseload data'!$C:$C,'community %'!$B$99,'caseload data'!$D:$D,"SPO",'caseload data'!$B:$B,{"licence","community"}))/SUM(SUMIFS('caseload data'!T:T,'caseload data'!$B:$B,{"licence","community"},'caseload data'!$C:$C,'community %'!$B$99)),"")</f>
        <v/>
      </c>
      <c r="T104" s="102" t="s">
        <v>1174</v>
      </c>
      <c r="U104" s="175" t="str" cm="1">
        <f t="array" ref="U104">IFERROR(SUM(SUMIFS('caseload data'!E:E,'caseload data'!$C:$C,'community %'!$T$99,'caseload data'!$D:$D,"SPO",'caseload data'!$B:$B,{"licence","community"}))/SUM(SUMIFS('caseload data'!E:E,'caseload data'!$B:$B,{"licence","community"},'caseload data'!$C:$C,'community %'!$T$99)),"")</f>
        <v/>
      </c>
      <c r="V104" s="175" t="str" cm="1">
        <f t="array" ref="V104">IFERROR(SUM(SUMIFS('caseload data'!F:F,'caseload data'!$C:$C,'community %'!$T$99,'caseload data'!$D:$D,"SPO",'caseload data'!$B:$B,{"licence","community"}))/SUM(SUMIFS('caseload data'!F:F,'caseload data'!$B:$B,{"licence","community"},'caseload data'!$C:$C,'community %'!$T$99)),"")</f>
        <v/>
      </c>
      <c r="W104" s="175" t="str" cm="1">
        <f t="array" ref="W104">IFERROR(SUM(SUMIFS('caseload data'!G:G,'caseload data'!$C:$C,'community %'!$T$99,'caseload data'!$D:$D,"SPO",'caseload data'!$B:$B,{"licence","community"}))/SUM(SUMIFS('caseload data'!G:G,'caseload data'!$B:$B,{"licence","community"},'caseload data'!$C:$C,'community %'!$T$99)),"")</f>
        <v/>
      </c>
      <c r="X104" s="175" t="str" cm="1">
        <f t="array" ref="X104">IFERROR(SUM(SUMIFS('caseload data'!H:H,'caseload data'!$C:$C,'community %'!$T$99,'caseload data'!$D:$D,"SPO",'caseload data'!$B:$B,{"licence","community"}))/SUM(SUMIFS('caseload data'!H:H,'caseload data'!$B:$B,{"licence","community"},'caseload data'!$C:$C,'community %'!$T$99)),"")</f>
        <v/>
      </c>
      <c r="Y104" s="175" t="str" cm="1">
        <f t="array" ref="Y104">IFERROR(SUM(SUMIFS('caseload data'!I:I,'caseload data'!$C:$C,'community %'!$T$99,'caseload data'!$D:$D,"SPO",'caseload data'!$B:$B,{"licence","community"}))/SUM(SUMIFS('caseload data'!I:I,'caseload data'!$B:$B,{"licence","community"},'caseload data'!$C:$C,'community %'!$T$99)),"")</f>
        <v/>
      </c>
      <c r="Z104" s="175" t="str" cm="1">
        <f t="array" ref="Z104">IFERROR(SUM(SUMIFS('caseload data'!J:J,'caseload data'!$C:$C,'community %'!$T$99,'caseload data'!$D:$D,"SPO",'caseload data'!$B:$B,{"licence","community"}))/SUM(SUMIFS('caseload data'!J:J,'caseload data'!$B:$B,{"licence","community"},'caseload data'!$C:$C,'community %'!$T$99)),"")</f>
        <v/>
      </c>
      <c r="AA104" s="175" t="str" cm="1">
        <f t="array" ref="AA104">IFERROR(SUM(SUMIFS('caseload data'!K:K,'caseload data'!$C:$C,'community %'!$T$99,'caseload data'!$D:$D,"SPO",'caseload data'!$B:$B,{"licence","community"}))/SUM(SUMIFS('caseload data'!K:K,'caseload data'!$B:$B,{"licence","community"},'caseload data'!$C:$C,'community %'!$T$99)),"")</f>
        <v/>
      </c>
      <c r="AB104" s="175" t="str" cm="1">
        <f t="array" ref="AB104">IFERROR(SUM(SUMIFS('caseload data'!L:L,'caseload data'!$C:$C,'community %'!$T$99,'caseload data'!$D:$D,"SPO",'caseload data'!$B:$B,{"licence","community"}))/SUM(SUMIFS('caseload data'!L:L,'caseload data'!$B:$B,{"licence","community"},'caseload data'!$C:$C,'community %'!$T$99)),"")</f>
        <v/>
      </c>
      <c r="AC104" s="175" t="str" cm="1">
        <f t="array" ref="AC104">IFERROR(SUM(SUMIFS('caseload data'!M:M,'caseload data'!$C:$C,'community %'!$T$99,'caseload data'!$D:$D,"SPO",'caseload data'!$B:$B,{"licence","community"}))/SUM(SUMIFS('caseload data'!M:M,'caseload data'!$B:$B,{"licence","community"},'caseload data'!$C:$C,'community %'!$T$99)),"")</f>
        <v/>
      </c>
      <c r="AD104" s="175" t="str" cm="1">
        <f t="array" ref="AD104">IFERROR(SUM(SUMIFS('caseload data'!N:N,'caseload data'!$C:$C,'community %'!$T$99,'caseload data'!$D:$D,"SPO",'caseload data'!$B:$B,{"licence","community"}))/SUM(SUMIFS('caseload data'!N:N,'caseload data'!$B:$B,{"licence","community"},'caseload data'!$C:$C,'community %'!$T$99)),"")</f>
        <v/>
      </c>
      <c r="AE104" s="175" t="str" cm="1">
        <f t="array" ref="AE104">IFERROR(SUM(SUMIFS('caseload data'!O:O,'caseload data'!$C:$C,'community %'!$T$99,'caseload data'!$D:$D,"SPO",'caseload data'!$B:$B,{"licence","community"}))/SUM(SUMIFS('caseload data'!O:O,'caseload data'!$B:$B,{"licence","community"},'caseload data'!$C:$C,'community %'!$T$99)),"")</f>
        <v/>
      </c>
      <c r="AF104" s="175" t="str" cm="1">
        <f t="array" ref="AF104">IFERROR(SUM(SUMIFS('caseload data'!P:P,'caseload data'!$C:$C,'community %'!$T$99,'caseload data'!$D:$D,"SPO",'caseload data'!$B:$B,{"licence","community"}))/SUM(SUMIFS('caseload data'!P:P,'caseload data'!$B:$B,{"licence","community"},'caseload data'!$C:$C,'community %'!$T$99)),"")</f>
        <v/>
      </c>
      <c r="AG104" s="175" t="str" cm="1">
        <f t="array" ref="AG104">IFERROR(SUM(SUMIFS('caseload data'!Q:Q,'caseload data'!$C:$C,'community %'!$T$99,'caseload data'!$D:$D,"SPO",'caseload data'!$B:$B,{"licence","community"}))/SUM(SUMIFS('caseload data'!Q:Q,'caseload data'!$B:$B,{"licence","community"},'caseload data'!$C:$C,'community %'!$T$99)),"")</f>
        <v/>
      </c>
      <c r="AH104" s="175" t="str" cm="1">
        <f t="array" ref="AH104">IFERROR(SUM(SUMIFS('caseload data'!R:R,'caseload data'!$C:$C,'community %'!$T$99,'caseload data'!$D:$D,"SPO",'caseload data'!$B:$B,{"licence","community"}))/SUM(SUMIFS('caseload data'!R:R,'caseload data'!$B:$B,{"licence","community"},'caseload data'!$C:$C,'community %'!$T$99)),"")</f>
        <v/>
      </c>
      <c r="AI104" s="175" t="str" cm="1">
        <f t="array" ref="AI104">IFERROR(SUM(SUMIFS('caseload data'!S:S,'caseload data'!$C:$C,'community %'!$T$99,'caseload data'!$D:$D,"SPO",'caseload data'!$B:$B,{"licence","community"}))/SUM(SUMIFS('caseload data'!S:S,'caseload data'!$B:$B,{"licence","community"},'caseload data'!$C:$C,'community %'!$T$99)),"")</f>
        <v/>
      </c>
      <c r="AJ104" s="175" t="str" cm="1">
        <f t="array" ref="AJ104">IFERROR(SUM(SUMIFS('caseload data'!T:T,'caseload data'!$C:$C,'community %'!$T$99,'caseload data'!$D:$D,"SPO",'caseload data'!$B:$B,{"licence","community"}))/SUM(SUMIFS('caseload data'!T:T,'caseload data'!$B:$B,{"licence","community"},'caseload data'!$C:$C,'community %'!$T$99)),"")</f>
        <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64:O64"/>
    <mergeCell ref="P64:R64"/>
    <mergeCell ref="U64:AG64"/>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A2:AX2"/>
    <mergeCell ref="C15:O15"/>
    <mergeCell ref="P15:R15"/>
    <mergeCell ref="U15:AG15"/>
    <mergeCell ref="AH15:AJ15"/>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activeCell="B3" sqref="B3"/>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6384" width="9.1640625" style="1"/>
  </cols>
  <sheetData>
    <row r="1" spans="1:25" ht="59.25" customHeight="1" x14ac:dyDescent="0.2">
      <c r="A1" s="483" t="s">
        <v>1314</v>
      </c>
      <c r="B1" s="483"/>
      <c r="C1" s="483"/>
      <c r="D1" s="483"/>
      <c r="E1" s="483"/>
      <c r="F1" s="483"/>
      <c r="G1" s="483"/>
      <c r="H1" s="483"/>
      <c r="I1" s="483"/>
      <c r="J1" s="483"/>
      <c r="K1" s="483"/>
      <c r="L1" s="483"/>
      <c r="M1" s="277"/>
      <c r="N1" s="277"/>
      <c r="O1" s="277"/>
      <c r="P1" s="277"/>
      <c r="Q1" s="277"/>
      <c r="R1" s="277"/>
      <c r="S1" s="277"/>
      <c r="T1" s="277"/>
      <c r="U1" s="277"/>
      <c r="V1" s="277"/>
      <c r="W1" s="277"/>
      <c r="X1" s="277"/>
      <c r="Y1" s="277"/>
    </row>
    <row r="2" spans="1:25" ht="39" customHeight="1" x14ac:dyDescent="0.2">
      <c r="A2" s="374"/>
      <c r="B2" s="374"/>
      <c r="C2" s="374"/>
      <c r="D2" s="374"/>
      <c r="E2" s="374"/>
      <c r="F2" s="374"/>
      <c r="G2" s="374"/>
      <c r="H2" s="374"/>
      <c r="I2" s="374"/>
      <c r="J2" s="374"/>
      <c r="K2" s="374"/>
      <c r="L2" s="374"/>
      <c r="M2" s="278"/>
      <c r="N2" s="278"/>
      <c r="O2" s="278"/>
      <c r="P2" s="278"/>
      <c r="Q2" s="278"/>
      <c r="R2" s="278"/>
      <c r="S2" s="278"/>
      <c r="T2" s="278"/>
      <c r="U2" s="278"/>
      <c r="V2" s="278"/>
      <c r="W2" s="278"/>
      <c r="X2" s="278"/>
      <c r="Y2" s="278"/>
    </row>
    <row r="3" spans="1:25" ht="14.25" customHeight="1" x14ac:dyDescent="0.2"/>
    <row r="4" spans="1:25" ht="56" x14ac:dyDescent="0.2">
      <c r="B4" s="154"/>
      <c r="C4" s="227" t="s">
        <v>1105</v>
      </c>
      <c r="D4" s="67" t="s">
        <v>1106</v>
      </c>
      <c r="E4" s="67" t="s">
        <v>1107</v>
      </c>
      <c r="F4" s="67" t="s">
        <v>1108</v>
      </c>
      <c r="G4" s="95"/>
      <c r="H4" s="227" t="s">
        <v>1109</v>
      </c>
      <c r="I4" s="227" t="s">
        <v>1110</v>
      </c>
      <c r="J4" s="95"/>
      <c r="K4" s="227" t="s">
        <v>1111</v>
      </c>
      <c r="L4" s="227" t="s">
        <v>1112</v>
      </c>
    </row>
    <row r="5" spans="1:25" x14ac:dyDescent="0.2">
      <c r="B5" s="149" t="s">
        <v>23</v>
      </c>
      <c r="C5" s="71" t="e">
        <f>SUM((SUMIFS('capacity data'!G:G,'capacity data'!A:A,B5,'capacity data'!E:E,"PO"))-SUMIFS('capacity data'!H:H,'capacity data'!A:A,B5,'capacity data'!E:E,"PO"))/SUMIFS('capacity data'!G:G,'capacity data'!A:A,B5,'capacity data'!E:E,"PO")</f>
        <v>#DIV/0!</v>
      </c>
      <c r="D5" s="71" t="e">
        <f>SUM((SUMIFS('capacity data'!G:G,'capacity data'!A:A,B5,'capacity data'!E:E,"PSO"))-SUMIFS('capacity data'!H:H,'capacity data'!A:A,B5,'capacity data'!E:E,"PSO"))/SUMIFS('capacity data'!G:G,'capacity data'!A:A,B5,'capacity data'!E:E,"PSO")</f>
        <v>#DIV/0!</v>
      </c>
      <c r="E5" s="71" t="e">
        <f>SUM((SUMIFS('capacity data'!G:G,'capacity data'!A:A,B5,'capacity data'!E:E,"TPO"))-SUMIFS('capacity data'!H:H,'capacity data'!A:A,B5,'capacity data'!E:E,"TPO"))/SUMIFS('capacity data'!G:G,'capacity data'!A:A,B5,'capacity data'!E:E,"TPO")</f>
        <v>#DIV/0!</v>
      </c>
      <c r="F5" s="155" t="e">
        <f>SUM((SUMIFS('capacity data'!G:G,'capacity data'!A:A,B5))-SUMIFS('capacity data'!H:H,'capacity data'!A:A,B5))/SUMIFS('capacity data'!G:G,'capacity data'!A:A,B5)</f>
        <v>#DIV/0!</v>
      </c>
      <c r="G5" s="156"/>
      <c r="H5" s="70" t="e">
        <f>SUMIFS('capacity data'!$L:$L,'capacity data'!$A:$A,B5,'capacity data'!$E:$E,"PSO")/SUM((SUMIFS('capacity data'!$G:$G,'capacity data'!$E:$E,"PSO",'capacity data'!$A:$A,B5))-SUMIFS('capacity data'!$H:$H,'capacity data'!$E:$E,"PSO",'capacity data'!$A:$A,B5))</f>
        <v>#DIV/0!</v>
      </c>
      <c r="I5" s="70" t="e">
        <f>SUMIFS('capacity data'!$L:$L,'capacity data'!$A:$A,B5,'capacity data'!$E:$E,"PSO")/SUMIFS('capacity data'!$G:$G,'capacity data'!$E:$E,"PSO",'capacity data'!$A:$A,B5)</f>
        <v>#DIV/0!</v>
      </c>
      <c r="J5" s="95"/>
      <c r="K5" s="70" t="e">
        <f>SUMIFS('capacity data'!$L:$L,'capacity data'!$A:$A,B5,'capacity data'!$E:$E,"TPO")/SUM((SUMIFS('capacity data'!$G:$G,'capacity data'!$E:$E,"TPO",'capacity data'!$A:$A,B5))-SUMIFS('capacity data'!$H:$H,'capacity data'!$E:$E,"TPO",'capacity data'!$A:$A,B5))</f>
        <v>#DIV/0!</v>
      </c>
      <c r="L5" s="70" t="e">
        <f>SUMIFS('capacity data'!$L:$L,'capacity data'!$A:$A,B5,'capacity data'!$E:$E,"TPO")/SUMIFS('capacity data'!$G:$G,'capacity data'!$E:$E,"TPO",'capacity data'!$A:$A,B5)</f>
        <v>#DIV/0!</v>
      </c>
    </row>
    <row r="6" spans="1:25" x14ac:dyDescent="0.2">
      <c r="B6" s="149" t="s">
        <v>24</v>
      </c>
      <c r="C6" s="71" t="e">
        <f>SUM((SUMIFS('capacity data'!G:G,'capacity data'!A:A,B6,'capacity data'!E:E,"PO"))-SUMIFS('capacity data'!H:H,'capacity data'!A:A,B6,'capacity data'!E:E,"PO"))/SUMIFS('capacity data'!G:G,'capacity data'!A:A,B6,'capacity data'!E:E,"PO")</f>
        <v>#DIV/0!</v>
      </c>
      <c r="D6" s="71" t="e">
        <f>SUM((SUMIFS('capacity data'!G:G,'capacity data'!A:A,B6,'capacity data'!E:E,"PSO"))-SUMIFS('capacity data'!H:H,'capacity data'!A:A,B6,'capacity data'!E:E,"PSO"))/SUMIFS('capacity data'!G:G,'capacity data'!A:A,B6,'capacity data'!E:E,"PSO")</f>
        <v>#DIV/0!</v>
      </c>
      <c r="E6" s="71" t="e">
        <f>SUM((SUMIFS('capacity data'!G:G,'capacity data'!A:A,B6,'capacity data'!E:E,"TPO"))-SUMIFS('capacity data'!H:H,'capacity data'!A:A,B6,'capacity data'!E:E,"TPO"))/SUMIFS('capacity data'!G:G,'capacity data'!A:A,B6,'capacity data'!E:E,"TPO")</f>
        <v>#DIV/0!</v>
      </c>
      <c r="F6" s="155" t="e">
        <f>SUM((SUMIFS('capacity data'!G:G,'capacity data'!A:A,B6))-SUMIFS('capacity data'!H:H,'capacity data'!A:A,B6))/SUMIFS('capacity data'!G:G,'capacity data'!A:A,B6)</f>
        <v>#DIV/0!</v>
      </c>
      <c r="G6" s="156"/>
      <c r="H6" s="70" t="e">
        <f>SUMIFS('capacity data'!$L:$L,'capacity data'!$A:$A,B6,'capacity data'!$E:$E,"PSO")/SUM((SUMIFS('capacity data'!$G:$G,'capacity data'!$E:$E,"PSO",'capacity data'!$A:$A,B6))-SUMIFS('capacity data'!$H:$H,'capacity data'!$E:$E,"PSO",'capacity data'!$A:$A,B6))</f>
        <v>#DIV/0!</v>
      </c>
      <c r="I6" s="70" t="e">
        <f>SUMIFS('capacity data'!$L:$L,'capacity data'!$A:$A,B6,'capacity data'!$E:$E,"PSO")/SUMIFS('capacity data'!$G:$G,'capacity data'!$E:$E,"PSO",'capacity data'!$A:$A,B6)</f>
        <v>#DIV/0!</v>
      </c>
      <c r="J6" s="95"/>
      <c r="K6" s="70" t="e">
        <f>SUMIFS('capacity data'!$L:$L,'capacity data'!$A:$A,B6,'capacity data'!$E:$E,"TPO")/SUM((SUMIFS('capacity data'!$G:$G,'capacity data'!$E:$E,"TPO",'capacity data'!$A:$A,B6))-SUMIFS('capacity data'!$H:$H,'capacity data'!$E:$E,"TPO",'capacity data'!$A:$A,B6))</f>
        <v>#DIV/0!</v>
      </c>
      <c r="L6" s="70" t="e">
        <f>SUMIFS('capacity data'!$L:$L,'capacity data'!$A:$A,B6,'capacity data'!$E:$E,"TPO")/SUMIFS('capacity data'!$G:$G,'capacity data'!$E:$E,"TPO",'capacity data'!$A:$A,B6)</f>
        <v>#DIV/0!</v>
      </c>
    </row>
    <row r="7" spans="1:25" x14ac:dyDescent="0.2">
      <c r="B7" s="149" t="s">
        <v>25</v>
      </c>
      <c r="C7" s="71" t="e">
        <f>SUM((SUMIFS('capacity data'!G:G,'capacity data'!A:A,B7,'capacity data'!E:E,"PO"))-SUMIFS('capacity data'!H:H,'capacity data'!A:A,B7,'capacity data'!E:E,"PO"))/SUMIFS('capacity data'!G:G,'capacity data'!A:A,B7,'capacity data'!E:E,"PO")</f>
        <v>#DIV/0!</v>
      </c>
      <c r="D7" s="71" t="e">
        <f>SUM((SUMIFS('capacity data'!G:G,'capacity data'!A:A,B7,'capacity data'!E:E,"PSO"))-SUMIFS('capacity data'!H:H,'capacity data'!A:A,B7,'capacity data'!E:E,"PSO"))/SUMIFS('capacity data'!G:G,'capacity data'!A:A,B7,'capacity data'!E:E,"PSO")</f>
        <v>#DIV/0!</v>
      </c>
      <c r="E7" s="71" t="e">
        <f>SUM((SUMIFS('capacity data'!G:G,'capacity data'!A:A,B7,'capacity data'!E:E,"TPO"))-SUMIFS('capacity data'!H:H,'capacity data'!A:A,B7,'capacity data'!E:E,"TPO"))/SUMIFS('capacity data'!G:G,'capacity data'!A:A,B7,'capacity data'!E:E,"TPO")</f>
        <v>#DIV/0!</v>
      </c>
      <c r="F7" s="155" t="e">
        <f>SUM((SUMIFS('capacity data'!G:G,'capacity data'!A:A,B7))-SUMIFS('capacity data'!H:H,'capacity data'!A:A,B7))/SUMIFS('capacity data'!G:G,'capacity data'!A:A,B7)</f>
        <v>#DIV/0!</v>
      </c>
      <c r="G7" s="156"/>
      <c r="H7" s="70" t="e">
        <f>SUMIFS('capacity data'!$L:$L,'capacity data'!$A:$A,B7,'capacity data'!$E:$E,"PSO")/SUM((SUMIFS('capacity data'!$G:$G,'capacity data'!$E:$E,"PSO",'capacity data'!$A:$A,B7))-SUMIFS('capacity data'!$H:$H,'capacity data'!$E:$E,"PSO",'capacity data'!$A:$A,B7))</f>
        <v>#DIV/0!</v>
      </c>
      <c r="I7" s="70" t="e">
        <f>SUMIFS('capacity data'!$L:$L,'capacity data'!$A:$A,B7,'capacity data'!$E:$E,"PSO")/SUMIFS('capacity data'!$G:$G,'capacity data'!$E:$E,"PSO",'capacity data'!$A:$A,B7)</f>
        <v>#DIV/0!</v>
      </c>
      <c r="J7" s="95"/>
      <c r="K7" s="70" t="e">
        <f>SUMIFS('capacity data'!$L:$L,'capacity data'!$A:$A,B7,'capacity data'!$E:$E,"TPO")/SUM((SUMIFS('capacity data'!$G:$G,'capacity data'!$E:$E,"TPO",'capacity data'!$A:$A,B7))-SUMIFS('capacity data'!$H:$H,'capacity data'!$E:$E,"TPO",'capacity data'!$A:$A,B7))</f>
        <v>#DIV/0!</v>
      </c>
      <c r="L7" s="70" t="e">
        <f>SUMIFS('capacity data'!$L:$L,'capacity data'!$A:$A,B7,'capacity data'!$E:$E,"TPO")/SUMIFS('capacity data'!$G:$G,'capacity data'!$E:$E,"TPO",'capacity data'!$A:$A,B7)</f>
        <v>#DIV/0!</v>
      </c>
    </row>
    <row r="8" spans="1:25" x14ac:dyDescent="0.2">
      <c r="B8" s="149" t="s">
        <v>26</v>
      </c>
      <c r="C8" s="71" t="e">
        <f>SUM((SUMIFS('capacity data'!G:G,'capacity data'!A:A,B8,'capacity data'!E:E,"PO"))-SUMIFS('capacity data'!H:H,'capacity data'!A:A,B8,'capacity data'!E:E,"PO"))/SUMIFS('capacity data'!G:G,'capacity data'!A:A,B8,'capacity data'!E:E,"PO")</f>
        <v>#DIV/0!</v>
      </c>
      <c r="D8" s="71" t="e">
        <f>SUM((SUMIFS('capacity data'!G:G,'capacity data'!A:A,B8,'capacity data'!E:E,"PSO"))-SUMIFS('capacity data'!H:H,'capacity data'!A:A,B8,'capacity data'!E:E,"PSO"))/SUMIFS('capacity data'!G:G,'capacity data'!A:A,B8,'capacity data'!E:E,"PSO")</f>
        <v>#DIV/0!</v>
      </c>
      <c r="E8" s="71" t="e">
        <f>SUM((SUMIFS('capacity data'!G:G,'capacity data'!A:A,B8,'capacity data'!E:E,"TPO"))-SUMIFS('capacity data'!H:H,'capacity data'!A:A,B8,'capacity data'!E:E,"TPO"))/SUMIFS('capacity data'!G:G,'capacity data'!A:A,B8,'capacity data'!E:E,"TPO")</f>
        <v>#DIV/0!</v>
      </c>
      <c r="F8" s="155" t="e">
        <f>SUM((SUMIFS('capacity data'!G:G,'capacity data'!A:A,B8))-SUMIFS('capacity data'!H:H,'capacity data'!A:A,B8))/SUMIFS('capacity data'!G:G,'capacity data'!A:A,B8)</f>
        <v>#DIV/0!</v>
      </c>
      <c r="G8" s="156"/>
      <c r="H8" s="70" t="e">
        <f>SUMIFS('capacity data'!$L:$L,'capacity data'!$A:$A,B8,'capacity data'!$E:$E,"PSO")/SUM((SUMIFS('capacity data'!$G:$G,'capacity data'!$E:$E,"PSO",'capacity data'!$A:$A,B8))-SUMIFS('capacity data'!$H:$H,'capacity data'!$E:$E,"PSO",'capacity data'!$A:$A,B8))</f>
        <v>#DIV/0!</v>
      </c>
      <c r="I8" s="70" t="e">
        <f>SUMIFS('capacity data'!$L:$L,'capacity data'!$A:$A,B8,'capacity data'!$E:$E,"PSO")/SUMIFS('capacity data'!$G:$G,'capacity data'!$E:$E,"PSO",'capacity data'!$A:$A,B8)</f>
        <v>#DIV/0!</v>
      </c>
      <c r="J8" s="95"/>
      <c r="K8" s="70" t="e">
        <f>SUMIFS('capacity data'!$L:$L,'capacity data'!$A:$A,B8,'capacity data'!$E:$E,"TPO")/SUM((SUMIFS('capacity data'!$G:$G,'capacity data'!$E:$E,"TPO",'capacity data'!$A:$A,B8))-SUMIFS('capacity data'!$H:$H,'capacity data'!$E:$E,"TPO",'capacity data'!$A:$A,B8))</f>
        <v>#DIV/0!</v>
      </c>
      <c r="L8" s="70" t="e">
        <f>SUMIFS('capacity data'!$L:$L,'capacity data'!$A:$A,B8,'capacity data'!$E:$E,"TPO")/SUMIFS('capacity data'!$G:$G,'capacity data'!$E:$E,"TPO",'capacity data'!$A:$A,B8)</f>
        <v>#DIV/0!</v>
      </c>
    </row>
    <row r="9" spans="1:25" x14ac:dyDescent="0.2">
      <c r="B9" s="149" t="s">
        <v>27</v>
      </c>
      <c r="C9" s="71" t="e">
        <f>SUM((SUMIFS('capacity data'!G:G,'capacity data'!A:A,B9,'capacity data'!E:E,"PO"))-SUMIFS('capacity data'!H:H,'capacity data'!A:A,B9,'capacity data'!E:E,"PO"))/SUMIFS('capacity data'!G:G,'capacity data'!A:A,B9,'capacity data'!E:E,"PO")</f>
        <v>#DIV/0!</v>
      </c>
      <c r="D9" s="71" t="e">
        <f>SUM((SUMIFS('capacity data'!G:G,'capacity data'!A:A,B9,'capacity data'!E:E,"PSO"))-SUMIFS('capacity data'!H:H,'capacity data'!A:A,B9,'capacity data'!E:E,"PSO"))/SUMIFS('capacity data'!G:G,'capacity data'!A:A,B9,'capacity data'!E:E,"PSO")</f>
        <v>#DIV/0!</v>
      </c>
      <c r="E9" s="71" t="e">
        <f>SUM((SUMIFS('capacity data'!G:G,'capacity data'!A:A,B9,'capacity data'!E:E,"TPO"))-SUMIFS('capacity data'!H:H,'capacity data'!A:A,B9,'capacity data'!E:E,"TPO"))/SUMIFS('capacity data'!G:G,'capacity data'!A:A,B9,'capacity data'!E:E,"TPO")</f>
        <v>#DIV/0!</v>
      </c>
      <c r="F9" s="155" t="e">
        <f>SUM((SUMIFS('capacity data'!G:G,'capacity data'!A:A,B9))-SUMIFS('capacity data'!H:H,'capacity data'!A:A,B9))/SUMIFS('capacity data'!G:G,'capacity data'!A:A,B9)</f>
        <v>#DIV/0!</v>
      </c>
      <c r="G9" s="156"/>
      <c r="H9" s="70" t="e">
        <f>SUMIFS('capacity data'!$L:$L,'capacity data'!$A:$A,B9,'capacity data'!$E:$E,"PSO")/SUM((SUMIFS('capacity data'!$G:$G,'capacity data'!$E:$E,"PSO",'capacity data'!$A:$A,B9))-SUMIFS('capacity data'!$H:$H,'capacity data'!$E:$E,"PSO",'capacity data'!$A:$A,B9))</f>
        <v>#DIV/0!</v>
      </c>
      <c r="I9" s="70" t="e">
        <f>SUMIFS('capacity data'!$L:$L,'capacity data'!$A:$A,B9,'capacity data'!$E:$E,"PSO")/SUMIFS('capacity data'!$G:$G,'capacity data'!$E:$E,"PSO",'capacity data'!$A:$A,B9)</f>
        <v>#DIV/0!</v>
      </c>
      <c r="J9" s="95"/>
      <c r="K9" s="70" t="e">
        <f>SUMIFS('capacity data'!$L:$L,'capacity data'!$A:$A,B9,'capacity data'!$E:$E,"TPO")/SUM((SUMIFS('capacity data'!$G:$G,'capacity data'!$E:$E,"TPO",'capacity data'!$A:$A,B9))-SUMIFS('capacity data'!$H:$H,'capacity data'!$E:$E,"TPO",'capacity data'!$A:$A,B9))</f>
        <v>#DIV/0!</v>
      </c>
      <c r="L9" s="70" t="e">
        <f>SUMIFS('capacity data'!$L:$L,'capacity data'!$A:$A,B9,'capacity data'!$E:$E,"TPO")/SUMIFS('capacity data'!$G:$G,'capacity data'!$E:$E,"TPO",'capacity data'!$A:$A,B9)</f>
        <v>#DIV/0!</v>
      </c>
    </row>
    <row r="10" spans="1:25" x14ac:dyDescent="0.2">
      <c r="B10" s="149" t="s">
        <v>28</v>
      </c>
      <c r="C10" s="71" t="e">
        <f>SUM((SUMIFS('capacity data'!G:G,'capacity data'!A:A,B10,'capacity data'!E:E,"PO"))-SUMIFS('capacity data'!H:H,'capacity data'!A:A,B10,'capacity data'!E:E,"PO"))/SUMIFS('capacity data'!G:G,'capacity data'!A:A,B10,'capacity data'!E:E,"PO")</f>
        <v>#DIV/0!</v>
      </c>
      <c r="D10" s="71" t="e">
        <f>SUM((SUMIFS('capacity data'!G:G,'capacity data'!A:A,B10,'capacity data'!E:E,"PSO"))-SUMIFS('capacity data'!H:H,'capacity data'!A:A,B10,'capacity data'!E:E,"PSO"))/SUMIFS('capacity data'!G:G,'capacity data'!A:A,B10,'capacity data'!E:E,"PSO")</f>
        <v>#DIV/0!</v>
      </c>
      <c r="E10" s="71" t="e">
        <f>SUM((SUMIFS('capacity data'!G:G,'capacity data'!A:A,B10,'capacity data'!E:E,"TPO"))-SUMIFS('capacity data'!H:H,'capacity data'!A:A,B10,'capacity data'!E:E,"TPO"))/SUMIFS('capacity data'!G:G,'capacity data'!A:A,B10,'capacity data'!E:E,"TPO")</f>
        <v>#DIV/0!</v>
      </c>
      <c r="F10" s="155" t="e">
        <f>SUM((SUMIFS('capacity data'!G:G,'capacity data'!A:A,B10))-SUMIFS('capacity data'!H:H,'capacity data'!A:A,B10))/SUMIFS('capacity data'!G:G,'capacity data'!A:A,B10)</f>
        <v>#DIV/0!</v>
      </c>
      <c r="G10" s="156"/>
      <c r="H10" s="70" t="e">
        <f>SUMIFS('capacity data'!$L:$L,'capacity data'!$A:$A,B10,'capacity data'!$E:$E,"PSO")/SUM((SUMIFS('capacity data'!$G:$G,'capacity data'!$E:$E,"PSO",'capacity data'!$A:$A,B10))-SUMIFS('capacity data'!$H:$H,'capacity data'!$E:$E,"PSO",'capacity data'!$A:$A,B10))</f>
        <v>#DIV/0!</v>
      </c>
      <c r="I10" s="70" t="e">
        <f>SUMIFS('capacity data'!$L:$L,'capacity data'!$A:$A,B10,'capacity data'!$E:$E,"PSO")/SUMIFS('capacity data'!$G:$G,'capacity data'!$E:$E,"PSO",'capacity data'!$A:$A,B10)</f>
        <v>#DIV/0!</v>
      </c>
      <c r="J10" s="95"/>
      <c r="K10" s="70" t="e">
        <f>SUMIFS('capacity data'!$L:$L,'capacity data'!$A:$A,B10,'capacity data'!$E:$E,"TPO")/SUM((SUMIFS('capacity data'!$G:$G,'capacity data'!$E:$E,"TPO",'capacity data'!$A:$A,B10))-SUMIFS('capacity data'!$H:$H,'capacity data'!$E:$E,"TPO",'capacity data'!$A:$A,B10))</f>
        <v>#DIV/0!</v>
      </c>
      <c r="L10" s="70" t="e">
        <f>SUMIFS('capacity data'!$L:$L,'capacity data'!$A:$A,B10,'capacity data'!$E:$E,"TPO")/SUMIFS('capacity data'!$G:$G,'capacity data'!$E:$E,"TPO",'capacity data'!$A:$A,B10)</f>
        <v>#DIV/0!</v>
      </c>
    </row>
    <row r="11" spans="1:25" x14ac:dyDescent="0.2">
      <c r="B11" s="149" t="s">
        <v>29</v>
      </c>
      <c r="C11" s="71" t="e">
        <f>SUM((SUMIFS('capacity data'!G:G,'capacity data'!A:A,B11,'capacity data'!E:E,"PO"))-SUMIFS('capacity data'!H:H,'capacity data'!A:A,B11,'capacity data'!E:E,"PO"))/SUMIFS('capacity data'!G:G,'capacity data'!A:A,B11,'capacity data'!E:E,"PO")</f>
        <v>#DIV/0!</v>
      </c>
      <c r="D11" s="71" t="e">
        <f>SUM((SUMIFS('capacity data'!G:G,'capacity data'!A:A,B11,'capacity data'!E:E,"PSO"))-SUMIFS('capacity data'!H:H,'capacity data'!A:A,B11,'capacity data'!E:E,"PSO"))/SUMIFS('capacity data'!G:G,'capacity data'!A:A,B11,'capacity data'!E:E,"PSO")</f>
        <v>#DIV/0!</v>
      </c>
      <c r="E11" s="71" t="e">
        <f>SUM((SUMIFS('capacity data'!G:G,'capacity data'!A:A,B11,'capacity data'!E:E,"TPO"))-SUMIFS('capacity data'!H:H,'capacity data'!A:A,B11,'capacity data'!E:E,"TPO"))/SUMIFS('capacity data'!G:G,'capacity data'!A:A,B11,'capacity data'!E:E,"TPO")</f>
        <v>#DIV/0!</v>
      </c>
      <c r="F11" s="155" t="e">
        <f>SUM((SUMIFS('capacity data'!G:G,'capacity data'!A:A,B11))-SUMIFS('capacity data'!H:H,'capacity data'!A:A,B11))/SUMIFS('capacity data'!G:G,'capacity data'!A:A,B11)</f>
        <v>#DIV/0!</v>
      </c>
      <c r="G11" s="156"/>
      <c r="H11" s="70" t="e">
        <f>SUMIFS('capacity data'!$L:$L,'capacity data'!$A:$A,B11,'capacity data'!$E:$E,"PSO")/SUM((SUMIFS('capacity data'!$G:$G,'capacity data'!$E:$E,"PSO",'capacity data'!$A:$A,B11))-SUMIFS('capacity data'!$H:$H,'capacity data'!$E:$E,"PSO",'capacity data'!$A:$A,B11))</f>
        <v>#DIV/0!</v>
      </c>
      <c r="I11" s="70" t="e">
        <f>SUMIFS('capacity data'!$L:$L,'capacity data'!$A:$A,B11,'capacity data'!$E:$E,"PSO")/SUMIFS('capacity data'!$G:$G,'capacity data'!$E:$E,"PSO",'capacity data'!$A:$A,B11)</f>
        <v>#DIV/0!</v>
      </c>
      <c r="J11" s="95"/>
      <c r="K11" s="70" t="e">
        <f>SUMIFS('capacity data'!$L:$L,'capacity data'!$A:$A,B11,'capacity data'!$E:$E,"TPO")/SUM((SUMIFS('capacity data'!$G:$G,'capacity data'!$E:$E,"TPO",'capacity data'!$A:$A,B11))-SUMIFS('capacity data'!$H:$H,'capacity data'!$E:$E,"TPO",'capacity data'!$A:$A,B11))</f>
        <v>#DIV/0!</v>
      </c>
      <c r="L11" s="70" t="e">
        <f>SUMIFS('capacity data'!$L:$L,'capacity data'!$A:$A,B11,'capacity data'!$E:$E,"TPO")/SUMIFS('capacity data'!$G:$G,'capacity data'!$E:$E,"TPO",'capacity data'!$A:$A,B11)</f>
        <v>#DIV/0!</v>
      </c>
    </row>
    <row r="12" spans="1:25" x14ac:dyDescent="0.2">
      <c r="B12" s="149" t="s">
        <v>30</v>
      </c>
      <c r="C12" s="71" t="e">
        <f>SUM((SUMIFS('capacity data'!G:G,'capacity data'!A:A,B12,'capacity data'!E:E,"PO"))-SUMIFS('capacity data'!H:H,'capacity data'!A:A,B12,'capacity data'!E:E,"PO"))/SUMIFS('capacity data'!G:G,'capacity data'!A:A,B12,'capacity data'!E:E,"PO")</f>
        <v>#DIV/0!</v>
      </c>
      <c r="D12" s="71" t="e">
        <f>SUM((SUMIFS('capacity data'!G:G,'capacity data'!A:A,B12,'capacity data'!E:E,"PSO"))-SUMIFS('capacity data'!H:H,'capacity data'!A:A,B12,'capacity data'!E:E,"PSO"))/SUMIFS('capacity data'!G:G,'capacity data'!A:A,B12,'capacity data'!E:E,"PSO")</f>
        <v>#DIV/0!</v>
      </c>
      <c r="E12" s="71" t="e">
        <f>SUM((SUMIFS('capacity data'!G:G,'capacity data'!A:A,B12,'capacity data'!E:E,"TPO"))-SUMIFS('capacity data'!H:H,'capacity data'!A:A,B12,'capacity data'!E:E,"TPO"))/SUMIFS('capacity data'!G:G,'capacity data'!A:A,B12,'capacity data'!E:E,"TPO")</f>
        <v>#DIV/0!</v>
      </c>
      <c r="F12" s="155" t="e">
        <f>SUM((SUMIFS('capacity data'!G:G,'capacity data'!A:A,B12))-SUMIFS('capacity data'!H:H,'capacity data'!A:A,B12))/SUMIFS('capacity data'!G:G,'capacity data'!A:A,B12)</f>
        <v>#DIV/0!</v>
      </c>
      <c r="G12" s="156"/>
      <c r="H12" s="70" t="e">
        <f>SUMIFS('capacity data'!$L:$L,'capacity data'!$A:$A,B12,'capacity data'!$E:$E,"PSO")/SUM((SUMIFS('capacity data'!$G:$G,'capacity data'!$E:$E,"PSO",'capacity data'!$A:$A,B12))-SUMIFS('capacity data'!$H:$H,'capacity data'!$E:$E,"PSO",'capacity data'!$A:$A,B12))</f>
        <v>#DIV/0!</v>
      </c>
      <c r="I12" s="70" t="e">
        <f>SUMIFS('capacity data'!$L:$L,'capacity data'!$A:$A,B12,'capacity data'!$E:$E,"PSO")/SUMIFS('capacity data'!$G:$G,'capacity data'!$E:$E,"PSO",'capacity data'!$A:$A,B12)</f>
        <v>#DIV/0!</v>
      </c>
      <c r="J12" s="95"/>
      <c r="K12" s="70" t="e">
        <f>SUMIFS('capacity data'!$L:$L,'capacity data'!$A:$A,B12,'capacity data'!$E:$E,"TPO")/SUM((SUMIFS('capacity data'!$G:$G,'capacity data'!$E:$E,"TPO",'capacity data'!$A:$A,B12))-SUMIFS('capacity data'!$H:$H,'capacity data'!$E:$E,"TPO",'capacity data'!$A:$A,B12))</f>
        <v>#DIV/0!</v>
      </c>
      <c r="L12" s="70" t="e">
        <f>SUMIFS('capacity data'!$L:$L,'capacity data'!$A:$A,B12,'capacity data'!$E:$E,"TPO")/SUMIFS('capacity data'!$G:$G,'capacity data'!$E:$E,"TPO",'capacity data'!$A:$A,B12)</f>
        <v>#DIV/0!</v>
      </c>
    </row>
    <row r="13" spans="1:25" x14ac:dyDescent="0.2">
      <c r="B13" s="149" t="s">
        <v>31</v>
      </c>
      <c r="C13" s="71" t="e">
        <f>SUM((SUMIFS('capacity data'!G:G,'capacity data'!A:A,B13,'capacity data'!E:E,"PO"))-SUMIFS('capacity data'!H:H,'capacity data'!A:A,B13,'capacity data'!E:E,"PO"))/SUMIFS('capacity data'!G:G,'capacity data'!A:A,B13,'capacity data'!E:E,"PO")</f>
        <v>#DIV/0!</v>
      </c>
      <c r="D13" s="71" t="e">
        <f>SUM((SUMIFS('capacity data'!G:G,'capacity data'!A:A,B13,'capacity data'!E:E,"PSO"))-SUMIFS('capacity data'!H:H,'capacity data'!A:A,B13,'capacity data'!E:E,"PSO"))/SUMIFS('capacity data'!G:G,'capacity data'!A:A,B13,'capacity data'!E:E,"PSO")</f>
        <v>#DIV/0!</v>
      </c>
      <c r="E13" s="71" t="e">
        <f>SUM((SUMIFS('capacity data'!G:G,'capacity data'!A:A,B13,'capacity data'!E:E,"TPO"))-SUMIFS('capacity data'!H:H,'capacity data'!A:A,B13,'capacity data'!E:E,"TPO"))/SUMIFS('capacity data'!G:G,'capacity data'!A:A,B13,'capacity data'!E:E,"TPO")</f>
        <v>#DIV/0!</v>
      </c>
      <c r="F13" s="155" t="e">
        <f>SUM((SUMIFS('capacity data'!G:G,'capacity data'!A:A,B13))-SUMIFS('capacity data'!H:H,'capacity data'!A:A,B13))/SUMIFS('capacity data'!G:G,'capacity data'!A:A,B13)</f>
        <v>#DIV/0!</v>
      </c>
      <c r="G13" s="156"/>
      <c r="H13" s="70" t="e">
        <f>SUMIFS('capacity data'!$L:$L,'capacity data'!$A:$A,B13,'capacity data'!$E:$E,"PSO")/SUM((SUMIFS('capacity data'!$G:$G,'capacity data'!$E:$E,"PSO",'capacity data'!$A:$A,B13))-SUMIFS('capacity data'!$H:$H,'capacity data'!$E:$E,"PSO",'capacity data'!$A:$A,B13))</f>
        <v>#DIV/0!</v>
      </c>
      <c r="I13" s="70" t="e">
        <f>SUMIFS('capacity data'!$L:$L,'capacity data'!$A:$A,B13,'capacity data'!$E:$E,"PSO")/SUMIFS('capacity data'!$G:$G,'capacity data'!$E:$E,"PSO",'capacity data'!$A:$A,B13)</f>
        <v>#DIV/0!</v>
      </c>
      <c r="J13" s="95"/>
      <c r="K13" s="70" t="e">
        <f>SUMIFS('capacity data'!$L:$L,'capacity data'!$A:$A,B13,'capacity data'!$E:$E,"TPO")/SUM((SUMIFS('capacity data'!$G:$G,'capacity data'!$E:$E,"TPO",'capacity data'!$A:$A,B13))-SUMIFS('capacity data'!$H:$H,'capacity data'!$E:$E,"TPO",'capacity data'!$A:$A,B13))</f>
        <v>#DIV/0!</v>
      </c>
      <c r="L13" s="70" t="e">
        <f>SUMIFS('capacity data'!$L:$L,'capacity data'!$A:$A,B13,'capacity data'!$E:$E,"TPO")/SUMIFS('capacity data'!$G:$G,'capacity data'!$E:$E,"TPO",'capacity data'!$A:$A,B13)</f>
        <v>#DIV/0!</v>
      </c>
    </row>
    <row r="14" spans="1:25" x14ac:dyDescent="0.2">
      <c r="B14" s="149" t="s">
        <v>32</v>
      </c>
      <c r="C14" s="71" t="e">
        <f>SUM((SUMIFS('capacity data'!G:G,'capacity data'!A:A,B14,'capacity data'!E:E,"PO"))-SUMIFS('capacity data'!H:H,'capacity data'!A:A,B14,'capacity data'!E:E,"PO"))/SUMIFS('capacity data'!G:G,'capacity data'!A:A,B14,'capacity data'!E:E,"PO")</f>
        <v>#DIV/0!</v>
      </c>
      <c r="D14" s="71" t="e">
        <f>SUM((SUMIFS('capacity data'!G:G,'capacity data'!A:A,B14,'capacity data'!E:E,"PSO"))-SUMIFS('capacity data'!H:H,'capacity data'!A:A,B14,'capacity data'!E:E,"PSO"))/SUMIFS('capacity data'!G:G,'capacity data'!A:A,B14,'capacity data'!E:E,"PSO")</f>
        <v>#DIV/0!</v>
      </c>
      <c r="E14" s="71" t="e">
        <f>SUM((SUMIFS('capacity data'!G:G,'capacity data'!A:A,B14,'capacity data'!E:E,"TPO"))-SUMIFS('capacity data'!H:H,'capacity data'!A:A,B14,'capacity data'!E:E,"TPO"))/SUMIFS('capacity data'!G:G,'capacity data'!A:A,B14,'capacity data'!E:E,"TPO")</f>
        <v>#DIV/0!</v>
      </c>
      <c r="F14" s="155" t="e">
        <f>SUM((SUMIFS('capacity data'!G:G,'capacity data'!A:A,B14))-SUMIFS('capacity data'!H:H,'capacity data'!A:A,B14))/SUMIFS('capacity data'!G:G,'capacity data'!A:A,B14)</f>
        <v>#DIV/0!</v>
      </c>
      <c r="G14" s="156"/>
      <c r="H14" s="70" t="e">
        <f>SUMIFS('capacity data'!$L:$L,'capacity data'!$A:$A,B14,'capacity data'!$E:$E,"PSO")/SUM((SUMIFS('capacity data'!$G:$G,'capacity data'!$E:$E,"PSO",'capacity data'!$A:$A,B14))-SUMIFS('capacity data'!$H:$H,'capacity data'!$E:$E,"PSO",'capacity data'!$A:$A,B14))</f>
        <v>#DIV/0!</v>
      </c>
      <c r="I14" s="70" t="e">
        <f>SUMIFS('capacity data'!$L:$L,'capacity data'!$A:$A,B14,'capacity data'!$E:$E,"PSO")/SUMIFS('capacity data'!$G:$G,'capacity data'!$E:$E,"PSO",'capacity data'!$A:$A,B14)</f>
        <v>#DIV/0!</v>
      </c>
      <c r="J14" s="95"/>
      <c r="K14" s="70" t="e">
        <f>SUMIFS('capacity data'!$L:$L,'capacity data'!$A:$A,B14,'capacity data'!$E:$E,"TPO")/SUM((SUMIFS('capacity data'!$G:$G,'capacity data'!$E:$E,"TPO",'capacity data'!$A:$A,B14))-SUMIFS('capacity data'!$H:$H,'capacity data'!$E:$E,"TPO",'capacity data'!$A:$A,B14))</f>
        <v>#DIV/0!</v>
      </c>
      <c r="L14" s="70" t="e">
        <f>SUMIFS('capacity data'!$L:$L,'capacity data'!$A:$A,B14,'capacity data'!$E:$E,"TPO")/SUMIFS('capacity data'!$G:$G,'capacity data'!$E:$E,"TPO",'capacity data'!$A:$A,B14)</f>
        <v>#DIV/0!</v>
      </c>
    </row>
    <row r="15" spans="1:25" x14ac:dyDescent="0.2">
      <c r="B15" s="149" t="s">
        <v>33</v>
      </c>
      <c r="C15" s="71" t="e">
        <f>SUM((SUMIFS('capacity data'!G:G,'capacity data'!A:A,B15,'capacity data'!E:E,"PO"))-SUMIFS('capacity data'!H:H,'capacity data'!A:A,B15,'capacity data'!E:E,"PO"))/SUMIFS('capacity data'!G:G,'capacity data'!A:A,B15,'capacity data'!E:E,"PO")</f>
        <v>#DIV/0!</v>
      </c>
      <c r="D15" s="71" t="e">
        <f>SUM((SUMIFS('capacity data'!G:G,'capacity data'!A:A,B15,'capacity data'!E:E,"PSO"))-SUMIFS('capacity data'!H:H,'capacity data'!A:A,B15,'capacity data'!E:E,"PSO"))/SUMIFS('capacity data'!G:G,'capacity data'!A:A,B15,'capacity data'!E:E,"PSO")</f>
        <v>#DIV/0!</v>
      </c>
      <c r="E15" s="71" t="e">
        <f>SUM((SUMIFS('capacity data'!G:G,'capacity data'!A:A,B15,'capacity data'!E:E,"TPO"))-SUMIFS('capacity data'!H:H,'capacity data'!A:A,B15,'capacity data'!E:E,"TPO"))/SUMIFS('capacity data'!G:G,'capacity data'!A:A,B15,'capacity data'!E:E,"TPO")</f>
        <v>#DIV/0!</v>
      </c>
      <c r="F15" s="155" t="e">
        <f>SUM((SUMIFS('capacity data'!G:G,'capacity data'!A:A,B15))-SUMIFS('capacity data'!H:H,'capacity data'!A:A,B15))/SUMIFS('capacity data'!G:G,'capacity data'!A:A,B15)</f>
        <v>#DIV/0!</v>
      </c>
      <c r="G15" s="156"/>
      <c r="H15" s="70" t="e">
        <f>SUMIFS('capacity data'!$L:$L,'capacity data'!$A:$A,B15,'capacity data'!$E:$E,"PSO")/SUM((SUMIFS('capacity data'!$G:$G,'capacity data'!$E:$E,"PSO",'capacity data'!$A:$A,B15))-SUMIFS('capacity data'!$H:$H,'capacity data'!$E:$E,"PSO",'capacity data'!$A:$A,B15))</f>
        <v>#DIV/0!</v>
      </c>
      <c r="I15" s="70" t="e">
        <f>SUMIFS('capacity data'!$L:$L,'capacity data'!$A:$A,B15,'capacity data'!$E:$E,"PSO")/SUMIFS('capacity data'!$G:$G,'capacity data'!$E:$E,"PSO",'capacity data'!$A:$A,B15)</f>
        <v>#DIV/0!</v>
      </c>
      <c r="J15" s="95"/>
      <c r="K15" s="70" t="e">
        <f>SUMIFS('capacity data'!$L:$L,'capacity data'!$A:$A,B15,'capacity data'!$E:$E,"TPO")/SUM((SUMIFS('capacity data'!$G:$G,'capacity data'!$E:$E,"TPO",'capacity data'!$A:$A,B15))-SUMIFS('capacity data'!$H:$H,'capacity data'!$E:$E,"TPO",'capacity data'!$A:$A,B15))</f>
        <v>#DIV/0!</v>
      </c>
      <c r="L15" s="70" t="e">
        <f>SUMIFS('capacity data'!$L:$L,'capacity data'!$A:$A,B15,'capacity data'!$E:$E,"TPO")/SUMIFS('capacity data'!$G:$G,'capacity data'!$E:$E,"TPO",'capacity data'!$A:$A,B15)</f>
        <v>#DIV/0!</v>
      </c>
    </row>
    <row r="16" spans="1:25" ht="17" thickBot="1" x14ac:dyDescent="0.25">
      <c r="B16" s="149" t="s">
        <v>34</v>
      </c>
      <c r="C16" s="71" t="e">
        <f>SUM((SUMIFS('capacity data'!G:G,'capacity data'!A:A,B16,'capacity data'!E:E,"PO"))-SUMIFS('capacity data'!H:H,'capacity data'!A:A,B16,'capacity data'!E:E,"PO"))/SUMIFS('capacity data'!G:G,'capacity data'!A:A,B16,'capacity data'!E:E,"PO")</f>
        <v>#DIV/0!</v>
      </c>
      <c r="D16" s="71" t="e">
        <f>SUM((SUMIFS('capacity data'!G:G,'capacity data'!A:A,B16,'capacity data'!E:E,"PSO"))-SUMIFS('capacity data'!H:H,'capacity data'!A:A,B16,'capacity data'!E:E,"PSO"))/SUMIFS('capacity data'!G:G,'capacity data'!A:A,B16,'capacity data'!E:E,"PSO")</f>
        <v>#DIV/0!</v>
      </c>
      <c r="E16" s="71" t="e">
        <f>SUM((SUMIFS('capacity data'!G:G,'capacity data'!A:A,B16,'capacity data'!E:E,"TPO"))-SUMIFS('capacity data'!H:H,'capacity data'!A:A,B16,'capacity data'!E:E,"TPO"))/SUMIFS('capacity data'!G:G,'capacity data'!A:A,B16,'capacity data'!E:E,"TPO")</f>
        <v>#DIV/0!</v>
      </c>
      <c r="F16" s="155" t="e">
        <f>SUM((SUMIFS('capacity data'!G:G,'capacity data'!A:A,B16))-SUMIFS('capacity data'!H:H,'capacity data'!A:A,B16))/SUMIFS('capacity data'!G:G,'capacity data'!A:A,B16)</f>
        <v>#DIV/0!</v>
      </c>
      <c r="G16" s="156"/>
      <c r="H16" s="70" t="e">
        <f>SUMIFS('capacity data'!$L:$L,'capacity data'!$A:$A,B16,'capacity data'!$E:$E,"PSO")/SUM((SUMIFS('capacity data'!$G:$G,'capacity data'!$E:$E,"PSO",'capacity data'!$A:$A,B16))-SUMIFS('capacity data'!$H:$H,'capacity data'!$E:$E,"PSO",'capacity data'!$A:$A,B16))</f>
        <v>#DIV/0!</v>
      </c>
      <c r="I16" s="70" t="e">
        <f>SUMIFS('capacity data'!$L:$L,'capacity data'!$A:$A,B16,'capacity data'!$E:$E,"PSO")/SUMIFS('capacity data'!$G:$G,'capacity data'!$E:$E,"PSO",'capacity data'!$A:$A,B16)</f>
        <v>#DIV/0!</v>
      </c>
      <c r="J16" s="95"/>
      <c r="K16" s="70" t="e">
        <f>SUMIFS('capacity data'!$L:$L,'capacity data'!$A:$A,B16,'capacity data'!$E:$E,"TPO")/SUM((SUMIFS('capacity data'!$G:$G,'capacity data'!$E:$E,"TPO",'capacity data'!$A:$A,B16))-SUMIFS('capacity data'!$H:$H,'capacity data'!$E:$E,"TPO",'capacity data'!$A:$A,B16))</f>
        <v>#DIV/0!</v>
      </c>
      <c r="L16" s="70" t="e">
        <f>SUMIFS('capacity data'!$L:$L,'capacity data'!$A:$A,B16,'capacity data'!$E:$E,"TPO")/SUMIFS('capacity data'!$G:$G,'capacity data'!$E:$E,"TPO",'capacity data'!$A:$A,B16)</f>
        <v>#DIV/0!</v>
      </c>
    </row>
    <row r="17" spans="2:12" ht="17" thickBot="1" x14ac:dyDescent="0.25">
      <c r="B17" s="158" t="s">
        <v>1315</v>
      </c>
      <c r="C17" s="159" t="e">
        <f>SUM((SUMIF('capacity data'!E:E,"PO",'capacity data'!G:G))-SUMIF('capacity data'!E:E,"PO",'capacity data'!H:H))/SUMIF('capacity data'!E:E,"PO",'capacity data'!G:G)</f>
        <v>#DIV/0!</v>
      </c>
      <c r="D17" s="159" t="e">
        <f>SUM((SUMIF('capacity data'!E:E,"PSO",'capacity data'!G:G))-SUMIF('capacity data'!E:E,"PSO",'capacity data'!H:H))/SUMIF('capacity data'!E:E,"PSO",'capacity data'!G:G)</f>
        <v>#DIV/0!</v>
      </c>
      <c r="E17" s="159" t="e">
        <f>SUM((SUMIF('capacity data'!E:E,"TPO",'capacity data'!G:G))-SUMIF('capacity data'!E:E,"TPO",'capacity data'!H:H))/SUMIF('capacity data'!E:E,"TPO",'capacity data'!G:G)</f>
        <v>#DIV/0!</v>
      </c>
      <c r="F17" s="159" t="e">
        <f>SUM((SUM('capacity data'!G:G)-SUM('capacity data'!H:H))/SUM('capacity data'!G:G))</f>
        <v>#DIV/0!</v>
      </c>
      <c r="G17" s="95"/>
      <c r="H17" s="160" t="e">
        <f>SUMIF('capacity data'!$E:$E,"PSO",'capacity data'!$L:$L)/SUM(SUMIF('capacity data'!$E:$E,"PSO",'capacity data'!$G:$G)-SUMIF('capacity data'!$E:$E,"PSO",'capacity data'!$H:$H))</f>
        <v>#DIV/0!</v>
      </c>
      <c r="I17" s="160" t="e">
        <f>SUMIF('capacity data'!$E:$E,"PSO",'capacity data'!$L:$L)/SUMIF('capacity data'!$E:$E,"PSO",'capacity data'!$G:$G)</f>
        <v>#DIV/0!</v>
      </c>
      <c r="J17" s="95"/>
      <c r="K17" s="160" t="e">
        <f>SUMIF('capacity data'!$E:$E,"TPO",'capacity data'!$L:$L)/SUM(SUMIF('capacity data'!$E:$E,"TPO",'capacity data'!$G:$G)-SUMIF('capacity data'!$E:$E,"TPO",'capacity data'!$H:$H))</f>
        <v>#DIV/0!</v>
      </c>
      <c r="L17" s="160" t="e">
        <f>SUMIF('capacity data'!$E:$E,"TPO",'capacity data'!$L:$L)/SUMIF('capacity data'!$E:$E,"TPO",'capacity data'!$G:$G)</f>
        <v>#DIV/0!</v>
      </c>
    </row>
    <row r="23" spans="2:12" x14ac:dyDescent="0.2">
      <c r="C23" s="53"/>
    </row>
  </sheetData>
  <mergeCells count="2">
    <mergeCell ref="A1:L1"/>
    <mergeCell ref="A2:L2"/>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activeCell="B3" sqref="B3"/>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483" t="s">
        <v>1316</v>
      </c>
      <c r="B1" s="483"/>
      <c r="C1" s="483"/>
      <c r="D1" s="483"/>
      <c r="E1" s="483"/>
      <c r="F1" s="483"/>
      <c r="G1" s="483"/>
      <c r="H1" s="483"/>
      <c r="I1" s="483"/>
      <c r="J1" s="483"/>
      <c r="K1" s="483"/>
      <c r="L1" s="483"/>
      <c r="M1" s="273"/>
      <c r="N1" s="273"/>
      <c r="O1" s="273"/>
      <c r="P1" s="273"/>
      <c r="Q1" s="273"/>
      <c r="R1" s="273"/>
    </row>
    <row r="2" spans="1:18" ht="40.5" customHeight="1" x14ac:dyDescent="0.15">
      <c r="A2" s="374"/>
      <c r="B2" s="374"/>
      <c r="C2" s="374"/>
      <c r="D2" s="374"/>
      <c r="E2" s="374"/>
      <c r="F2" s="374"/>
      <c r="G2" s="374"/>
      <c r="H2" s="374"/>
      <c r="I2" s="374"/>
      <c r="J2" s="374"/>
      <c r="K2" s="374"/>
      <c r="L2" s="374"/>
      <c r="M2" s="279"/>
      <c r="N2" s="279"/>
      <c r="O2" s="279"/>
      <c r="P2" s="279"/>
      <c r="Q2" s="279"/>
      <c r="R2" s="279"/>
    </row>
    <row r="4" spans="1:18" ht="16" x14ac:dyDescent="0.2">
      <c r="B4" s="495" t="s">
        <v>1317</v>
      </c>
      <c r="C4" s="496"/>
      <c r="D4" s="496"/>
      <c r="E4" s="6"/>
      <c r="F4" s="393" t="s">
        <v>1318</v>
      </c>
      <c r="G4" s="393"/>
      <c r="H4" s="497"/>
    </row>
    <row r="5" spans="1:18" x14ac:dyDescent="0.15">
      <c r="B5" s="80" t="s">
        <v>1319</v>
      </c>
      <c r="C5" s="80" t="s">
        <v>1020</v>
      </c>
      <c r="D5" s="227" t="s">
        <v>1011</v>
      </c>
      <c r="E5" s="173"/>
      <c r="F5" s="80" t="s">
        <v>1319</v>
      </c>
      <c r="G5" s="80" t="s">
        <v>1020</v>
      </c>
      <c r="H5" s="174" t="s">
        <v>1012</v>
      </c>
    </row>
    <row r="6" spans="1:18" x14ac:dyDescent="0.15">
      <c r="B6" s="66" t="e">
        <f>INDEX('capacity data'!O:O,MATCH(C6,'capacity data'!P:P,0))</f>
        <v>#NUM!</v>
      </c>
      <c r="C6" s="66" t="e">
        <f>INDEX('capacity data'!P:P,MATCH(D6,'capacity data'!Q:Q,0))</f>
        <v>#NUM!</v>
      </c>
      <c r="D6" s="175" t="e">
        <f>LARGE('capacity data'!Q:Q,1)</f>
        <v>#NUM!</v>
      </c>
      <c r="E6" s="156"/>
      <c r="F6" s="66" t="e">
        <f>INDEX('capacity data'!O:O,MATCH(G6,'capacity data'!P:P,0))</f>
        <v>#NUM!</v>
      </c>
      <c r="G6" s="66" t="e">
        <f>INDEX('capacity data'!P:P,MATCH(H6,'capacity data'!R:R,0))</f>
        <v>#NUM!</v>
      </c>
      <c r="H6" s="175" t="e">
        <f>SMALL('capacity data'!R:R,1)</f>
        <v>#NUM!</v>
      </c>
    </row>
    <row r="7" spans="1:18" x14ac:dyDescent="0.15">
      <c r="B7" s="66" t="e">
        <f>INDEX('capacity data'!O:O,MATCH(C7,'capacity data'!P:P,0))</f>
        <v>#NUM!</v>
      </c>
      <c r="C7" s="66" t="e">
        <f>INDEX('capacity data'!P:P,MATCH(D7,'capacity data'!Q:Q,0))</f>
        <v>#NUM!</v>
      </c>
      <c r="D7" s="175" t="e">
        <f>LARGE('capacity data'!Q:Q,2)</f>
        <v>#NUM!</v>
      </c>
      <c r="E7" s="156"/>
      <c r="F7" s="66" t="e">
        <f>INDEX('capacity data'!O:O,MATCH(G7,'capacity data'!P:P,0))</f>
        <v>#NUM!</v>
      </c>
      <c r="G7" s="66" t="e">
        <f>INDEX('capacity data'!P:P,MATCH(H7,'capacity data'!R:R,0))</f>
        <v>#NUM!</v>
      </c>
      <c r="H7" s="175" t="e">
        <f>SMALL('capacity data'!R:R,2)</f>
        <v>#NUM!</v>
      </c>
    </row>
    <row r="8" spans="1:18" x14ac:dyDescent="0.15">
      <c r="B8" s="66" t="e">
        <f>INDEX('capacity data'!O:O,MATCH(C8,'capacity data'!P:P,0))</f>
        <v>#NUM!</v>
      </c>
      <c r="C8" s="66" t="e">
        <f>INDEX('capacity data'!P:P,MATCH(D8,'capacity data'!Q:Q,0))</f>
        <v>#NUM!</v>
      </c>
      <c r="D8" s="175" t="e">
        <f>LARGE('capacity data'!Q:Q,3)</f>
        <v>#NUM!</v>
      </c>
      <c r="E8" s="156"/>
      <c r="F8" s="66" t="e">
        <f>INDEX('capacity data'!O:O,MATCH(G8,'capacity data'!P:P,0))</f>
        <v>#NUM!</v>
      </c>
      <c r="G8" s="66" t="e">
        <f>INDEX('capacity data'!P:P,MATCH(H8,'capacity data'!R:R,0))</f>
        <v>#NUM!</v>
      </c>
      <c r="H8" s="175" t="e">
        <f>SMALL('capacity data'!R:R,3)</f>
        <v>#NUM!</v>
      </c>
    </row>
    <row r="9" spans="1:18" x14ac:dyDescent="0.15">
      <c r="B9" s="66" t="e">
        <f>INDEX('capacity data'!O:O,MATCH(C9,'capacity data'!P:P,0))</f>
        <v>#NUM!</v>
      </c>
      <c r="C9" s="66" t="e">
        <f>INDEX('capacity data'!P:P,MATCH(D9,'capacity data'!Q:Q,0))</f>
        <v>#NUM!</v>
      </c>
      <c r="D9" s="175" t="e">
        <f>LARGE('capacity data'!Q:Q,4)</f>
        <v>#NUM!</v>
      </c>
      <c r="E9" s="156"/>
      <c r="F9" s="66" t="e">
        <f>INDEX('capacity data'!O:O,MATCH(G9,'capacity data'!P:P,0))</f>
        <v>#NUM!</v>
      </c>
      <c r="G9" s="66" t="e">
        <f>INDEX('capacity data'!P:P,MATCH(H9,'capacity data'!R:R,0))</f>
        <v>#NUM!</v>
      </c>
      <c r="H9" s="175" t="e">
        <f>SMALL('capacity data'!R:R,4)</f>
        <v>#NUM!</v>
      </c>
    </row>
    <row r="10" spans="1:18" x14ac:dyDescent="0.15">
      <c r="B10" s="66" t="e">
        <f>INDEX('capacity data'!O:O,MATCH(C10,'capacity data'!P:P,0))</f>
        <v>#NUM!</v>
      </c>
      <c r="C10" s="66" t="e">
        <f>INDEX('capacity data'!P:P,MATCH(D10,'capacity data'!Q:Q,0))</f>
        <v>#NUM!</v>
      </c>
      <c r="D10" s="175" t="e">
        <f>LARGE('capacity data'!Q:Q,5)</f>
        <v>#NUM!</v>
      </c>
      <c r="E10" s="156"/>
      <c r="F10" s="66" t="e">
        <f>INDEX('capacity data'!O:O,MATCH(G10,'capacity data'!P:P,0))</f>
        <v>#NUM!</v>
      </c>
      <c r="G10" s="66" t="e">
        <f>INDEX('capacity data'!P:P,MATCH(H10,'capacity data'!R:R,0))</f>
        <v>#NUM!</v>
      </c>
      <c r="H10" s="175" t="e">
        <f>SMALL('capacity data'!R:R,5)</f>
        <v>#NUM!</v>
      </c>
    </row>
    <row r="11" spans="1:18" x14ac:dyDescent="0.15">
      <c r="B11" s="66" t="e">
        <f>INDEX('capacity data'!O:O,MATCH(C11,'capacity data'!P:P,0))</f>
        <v>#NUM!</v>
      </c>
      <c r="C11" s="66" t="e">
        <f>INDEX('capacity data'!P:P,MATCH(D11,'capacity data'!Q:Q,0))</f>
        <v>#NUM!</v>
      </c>
      <c r="D11" s="175" t="e">
        <f>LARGE('capacity data'!Q:Q,6)</f>
        <v>#NUM!</v>
      </c>
      <c r="E11" s="156"/>
      <c r="F11" s="66" t="e">
        <f>INDEX('capacity data'!O:O,MATCH(G11,'capacity data'!P:P,0))</f>
        <v>#NUM!</v>
      </c>
      <c r="G11" s="66" t="e">
        <f>INDEX('capacity data'!P:P,MATCH(H11,'capacity data'!R:R,0))</f>
        <v>#NUM!</v>
      </c>
      <c r="H11" s="175" t="e">
        <f>SMALL('capacity data'!R:R,6)</f>
        <v>#NUM!</v>
      </c>
    </row>
    <row r="12" spans="1:18" x14ac:dyDescent="0.15">
      <c r="B12" s="66" t="e">
        <f>INDEX('capacity data'!O:O,MATCH(C12,'capacity data'!P:P,0))</f>
        <v>#NUM!</v>
      </c>
      <c r="C12" s="66" t="e">
        <f>INDEX('capacity data'!P:P,MATCH(D12,'capacity data'!Q:Q,0))</f>
        <v>#NUM!</v>
      </c>
      <c r="D12" s="175" t="e">
        <f>LARGE('capacity data'!Q:Q,7)</f>
        <v>#NUM!</v>
      </c>
      <c r="E12" s="156"/>
      <c r="F12" s="66" t="e">
        <f>INDEX('capacity data'!O:O,MATCH(G12,'capacity data'!P:P,0))</f>
        <v>#NUM!</v>
      </c>
      <c r="G12" s="66" t="e">
        <f>INDEX('capacity data'!P:P,MATCH(H12,'capacity data'!R:R,0))</f>
        <v>#NUM!</v>
      </c>
      <c r="H12" s="175" t="e">
        <f>SMALL('capacity data'!R:R,7)</f>
        <v>#NUM!</v>
      </c>
    </row>
    <row r="13" spans="1:18" x14ac:dyDescent="0.15">
      <c r="B13" s="66" t="e">
        <f>INDEX('capacity data'!O:O,MATCH(C13,'capacity data'!P:P,0))</f>
        <v>#NUM!</v>
      </c>
      <c r="C13" s="66" t="e">
        <f>INDEX('capacity data'!P:P,MATCH(D13,'capacity data'!Q:Q,0))</f>
        <v>#NUM!</v>
      </c>
      <c r="D13" s="175" t="e">
        <f>LARGE('capacity data'!Q:Q,8)</f>
        <v>#NUM!</v>
      </c>
      <c r="E13" s="156"/>
      <c r="F13" s="66" t="e">
        <f>INDEX('capacity data'!O:O,MATCH(G13,'capacity data'!P:P,0))</f>
        <v>#NUM!</v>
      </c>
      <c r="G13" s="66" t="e">
        <f>INDEX('capacity data'!P:P,MATCH(H13,'capacity data'!R:R,0))</f>
        <v>#NUM!</v>
      </c>
      <c r="H13" s="175" t="e">
        <f>SMALL('capacity data'!R:R,8)</f>
        <v>#NUM!</v>
      </c>
    </row>
    <row r="14" spans="1:18" x14ac:dyDescent="0.15">
      <c r="B14" s="66" t="e">
        <f>INDEX('capacity data'!O:O,MATCH(C14,'capacity data'!P:P,0))</f>
        <v>#NUM!</v>
      </c>
      <c r="C14" s="66" t="e">
        <f>INDEX('capacity data'!P:P,MATCH(D14,'capacity data'!Q:Q,0))</f>
        <v>#NUM!</v>
      </c>
      <c r="D14" s="175" t="e">
        <f>LARGE('capacity data'!Q:Q,9)</f>
        <v>#NUM!</v>
      </c>
      <c r="E14" s="156"/>
      <c r="F14" s="66" t="e">
        <f>INDEX('capacity data'!O:O,MATCH(G14,'capacity data'!P:P,0))</f>
        <v>#NUM!</v>
      </c>
      <c r="G14" s="66" t="e">
        <f>INDEX('capacity data'!P:P,MATCH(H14,'capacity data'!R:R,0))</f>
        <v>#NUM!</v>
      </c>
      <c r="H14" s="175" t="e">
        <f>SMALL('capacity data'!R:R,9)</f>
        <v>#NUM!</v>
      </c>
    </row>
    <row r="15" spans="1:18" x14ac:dyDescent="0.15">
      <c r="B15" s="66" t="e">
        <f>INDEX('capacity data'!O:O,MATCH(C15,'capacity data'!P:P,0))</f>
        <v>#NUM!</v>
      </c>
      <c r="C15" s="66" t="e">
        <f>INDEX('capacity data'!P:P,MATCH(D15,'capacity data'!Q:Q,0))</f>
        <v>#NUM!</v>
      </c>
      <c r="D15" s="175" t="e">
        <f>LARGE('capacity data'!Q:Q,10)</f>
        <v>#NUM!</v>
      </c>
      <c r="E15" s="156"/>
      <c r="F15" s="66" t="e">
        <f>INDEX('capacity data'!O:O,MATCH(G15,'capacity data'!P:P,0))</f>
        <v>#NUM!</v>
      </c>
      <c r="G15" s="66" t="e">
        <f>INDEX('capacity data'!P:P,MATCH(H15,'capacity data'!R:R,0))</f>
        <v>#NUM!</v>
      </c>
      <c r="H15" s="175" t="e">
        <f>SMALL('capacity data'!R:R,10)</f>
        <v>#NUM!</v>
      </c>
    </row>
    <row r="17" spans="2:12" x14ac:dyDescent="0.15">
      <c r="B17" s="498" t="s">
        <v>1320</v>
      </c>
      <c r="C17" s="499"/>
      <c r="D17" s="500"/>
      <c r="F17" s="493" t="s">
        <v>1321</v>
      </c>
      <c r="G17" s="493"/>
      <c r="H17" s="493"/>
      <c r="J17" s="493" t="s">
        <v>1322</v>
      </c>
      <c r="K17" s="493"/>
      <c r="L17" s="493"/>
    </row>
    <row r="18" spans="2:12" ht="30.75" customHeight="1" x14ac:dyDescent="0.15">
      <c r="B18" s="501"/>
      <c r="C18" s="502"/>
      <c r="D18" s="503"/>
      <c r="F18" s="494"/>
      <c r="G18" s="494"/>
      <c r="H18" s="494"/>
      <c r="J18" s="494"/>
      <c r="K18" s="494"/>
      <c r="L18" s="494"/>
    </row>
    <row r="19" spans="2:12" ht="39" customHeight="1" x14ac:dyDescent="0.15">
      <c r="B19" s="80" t="s">
        <v>1319</v>
      </c>
      <c r="C19" s="80" t="s">
        <v>1020</v>
      </c>
      <c r="D19" s="227" t="s">
        <v>1323</v>
      </c>
      <c r="F19" s="80" t="s">
        <v>1319</v>
      </c>
      <c r="G19" s="80" t="s">
        <v>1020</v>
      </c>
      <c r="H19" s="80" t="s">
        <v>1324</v>
      </c>
      <c r="J19" s="80" t="s">
        <v>1319</v>
      </c>
      <c r="K19" s="80" t="s">
        <v>1020</v>
      </c>
      <c r="L19" s="80" t="s">
        <v>1324</v>
      </c>
    </row>
    <row r="20" spans="2:12" x14ac:dyDescent="0.15">
      <c r="B20" s="66" t="e">
        <f>INDEX('capacity data'!O:O,MATCH(C20,'capacity data'!P:P,0))</f>
        <v>#NUM!</v>
      </c>
      <c r="C20" s="66" t="e">
        <f>INDEX('capacity data'!P:P,MATCH(D20,'capacity data'!S:S,0))</f>
        <v>#NUM!</v>
      </c>
      <c r="D20" s="175" t="e">
        <f>LARGE('capacity data'!S:S,1)</f>
        <v>#NUM!</v>
      </c>
      <c r="F20" s="66" t="e">
        <f>INDEX('capacity data'!O:O,MATCH(H20,'capacity data'!T:T,0))</f>
        <v>#NUM!</v>
      </c>
      <c r="G20" s="66" t="e">
        <f>INDEX('capacity data'!P:P,MATCH(H20,'capacity data'!T:T,0))</f>
        <v>#NUM!</v>
      </c>
      <c r="H20" s="70" t="e">
        <f>LARGE('capacity data'!$T:$T,1)</f>
        <v>#NUM!</v>
      </c>
      <c r="J20" s="66" t="e">
        <f>INDEX('capacity data'!O:O,MATCH(L20,'capacity data'!T:T,0))</f>
        <v>#NUM!</v>
      </c>
      <c r="K20" s="66" t="e">
        <f>INDEX('capacity data'!P:P,MATCH(L20,'capacity data'!T:T,0))</f>
        <v>#NUM!</v>
      </c>
      <c r="L20" s="70" t="e">
        <f>SMALL('capacity data'!$T:$T,1)</f>
        <v>#NUM!</v>
      </c>
    </row>
    <row r="21" spans="2:12" x14ac:dyDescent="0.15">
      <c r="B21" s="66" t="e">
        <f>INDEX('capacity data'!O:O,MATCH(C21,'capacity data'!P:P,0))</f>
        <v>#NUM!</v>
      </c>
      <c r="C21" s="66" t="e">
        <f>INDEX('capacity data'!P:P,MATCH(D21,'capacity data'!S:S,0))</f>
        <v>#NUM!</v>
      </c>
      <c r="D21" s="175" t="e">
        <f>LARGE('capacity data'!S:S,2)</f>
        <v>#NUM!</v>
      </c>
      <c r="F21" s="66" t="e">
        <f>INDEX('capacity data'!O:O,MATCH(H21,'capacity data'!T:T,0))</f>
        <v>#NUM!</v>
      </c>
      <c r="G21" s="66" t="e">
        <f>INDEX('capacity data'!P:P,MATCH(H21,'capacity data'!T:T,0))</f>
        <v>#NUM!</v>
      </c>
      <c r="H21" s="70" t="e">
        <f>LARGE('capacity data'!$T:$T,2)</f>
        <v>#NUM!</v>
      </c>
      <c r="J21" s="66" t="e">
        <f>INDEX('capacity data'!O:O,MATCH(L21,'capacity data'!T:T,0))</f>
        <v>#NUM!</v>
      </c>
      <c r="K21" s="66" t="e">
        <f>INDEX('capacity data'!P:P,MATCH(L21,'capacity data'!T:T,0))</f>
        <v>#NUM!</v>
      </c>
      <c r="L21" s="70" t="e">
        <f>SMALL('capacity data'!$T:$T,2)</f>
        <v>#NUM!</v>
      </c>
    </row>
    <row r="22" spans="2:12" x14ac:dyDescent="0.15">
      <c r="B22" s="66" t="e">
        <f>INDEX('capacity data'!O:O,MATCH(C22,'capacity data'!P:P,0))</f>
        <v>#NUM!</v>
      </c>
      <c r="C22" s="66" t="e">
        <f>INDEX('capacity data'!P:P,MATCH(D22,'capacity data'!S:S,0))</f>
        <v>#NUM!</v>
      </c>
      <c r="D22" s="175" t="e">
        <f>LARGE('capacity data'!S:S,3)</f>
        <v>#NUM!</v>
      </c>
      <c r="F22" s="66" t="e">
        <f>INDEX('capacity data'!O:O,MATCH(H22,'capacity data'!T:T,0))</f>
        <v>#NUM!</v>
      </c>
      <c r="G22" s="66" t="e">
        <f>INDEX('capacity data'!P:P,MATCH(H22,'capacity data'!T:T,0))</f>
        <v>#NUM!</v>
      </c>
      <c r="H22" s="70" t="e">
        <f>LARGE('capacity data'!$T:$T,3)</f>
        <v>#NUM!</v>
      </c>
      <c r="J22" s="66" t="e">
        <f>INDEX('capacity data'!O:O,MATCH(L22,'capacity data'!T:T,0))</f>
        <v>#NUM!</v>
      </c>
      <c r="K22" s="66" t="e">
        <f>INDEX('capacity data'!P:P,MATCH(L22,'capacity data'!T:T,0))</f>
        <v>#NUM!</v>
      </c>
      <c r="L22" s="70" t="e">
        <f>SMALL('capacity data'!$T:$T,3)</f>
        <v>#NUM!</v>
      </c>
    </row>
    <row r="23" spans="2:12" x14ac:dyDescent="0.15">
      <c r="B23" s="66" t="e">
        <f>INDEX('capacity data'!O:O,MATCH(C23,'capacity data'!P:P,0))</f>
        <v>#NUM!</v>
      </c>
      <c r="C23" s="66" t="e">
        <f>INDEX('capacity data'!P:P,MATCH(D23,'capacity data'!S:S,0))</f>
        <v>#NUM!</v>
      </c>
      <c r="D23" s="175" t="e">
        <f>LARGE('capacity data'!S:S,4)</f>
        <v>#NUM!</v>
      </c>
      <c r="F23" s="66" t="e">
        <f>INDEX('capacity data'!O:O,MATCH(H23,'capacity data'!T:T,0))</f>
        <v>#NUM!</v>
      </c>
      <c r="G23" s="66" t="e">
        <f>INDEX('capacity data'!P:P,MATCH(H23,'capacity data'!T:T,0))</f>
        <v>#NUM!</v>
      </c>
      <c r="H23" s="70" t="e">
        <f>LARGE('capacity data'!$T:$T,4)</f>
        <v>#NUM!</v>
      </c>
      <c r="J23" s="66" t="e">
        <f>INDEX('capacity data'!O:O,MATCH(L23,'capacity data'!T:T,0))</f>
        <v>#NUM!</v>
      </c>
      <c r="K23" s="66" t="e">
        <f>INDEX('capacity data'!P:P,MATCH(L23,'capacity data'!T:T,0))</f>
        <v>#NUM!</v>
      </c>
      <c r="L23" s="70" t="e">
        <f>SMALL('capacity data'!$T:$T,4)</f>
        <v>#NUM!</v>
      </c>
    </row>
    <row r="24" spans="2:12" x14ac:dyDescent="0.15">
      <c r="B24" s="66" t="e">
        <f>INDEX('capacity data'!O:O,MATCH(C24,'capacity data'!P:P,0))</f>
        <v>#NUM!</v>
      </c>
      <c r="C24" s="66" t="e">
        <f>INDEX('capacity data'!P:P,MATCH(D24,'capacity data'!S:S,0))</f>
        <v>#NUM!</v>
      </c>
      <c r="D24" s="175" t="e">
        <f>LARGE('capacity data'!S:S,5)</f>
        <v>#NUM!</v>
      </c>
      <c r="F24" s="66" t="e">
        <f>INDEX('capacity data'!O:O,MATCH(H24,'capacity data'!T:T,0))</f>
        <v>#NUM!</v>
      </c>
      <c r="G24" s="66" t="e">
        <f>INDEX('capacity data'!P:P,MATCH(H24,'capacity data'!T:T,0))</f>
        <v>#NUM!</v>
      </c>
      <c r="H24" s="70" t="e">
        <f>LARGE('capacity data'!$T:$T,5)</f>
        <v>#NUM!</v>
      </c>
      <c r="J24" s="66" t="e">
        <f>INDEX('capacity data'!O:O,MATCH(L24,'capacity data'!T:T,0))</f>
        <v>#NUM!</v>
      </c>
      <c r="K24" s="66" t="e">
        <f>INDEX('capacity data'!P:P,MATCH(L24,'capacity data'!T:T,0))</f>
        <v>#NUM!</v>
      </c>
      <c r="L24" s="70" t="e">
        <f>SMALL('capacity data'!$T:$T,5)</f>
        <v>#NUM!</v>
      </c>
    </row>
    <row r="25" spans="2:12" x14ac:dyDescent="0.15">
      <c r="B25" s="66" t="e">
        <f>INDEX('capacity data'!O:O,MATCH(C25,'capacity data'!P:P,0))</f>
        <v>#NUM!</v>
      </c>
      <c r="C25" s="66" t="e">
        <f>INDEX('capacity data'!P:P,MATCH(D25,'capacity data'!S:S,0))</f>
        <v>#NUM!</v>
      </c>
      <c r="D25" s="175" t="e">
        <f>LARGE('capacity data'!S:S,6)</f>
        <v>#NUM!</v>
      </c>
      <c r="F25" s="66" t="e">
        <f>INDEX('capacity data'!O:O,MATCH(H25,'capacity data'!T:T,0))</f>
        <v>#NUM!</v>
      </c>
      <c r="G25" s="66" t="e">
        <f>INDEX('capacity data'!P:P,MATCH(H25,'capacity data'!T:T,0))</f>
        <v>#NUM!</v>
      </c>
      <c r="H25" s="70" t="e">
        <f>LARGE('capacity data'!$T:$T,6)</f>
        <v>#NUM!</v>
      </c>
      <c r="J25" s="66" t="e">
        <f>INDEX('capacity data'!O:O,MATCH(L25,'capacity data'!T:T,0))</f>
        <v>#NUM!</v>
      </c>
      <c r="K25" s="66" t="e">
        <f>INDEX('capacity data'!P:P,MATCH(L25,'capacity data'!T:T,0))</f>
        <v>#NUM!</v>
      </c>
      <c r="L25" s="70" t="e">
        <f>SMALL('capacity data'!$T:$T,6)</f>
        <v>#NUM!</v>
      </c>
    </row>
    <row r="26" spans="2:12" x14ac:dyDescent="0.15">
      <c r="B26" s="66" t="e">
        <f>INDEX('capacity data'!O:O,MATCH(C26,'capacity data'!P:P,0))</f>
        <v>#NUM!</v>
      </c>
      <c r="C26" s="66" t="e">
        <f>INDEX('capacity data'!P:P,MATCH(D26,'capacity data'!S:S,0))</f>
        <v>#NUM!</v>
      </c>
      <c r="D26" s="175" t="e">
        <f>LARGE('capacity data'!S:S,7)</f>
        <v>#NUM!</v>
      </c>
      <c r="F26" s="66" t="e">
        <f>INDEX('capacity data'!O:O,MATCH(H26,'capacity data'!T:T,0))</f>
        <v>#NUM!</v>
      </c>
      <c r="G26" s="66" t="e">
        <f>INDEX('capacity data'!P:P,MATCH(H26,'capacity data'!T:T,0))</f>
        <v>#NUM!</v>
      </c>
      <c r="H26" s="70" t="e">
        <f>LARGE('capacity data'!$T:$T,7)</f>
        <v>#NUM!</v>
      </c>
      <c r="J26" s="66" t="e">
        <f>INDEX('capacity data'!O:O,MATCH(L26,'capacity data'!T:T,0))</f>
        <v>#NUM!</v>
      </c>
      <c r="K26" s="66" t="e">
        <f>INDEX('capacity data'!P:P,MATCH(L26,'capacity data'!T:T,0))</f>
        <v>#NUM!</v>
      </c>
      <c r="L26" s="70" t="e">
        <f>SMALL('capacity data'!$T:$T,7)</f>
        <v>#NUM!</v>
      </c>
    </row>
    <row r="27" spans="2:12" x14ac:dyDescent="0.15">
      <c r="B27" s="66" t="e">
        <f>INDEX('capacity data'!O:O,MATCH(C27,'capacity data'!P:P,0))</f>
        <v>#NUM!</v>
      </c>
      <c r="C27" s="66" t="e">
        <f>INDEX('capacity data'!P:P,MATCH(D27,'capacity data'!S:S,0))</f>
        <v>#NUM!</v>
      </c>
      <c r="D27" s="175" t="e">
        <f>LARGE('capacity data'!S:S,8)</f>
        <v>#NUM!</v>
      </c>
      <c r="F27" s="66" t="e">
        <f>INDEX('capacity data'!O:O,MATCH(H27,'capacity data'!T:T,0))</f>
        <v>#NUM!</v>
      </c>
      <c r="G27" s="66" t="e">
        <f>INDEX('capacity data'!P:P,MATCH(H27,'capacity data'!T:T,0))</f>
        <v>#NUM!</v>
      </c>
      <c r="H27" s="70" t="e">
        <f>LARGE('capacity data'!$T:$T,8)</f>
        <v>#NUM!</v>
      </c>
      <c r="J27" s="66" t="e">
        <f>INDEX('capacity data'!O:O,MATCH(L27,'capacity data'!T:T,0))</f>
        <v>#NUM!</v>
      </c>
      <c r="K27" s="66" t="e">
        <f>INDEX('capacity data'!P:P,MATCH(L27,'capacity data'!T:T,0))</f>
        <v>#NUM!</v>
      </c>
      <c r="L27" s="70" t="e">
        <f>SMALL('capacity data'!$T:$T,8)</f>
        <v>#NUM!</v>
      </c>
    </row>
    <row r="28" spans="2:12" x14ac:dyDescent="0.15">
      <c r="B28" s="66" t="e">
        <f>INDEX('capacity data'!O:O,MATCH(C28,'capacity data'!P:P,0))</f>
        <v>#NUM!</v>
      </c>
      <c r="C28" s="66" t="e">
        <f>INDEX('capacity data'!P:P,MATCH(D28,'capacity data'!S:S,0))</f>
        <v>#NUM!</v>
      </c>
      <c r="D28" s="175" t="e">
        <f>LARGE('capacity data'!S:S,9)</f>
        <v>#NUM!</v>
      </c>
      <c r="F28" s="66" t="e">
        <f>INDEX('capacity data'!O:O,MATCH(H28,'capacity data'!T:T,0))</f>
        <v>#NUM!</v>
      </c>
      <c r="G28" s="66" t="e">
        <f>INDEX('capacity data'!P:P,MATCH(H28,'capacity data'!T:T,0))</f>
        <v>#NUM!</v>
      </c>
      <c r="H28" s="70" t="e">
        <f>LARGE('capacity data'!$T:$T,9)</f>
        <v>#NUM!</v>
      </c>
      <c r="J28" s="66" t="e">
        <f>INDEX('capacity data'!O:O,MATCH(L28,'capacity data'!T:T,0))</f>
        <v>#NUM!</v>
      </c>
      <c r="K28" s="66" t="e">
        <f>INDEX('capacity data'!P:P,MATCH(L28,'capacity data'!T:T,0))</f>
        <v>#NUM!</v>
      </c>
      <c r="L28" s="70" t="e">
        <f>SMALL('capacity data'!$T:$T,9)</f>
        <v>#NUM!</v>
      </c>
    </row>
    <row r="29" spans="2:12" x14ac:dyDescent="0.15">
      <c r="B29" s="66" t="e">
        <f>INDEX('capacity data'!O:O,MATCH(C29,'capacity data'!P:P,0))</f>
        <v>#NUM!</v>
      </c>
      <c r="C29" s="66" t="e">
        <f>INDEX('capacity data'!P:P,MATCH(D29,'capacity data'!S:S,0))</f>
        <v>#NUM!</v>
      </c>
      <c r="D29" s="175" t="e">
        <f>LARGE('capacity data'!S:S,10)</f>
        <v>#NUM!</v>
      </c>
      <c r="F29" s="66" t="e">
        <f>INDEX('capacity data'!O:O,MATCH(H29,'capacity data'!T:T,0))</f>
        <v>#NUM!</v>
      </c>
      <c r="G29" s="66" t="e">
        <f>INDEX('capacity data'!P:P,MATCH(H29,'capacity data'!T:T,0))</f>
        <v>#NUM!</v>
      </c>
      <c r="H29" s="70" t="e">
        <f>LARGE('capacity data'!$T:$T,10)</f>
        <v>#NUM!</v>
      </c>
      <c r="J29" s="66" t="e">
        <f>INDEX('capacity data'!O:O,MATCH(L29,'capacity data'!T:T,0))</f>
        <v>#NUM!</v>
      </c>
      <c r="K29" s="66" t="e">
        <f>INDEX('capacity data'!P:P,MATCH(L29,'capacity data'!T:T,0))</f>
        <v>#NUM!</v>
      </c>
      <c r="L29" s="70" t="e">
        <f>SMALL('capacity data'!$T:$T,10)</f>
        <v>#NUM!</v>
      </c>
    </row>
    <row r="32" spans="2:12" x14ac:dyDescent="0.15">
      <c r="B32" s="493" t="s">
        <v>1325</v>
      </c>
      <c r="C32" s="493"/>
      <c r="D32" s="493"/>
      <c r="F32" s="493" t="s">
        <v>1326</v>
      </c>
      <c r="G32" s="493"/>
      <c r="H32" s="493"/>
    </row>
    <row r="33" spans="2:8" ht="30" customHeight="1" x14ac:dyDescent="0.15">
      <c r="B33" s="494"/>
      <c r="C33" s="494"/>
      <c r="D33" s="494"/>
      <c r="F33" s="494"/>
      <c r="G33" s="494"/>
      <c r="H33" s="494"/>
    </row>
    <row r="34" spans="2:8" x14ac:dyDescent="0.15">
      <c r="B34" s="80" t="s">
        <v>1319</v>
      </c>
      <c r="C34" s="80" t="s">
        <v>1020</v>
      </c>
      <c r="D34" s="80" t="s">
        <v>1324</v>
      </c>
      <c r="F34" s="80" t="s">
        <v>1319</v>
      </c>
      <c r="G34" s="80" t="s">
        <v>1020</v>
      </c>
      <c r="H34" s="80" t="s">
        <v>1324</v>
      </c>
    </row>
    <row r="35" spans="2:8" x14ac:dyDescent="0.15">
      <c r="B35" s="66" t="e">
        <f>INDEX('capacity data'!O:O,MATCH(D35,'capacity data'!U:U,0))</f>
        <v>#NUM!</v>
      </c>
      <c r="C35" s="66" t="e">
        <f>INDEX('capacity data'!$P:$P,MATCH(D35,'capacity data'!U:U,0))</f>
        <v>#NUM!</v>
      </c>
      <c r="D35" s="70" t="e">
        <f>LARGE('capacity data'!$U:$U,1)</f>
        <v>#NUM!</v>
      </c>
      <c r="F35" s="66" t="e">
        <f>INDEX('capacity data'!$O:$O,MATCH(H35,'capacity data'!$U:$U,0))</f>
        <v>#NUM!</v>
      </c>
      <c r="G35" s="66" t="e">
        <f>INDEX('capacity data'!$P:$P,MATCH(H35,'capacity data'!$U:$U,0))</f>
        <v>#NUM!</v>
      </c>
      <c r="H35" s="70" t="e">
        <f>SMALL('capacity data'!$U:$U,1)</f>
        <v>#NUM!</v>
      </c>
    </row>
    <row r="36" spans="2:8" x14ac:dyDescent="0.15">
      <c r="B36" s="66" t="e">
        <f>INDEX('capacity data'!O:O,MATCH(D36,'capacity data'!U:U,0))</f>
        <v>#NUM!</v>
      </c>
      <c r="C36" s="66" t="e">
        <f>INDEX('capacity data'!$P:$P,MATCH(D36,'capacity data'!U:U,0))</f>
        <v>#NUM!</v>
      </c>
      <c r="D36" s="70" t="e">
        <f>LARGE('capacity data'!$U:$U,2)</f>
        <v>#NUM!</v>
      </c>
      <c r="F36" s="66" t="e">
        <f>INDEX('capacity data'!$O:$O,MATCH(H36,'capacity data'!$U:$U,0))</f>
        <v>#NUM!</v>
      </c>
      <c r="G36" s="66" t="e">
        <f>INDEX('capacity data'!$P:$P,MATCH(H36,'capacity data'!$U:$U,0))</f>
        <v>#NUM!</v>
      </c>
      <c r="H36" s="70" t="e">
        <f>SMALL('capacity data'!$U:$U,2)</f>
        <v>#NUM!</v>
      </c>
    </row>
    <row r="37" spans="2:8" x14ac:dyDescent="0.15">
      <c r="B37" s="66" t="e">
        <f>INDEX('capacity data'!O:O,MATCH(D37,'capacity data'!U:U,0))</f>
        <v>#NUM!</v>
      </c>
      <c r="C37" s="66" t="e">
        <f>INDEX('capacity data'!$P:$P,MATCH(D37,'capacity data'!U:U,0))</f>
        <v>#NUM!</v>
      </c>
      <c r="D37" s="70" t="e">
        <f>LARGE('capacity data'!$U:$U,3)</f>
        <v>#NUM!</v>
      </c>
      <c r="F37" s="66" t="e">
        <f>INDEX('capacity data'!$O:$O,MATCH(H37,'capacity data'!$U:$U,0))</f>
        <v>#NUM!</v>
      </c>
      <c r="G37" s="66" t="e">
        <f>INDEX('capacity data'!$P:$P,MATCH(H37,'capacity data'!$U:$U,0))</f>
        <v>#NUM!</v>
      </c>
      <c r="H37" s="70" t="e">
        <f>SMALL('capacity data'!$U:$U,3)</f>
        <v>#NUM!</v>
      </c>
    </row>
    <row r="38" spans="2:8" x14ac:dyDescent="0.15">
      <c r="B38" s="66" t="e">
        <f>INDEX('capacity data'!O:O,MATCH(D38,'capacity data'!U:U,0))</f>
        <v>#NUM!</v>
      </c>
      <c r="C38" s="66" t="e">
        <f>INDEX('capacity data'!$P:$P,MATCH(D38,'capacity data'!U:U,0))</f>
        <v>#NUM!</v>
      </c>
      <c r="D38" s="70" t="e">
        <f>LARGE('capacity data'!$U:$U,4)</f>
        <v>#NUM!</v>
      </c>
      <c r="F38" s="66" t="e">
        <f>INDEX('capacity data'!$O:$O,MATCH(H38,'capacity data'!$U:$U,0))</f>
        <v>#NUM!</v>
      </c>
      <c r="G38" s="66" t="e">
        <f>INDEX('capacity data'!$P:$P,MATCH(H38,'capacity data'!$U:$U,0))</f>
        <v>#NUM!</v>
      </c>
      <c r="H38" s="70" t="e">
        <f>SMALL('capacity data'!$U:$U,4)</f>
        <v>#NUM!</v>
      </c>
    </row>
    <row r="39" spans="2:8" x14ac:dyDescent="0.15">
      <c r="B39" s="66" t="e">
        <f>INDEX('capacity data'!O:O,MATCH(D39,'capacity data'!U:U,0))</f>
        <v>#NUM!</v>
      </c>
      <c r="C39" s="66" t="e">
        <f>INDEX('capacity data'!$P:$P,MATCH(D39,'capacity data'!U:U,0))</f>
        <v>#NUM!</v>
      </c>
      <c r="D39" s="70" t="e">
        <f>LARGE('capacity data'!$U:$U,5)</f>
        <v>#NUM!</v>
      </c>
      <c r="F39" s="66" t="e">
        <f>INDEX('capacity data'!$O:$O,MATCH(H39,'capacity data'!$U:$U,0))</f>
        <v>#NUM!</v>
      </c>
      <c r="G39" s="66" t="e">
        <f>INDEX('capacity data'!$P:$P,MATCH(H39,'capacity data'!$U:$U,0))</f>
        <v>#NUM!</v>
      </c>
      <c r="H39" s="70" t="e">
        <f>SMALL('capacity data'!$U:$U,5)</f>
        <v>#NUM!</v>
      </c>
    </row>
    <row r="40" spans="2:8" x14ac:dyDescent="0.15">
      <c r="B40" s="66" t="e">
        <f>INDEX('capacity data'!O:O,MATCH(D40,'capacity data'!U:U,0))</f>
        <v>#NUM!</v>
      </c>
      <c r="C40" s="66" t="e">
        <f>INDEX('capacity data'!$P:$P,MATCH(D40,'capacity data'!U:U,0))</f>
        <v>#NUM!</v>
      </c>
      <c r="D40" s="70" t="e">
        <f>LARGE('capacity data'!$U:$U,6)</f>
        <v>#NUM!</v>
      </c>
      <c r="F40" s="66" t="e">
        <f>INDEX('capacity data'!$O:$O,MATCH(H40,'capacity data'!$U:$U,0))</f>
        <v>#NUM!</v>
      </c>
      <c r="G40" s="66" t="e">
        <f>INDEX('capacity data'!$P:$P,MATCH(H40,'capacity data'!$U:$U,0))</f>
        <v>#NUM!</v>
      </c>
      <c r="H40" s="70" t="e">
        <f>SMALL('capacity data'!$U:$U,6)</f>
        <v>#NUM!</v>
      </c>
    </row>
    <row r="41" spans="2:8" x14ac:dyDescent="0.15">
      <c r="B41" s="66" t="e">
        <f>INDEX('capacity data'!O:O,MATCH(D41,'capacity data'!U:U,0))</f>
        <v>#NUM!</v>
      </c>
      <c r="C41" s="66" t="e">
        <f>INDEX('capacity data'!$P:$P,MATCH(D41,'capacity data'!U:U,0))</f>
        <v>#NUM!</v>
      </c>
      <c r="D41" s="70" t="e">
        <f>LARGE('capacity data'!$U:$U,7)</f>
        <v>#NUM!</v>
      </c>
      <c r="F41" s="66" t="e">
        <f>INDEX('capacity data'!$O:$O,MATCH(H41,'capacity data'!$U:$U,0))</f>
        <v>#NUM!</v>
      </c>
      <c r="G41" s="66" t="e">
        <f>INDEX('capacity data'!$P:$P,MATCH(H41,'capacity data'!$U:$U,0))</f>
        <v>#NUM!</v>
      </c>
      <c r="H41" s="70" t="e">
        <f>SMALL('capacity data'!$U:$U,7)</f>
        <v>#NUM!</v>
      </c>
    </row>
    <row r="42" spans="2:8" x14ac:dyDescent="0.15">
      <c r="B42" s="66" t="e">
        <f>INDEX('capacity data'!O:O,MATCH(D42,'capacity data'!U:U,0))</f>
        <v>#NUM!</v>
      </c>
      <c r="C42" s="66" t="e">
        <f>INDEX('capacity data'!$P:$P,MATCH(D42,'capacity data'!U:U,0))</f>
        <v>#NUM!</v>
      </c>
      <c r="D42" s="70" t="e">
        <f>LARGE('capacity data'!$U:$U,8)</f>
        <v>#NUM!</v>
      </c>
      <c r="F42" s="66" t="e">
        <f>INDEX('capacity data'!$O:$O,MATCH(H42,'capacity data'!$U:$U,0))</f>
        <v>#NUM!</v>
      </c>
      <c r="G42" s="66" t="e">
        <f>INDEX('capacity data'!$P:$P,MATCH(H42,'capacity data'!$U:$U,0))</f>
        <v>#NUM!</v>
      </c>
      <c r="H42" s="70" t="e">
        <f>SMALL('capacity data'!$U:$U,8)</f>
        <v>#NUM!</v>
      </c>
    </row>
    <row r="43" spans="2:8" x14ac:dyDescent="0.15">
      <c r="B43" s="66" t="e">
        <f>INDEX('capacity data'!O:O,MATCH(D43,'capacity data'!U:U,0))</f>
        <v>#NUM!</v>
      </c>
      <c r="C43" s="66" t="e">
        <f>INDEX('capacity data'!$P:$P,MATCH(D43,'capacity data'!U:U,0))</f>
        <v>#NUM!</v>
      </c>
      <c r="D43" s="70" t="e">
        <f>LARGE('capacity data'!$U:$U,9)</f>
        <v>#NUM!</v>
      </c>
      <c r="F43" s="66" t="e">
        <f>INDEX('capacity data'!$O:$O,MATCH(H43,'capacity data'!$U:$U,0))</f>
        <v>#NUM!</v>
      </c>
      <c r="G43" s="66" t="e">
        <f>INDEX('capacity data'!$P:$P,MATCH(H43,'capacity data'!$U:$U,0))</f>
        <v>#NUM!</v>
      </c>
      <c r="H43" s="70" t="e">
        <f>SMALL('capacity data'!$U:$U,9)</f>
        <v>#NUM!</v>
      </c>
    </row>
    <row r="44" spans="2:8" x14ac:dyDescent="0.15">
      <c r="B44" s="66" t="e">
        <f>INDEX('capacity data'!O:O,MATCH(D44,'capacity data'!U:U,0))</f>
        <v>#NUM!</v>
      </c>
      <c r="C44" s="66" t="e">
        <f>INDEX('capacity data'!$P:$P,MATCH(D44,'capacity data'!U:U,0))</f>
        <v>#NUM!</v>
      </c>
      <c r="D44" s="70" t="e">
        <f>LARGE('capacity data'!$U:$U,10)</f>
        <v>#NUM!</v>
      </c>
      <c r="F44" s="66" t="e">
        <f>INDEX('capacity data'!$O:$O,MATCH(H44,'capacity data'!$U:$U,0))</f>
        <v>#NUM!</v>
      </c>
      <c r="G44" s="66" t="e">
        <f>INDEX('capacity data'!$P:$P,MATCH(H44,'capacity data'!$U:$U,0))</f>
        <v>#NUM!</v>
      </c>
      <c r="H44" s="70"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activeCell="B3" sqref="B3"/>
    </sheetView>
  </sheetViews>
  <sheetFormatPr baseColWidth="10" defaultColWidth="8.83203125" defaultRowHeight="14" x14ac:dyDescent="0.15"/>
  <cols>
    <col min="1" max="1" width="1.5" customWidth="1"/>
    <col min="2" max="2" width="29.5" bestFit="1" customWidth="1"/>
    <col min="3" max="3" width="13.83203125" customWidth="1"/>
    <col min="4" max="4" width="17.5" customWidth="1"/>
    <col min="5" max="5" width="19.33203125" customWidth="1"/>
    <col min="6" max="6" width="16" customWidth="1"/>
    <col min="7" max="7" width="13.83203125" customWidth="1"/>
    <col min="8" max="8" width="35.1640625" customWidth="1"/>
    <col min="9" max="9" width="14.33203125" customWidth="1"/>
    <col min="10" max="10" width="19.5" customWidth="1"/>
    <col min="11" max="11" width="18.1640625" customWidth="1"/>
    <col min="12" max="12" width="16.83203125" customWidth="1"/>
    <col min="13" max="13" width="14" customWidth="1"/>
    <col min="14" max="14" width="11.83203125" customWidth="1"/>
    <col min="15" max="15" width="35.1640625" bestFit="1" customWidth="1"/>
  </cols>
  <sheetData>
    <row r="1" spans="1:17" ht="47.25" customHeight="1" x14ac:dyDescent="0.15">
      <c r="A1" s="483" t="s">
        <v>1327</v>
      </c>
      <c r="B1" s="483"/>
      <c r="C1" s="483"/>
      <c r="D1" s="483"/>
      <c r="E1" s="483"/>
      <c r="F1" s="483"/>
      <c r="G1" s="483"/>
      <c r="H1" s="483"/>
      <c r="I1" s="483"/>
      <c r="J1" s="483"/>
      <c r="K1" s="483"/>
      <c r="L1" s="483"/>
      <c r="M1" s="273"/>
      <c r="N1" s="273"/>
      <c r="O1" s="273"/>
      <c r="P1" s="273"/>
      <c r="Q1" s="273"/>
    </row>
    <row r="2" spans="1:17" ht="41.25" customHeight="1" x14ac:dyDescent="0.15">
      <c r="A2" s="374"/>
      <c r="B2" s="374"/>
      <c r="C2" s="374"/>
      <c r="D2" s="374"/>
      <c r="E2" s="374"/>
      <c r="F2" s="374"/>
      <c r="G2" s="374"/>
      <c r="H2" s="374"/>
      <c r="I2" s="374"/>
      <c r="J2" s="374"/>
      <c r="K2" s="374"/>
      <c r="L2" s="374"/>
      <c r="M2" s="279"/>
      <c r="N2" s="279"/>
      <c r="O2" s="279"/>
      <c r="P2" s="279"/>
      <c r="Q2" s="279"/>
    </row>
    <row r="3" spans="1:17" ht="30" customHeight="1" x14ac:dyDescent="0.15">
      <c r="B3" s="20"/>
      <c r="C3" s="20"/>
      <c r="D3" s="20"/>
      <c r="E3" s="20"/>
      <c r="F3" s="20"/>
      <c r="G3" s="20"/>
      <c r="H3" s="20"/>
      <c r="I3" s="20"/>
      <c r="J3" s="20"/>
      <c r="K3" s="20"/>
      <c r="L3" s="20"/>
      <c r="M3" s="20"/>
      <c r="N3" s="20"/>
      <c r="O3" s="20"/>
    </row>
    <row r="4" spans="1:17" ht="17" thickBot="1" x14ac:dyDescent="0.25">
      <c r="B4" s="504" t="s">
        <v>1328</v>
      </c>
      <c r="C4" s="505"/>
      <c r="D4" s="505"/>
      <c r="E4" s="505"/>
      <c r="F4" s="505"/>
      <c r="G4" s="35"/>
      <c r="H4" s="508" t="s">
        <v>1329</v>
      </c>
      <c r="I4" s="509"/>
      <c r="J4" s="509"/>
      <c r="K4" s="509"/>
      <c r="L4" s="509"/>
      <c r="O4" s="35"/>
    </row>
    <row r="5" spans="1:17" ht="42" x14ac:dyDescent="0.15">
      <c r="B5" s="176"/>
      <c r="C5" s="200" t="s">
        <v>1330</v>
      </c>
      <c r="D5" s="200" t="s">
        <v>1117</v>
      </c>
      <c r="E5" s="201" t="s">
        <v>1331</v>
      </c>
      <c r="F5" s="165" t="s">
        <v>1332</v>
      </c>
      <c r="G5" s="161"/>
      <c r="H5" s="176"/>
      <c r="I5" s="165" t="s">
        <v>1333</v>
      </c>
      <c r="J5" s="165" t="s">
        <v>1334</v>
      </c>
      <c r="K5" s="165" t="s">
        <v>1335</v>
      </c>
      <c r="L5" s="165" t="s">
        <v>1336</v>
      </c>
      <c r="O5" s="36"/>
    </row>
    <row r="6" spans="1:17" ht="16" x14ac:dyDescent="0.2">
      <c r="B6" s="149" t="s">
        <v>23</v>
      </c>
      <c r="C6" s="79">
        <f>COUNTIFS('capacity data'!A:A,B6,'capacity data'!E:E,"PO")</f>
        <v>0</v>
      </c>
      <c r="D6" s="79">
        <f>COUNTIFS('capacity data'!A:A,B6,'capacity data'!E:E,"PO",'capacity data'!F:F,"&gt;110%")</f>
        <v>0</v>
      </c>
      <c r="E6" s="71" t="e">
        <f>D6/C6</f>
        <v>#DIV/0!</v>
      </c>
      <c r="F6" s="71" t="e">
        <f t="array" ref="F6">LARGE(IF('capacity data'!A:A=B6,IF('capacity data'!E:E="PO",'capacity data'!F:F)),1)</f>
        <v>#NUM!</v>
      </c>
      <c r="G6" s="177"/>
      <c r="H6" s="149" t="s">
        <v>23</v>
      </c>
      <c r="I6" s="79">
        <f>COUNTIFS('capacity data'!A:A,H6,'capacity data'!E:E,"PSO")</f>
        <v>0</v>
      </c>
      <c r="J6" s="79">
        <f>COUNTIFS('capacity data'!A:A,H6,'capacity data'!E:E,"PSO",'capacity data'!F:F,"&gt;110%")</f>
        <v>0</v>
      </c>
      <c r="K6" s="71" t="e">
        <f>J6/I6</f>
        <v>#DIV/0!</v>
      </c>
      <c r="L6" s="71" t="e">
        <f t="array" ref="L6">LARGE(IF('capacity data'!A:A=H6,IF('capacity data'!E:E="PSO",'capacity data'!F:F)),1)</f>
        <v>#NUM!</v>
      </c>
      <c r="O6" s="2"/>
    </row>
    <row r="7" spans="1:17" ht="16" x14ac:dyDescent="0.2">
      <c r="B7" s="149" t="s">
        <v>24</v>
      </c>
      <c r="C7" s="79">
        <f>COUNTIFS('capacity data'!A:A,B7,'capacity data'!E:E,"PO")</f>
        <v>0</v>
      </c>
      <c r="D7" s="79">
        <f>COUNTIFS('capacity data'!A:A,B7,'capacity data'!E:E,"PO",'capacity data'!F:F,"&gt;110%")</f>
        <v>0</v>
      </c>
      <c r="E7" s="71" t="e">
        <f t="shared" ref="E7:E17" si="0">D7/C7</f>
        <v>#DIV/0!</v>
      </c>
      <c r="F7" s="71" t="e">
        <f t="array" ref="F7">LARGE(IF('capacity data'!A:A=B7,IF('capacity data'!E:E="PO",'capacity data'!F:F)),1)</f>
        <v>#NUM!</v>
      </c>
      <c r="G7" s="177"/>
      <c r="H7" s="149" t="s">
        <v>24</v>
      </c>
      <c r="I7" s="79">
        <f>COUNTIFS('capacity data'!A:A,H7,'capacity data'!E:E,"PSO")</f>
        <v>0</v>
      </c>
      <c r="J7" s="79">
        <f>COUNTIFS('capacity data'!A:A,H7,'capacity data'!E:E,"PSO",'capacity data'!F:F,"&gt;110%")</f>
        <v>0</v>
      </c>
      <c r="K7" s="71" t="e">
        <f t="shared" ref="K7:K17" si="1">J7/I7</f>
        <v>#DIV/0!</v>
      </c>
      <c r="L7" s="71" t="e">
        <f t="array" ref="L7">LARGE(IF('capacity data'!A:A=H7,IF('capacity data'!E:E="PSO",'capacity data'!F:F)),1)</f>
        <v>#NUM!</v>
      </c>
      <c r="O7" s="2"/>
    </row>
    <row r="8" spans="1:17" ht="16" x14ac:dyDescent="0.2">
      <c r="B8" s="149" t="s">
        <v>25</v>
      </c>
      <c r="C8" s="79">
        <f>COUNTIFS('capacity data'!A:A,B8,'capacity data'!E:E,"PO")</f>
        <v>0</v>
      </c>
      <c r="D8" s="79">
        <f>COUNTIFS('capacity data'!A:A,B8,'capacity data'!E:E,"PO",'capacity data'!F:F,"&gt;110%")</f>
        <v>0</v>
      </c>
      <c r="E8" s="71" t="e">
        <f t="shared" si="0"/>
        <v>#DIV/0!</v>
      </c>
      <c r="F8" s="71" t="e">
        <f t="array" ref="F8">LARGE(IF('capacity data'!A:A=B8,IF('capacity data'!E:E="PO",'capacity data'!F:F)),1)</f>
        <v>#NUM!</v>
      </c>
      <c r="G8" s="177"/>
      <c r="H8" s="149" t="s">
        <v>25</v>
      </c>
      <c r="I8" s="79">
        <f>COUNTIFS('capacity data'!A:A,H8,'capacity data'!E:E,"PSO")</f>
        <v>0</v>
      </c>
      <c r="J8" s="79">
        <f>COUNTIFS('capacity data'!A:A,H8,'capacity data'!E:E,"PSO",'capacity data'!F:F,"&gt;110%")</f>
        <v>0</v>
      </c>
      <c r="K8" s="71" t="e">
        <f t="shared" si="1"/>
        <v>#DIV/0!</v>
      </c>
      <c r="L8" s="71" t="e">
        <f t="array" ref="L8">LARGE(IF('capacity data'!A:A=H8,IF('capacity data'!E:E="PSO",'capacity data'!F:F)),1)</f>
        <v>#NUM!</v>
      </c>
      <c r="O8" s="2"/>
    </row>
    <row r="9" spans="1:17" ht="16" x14ac:dyDescent="0.2">
      <c r="B9" s="149" t="s">
        <v>26</v>
      </c>
      <c r="C9" s="79">
        <f>COUNTIFS('capacity data'!A:A,B9,'capacity data'!E:E,"PO")</f>
        <v>0</v>
      </c>
      <c r="D9" s="79">
        <f>COUNTIFS('capacity data'!A:A,B9,'capacity data'!E:E,"PO",'capacity data'!F:F,"&gt;110%")</f>
        <v>0</v>
      </c>
      <c r="E9" s="71" t="e">
        <f t="shared" si="0"/>
        <v>#DIV/0!</v>
      </c>
      <c r="F9" s="71" t="e">
        <f t="array" ref="F9">LARGE(IF('capacity data'!A:A=B9,IF('capacity data'!E:E="PO",'capacity data'!F:F)),1)</f>
        <v>#NUM!</v>
      </c>
      <c r="G9" s="177"/>
      <c r="H9" s="149" t="s">
        <v>26</v>
      </c>
      <c r="I9" s="79">
        <f>COUNTIFS('capacity data'!A:A,H9,'capacity data'!E:E,"PSO")</f>
        <v>0</v>
      </c>
      <c r="J9" s="79">
        <f>COUNTIFS('capacity data'!A:A,H9,'capacity data'!E:E,"PSO",'capacity data'!F:F,"&gt;110%")</f>
        <v>0</v>
      </c>
      <c r="K9" s="71" t="e">
        <f t="shared" si="1"/>
        <v>#DIV/0!</v>
      </c>
      <c r="L9" s="71" t="e">
        <f t="array" ref="L9">LARGE(IF('capacity data'!A:A=H9,IF('capacity data'!E:E="PSO",'capacity data'!F:F)),1)</f>
        <v>#NUM!</v>
      </c>
      <c r="O9" s="2"/>
    </row>
    <row r="10" spans="1:17" ht="16" x14ac:dyDescent="0.2">
      <c r="B10" s="149" t="s">
        <v>27</v>
      </c>
      <c r="C10" s="79">
        <f>COUNTIFS('capacity data'!A:A,B10,'capacity data'!E:E,"PO")</f>
        <v>0</v>
      </c>
      <c r="D10" s="79">
        <f>COUNTIFS('capacity data'!A:A,B10,'capacity data'!E:E,"PO",'capacity data'!F:F,"&gt;110%")</f>
        <v>0</v>
      </c>
      <c r="E10" s="71" t="e">
        <f t="shared" si="0"/>
        <v>#DIV/0!</v>
      </c>
      <c r="F10" s="71" t="e">
        <f t="array" ref="F10">LARGE(IF('capacity data'!A:A=B10,IF('capacity data'!E:E="PO",'capacity data'!F:F)),1)</f>
        <v>#NUM!</v>
      </c>
      <c r="G10" s="177"/>
      <c r="H10" s="149" t="s">
        <v>27</v>
      </c>
      <c r="I10" s="79">
        <f>COUNTIFS('capacity data'!A:A,H10,'capacity data'!E:E,"PSO")</f>
        <v>0</v>
      </c>
      <c r="J10" s="79">
        <f>COUNTIFS('capacity data'!A:A,H10,'capacity data'!E:E,"PSO",'capacity data'!F:F,"&gt;110%")</f>
        <v>0</v>
      </c>
      <c r="K10" s="71" t="e">
        <f t="shared" si="1"/>
        <v>#DIV/0!</v>
      </c>
      <c r="L10" s="71" t="e">
        <f t="array" ref="L10">LARGE(IF('capacity data'!A:A=H10,IF('capacity data'!E:E="PSO",'capacity data'!F:F)),1)</f>
        <v>#NUM!</v>
      </c>
      <c r="O10" s="2"/>
    </row>
    <row r="11" spans="1:17" ht="16" x14ac:dyDescent="0.2">
      <c r="B11" s="149" t="s">
        <v>28</v>
      </c>
      <c r="C11" s="79">
        <f>COUNTIFS('capacity data'!A:A,B11,'capacity data'!E:E,"PO")</f>
        <v>0</v>
      </c>
      <c r="D11" s="79">
        <f>COUNTIFS('capacity data'!A:A,B11,'capacity data'!E:E,"PO",'capacity data'!F:F,"&gt;110%")</f>
        <v>0</v>
      </c>
      <c r="E11" s="71" t="e">
        <f t="shared" si="0"/>
        <v>#DIV/0!</v>
      </c>
      <c r="F11" s="71" t="e">
        <f t="array" ref="F11">LARGE(IF('capacity data'!A:A=B11,IF('capacity data'!E:E="PO",'capacity data'!F:F)),1)</f>
        <v>#NUM!</v>
      </c>
      <c r="G11" s="68"/>
      <c r="H11" s="149" t="s">
        <v>28</v>
      </c>
      <c r="I11" s="79">
        <f>COUNTIFS('capacity data'!A:A,H11,'capacity data'!E:E,"PSO")</f>
        <v>0</v>
      </c>
      <c r="J11" s="79">
        <f>COUNTIFS('capacity data'!A:A,H11,'capacity data'!E:E,"PSO",'capacity data'!F:F,"&gt;110%")</f>
        <v>0</v>
      </c>
      <c r="K11" s="71" t="e">
        <f t="shared" si="1"/>
        <v>#DIV/0!</v>
      </c>
      <c r="L11" s="71" t="e">
        <f t="array" ref="L11">LARGE(IF('capacity data'!A:A=H11,IF('capacity data'!E:E="PSO",'capacity data'!F:F)),1)</f>
        <v>#NUM!</v>
      </c>
      <c r="O11" s="2"/>
    </row>
    <row r="12" spans="1:17" ht="16" x14ac:dyDescent="0.2">
      <c r="B12" s="149" t="s">
        <v>29</v>
      </c>
      <c r="C12" s="79">
        <f>COUNTIFS('capacity data'!A:A,B12,'capacity data'!E:E,"PO")</f>
        <v>0</v>
      </c>
      <c r="D12" s="79">
        <f>COUNTIFS('capacity data'!A:A,B12,'capacity data'!E:E,"PO",'capacity data'!F:F,"&gt;110%")</f>
        <v>0</v>
      </c>
      <c r="E12" s="71" t="e">
        <f t="shared" si="0"/>
        <v>#DIV/0!</v>
      </c>
      <c r="F12" s="71" t="e">
        <f t="array" ref="F12">LARGE(IF('capacity data'!A:A=B12,IF('capacity data'!E:E="PO",'capacity data'!F:F)),1)</f>
        <v>#NUM!</v>
      </c>
      <c r="G12" s="68"/>
      <c r="H12" s="149" t="s">
        <v>29</v>
      </c>
      <c r="I12" s="79">
        <f>COUNTIFS('capacity data'!A:A,H12,'capacity data'!E:E,"PSO")</f>
        <v>0</v>
      </c>
      <c r="J12" s="79">
        <f>COUNTIFS('capacity data'!A:A,H12,'capacity data'!E:E,"PSO",'capacity data'!F:F,"&gt;110%")</f>
        <v>0</v>
      </c>
      <c r="K12" s="71" t="e">
        <f t="shared" si="1"/>
        <v>#DIV/0!</v>
      </c>
      <c r="L12" s="71" t="e">
        <f t="array" ref="L12">LARGE(IF('capacity data'!A:A=H12,IF('capacity data'!E:E="PSO",'capacity data'!F:F)),1)</f>
        <v>#NUM!</v>
      </c>
      <c r="O12" s="2"/>
    </row>
    <row r="13" spans="1:17" ht="16" x14ac:dyDescent="0.2">
      <c r="B13" s="149" t="s">
        <v>30</v>
      </c>
      <c r="C13" s="79">
        <f>COUNTIFS('capacity data'!A:A,B13,'capacity data'!E:E,"PO")</f>
        <v>0</v>
      </c>
      <c r="D13" s="79">
        <f>COUNTIFS('capacity data'!A:A,B13,'capacity data'!E:E,"PO",'capacity data'!F:F,"&gt;110%")</f>
        <v>0</v>
      </c>
      <c r="E13" s="71" t="e">
        <f t="shared" ref="E13" si="2">D13/C13</f>
        <v>#DIV/0!</v>
      </c>
      <c r="F13" s="71" t="e">
        <f t="array" ref="F13">LARGE(IF('capacity data'!A:A=B13,IF('capacity data'!E:E="PO",'capacity data'!F:F)),1)</f>
        <v>#NUM!</v>
      </c>
      <c r="G13" s="68"/>
      <c r="H13" s="149" t="s">
        <v>30</v>
      </c>
      <c r="I13" s="79">
        <f>COUNTIFS('capacity data'!A:A,H13,'capacity data'!E:E,"PSO")</f>
        <v>0</v>
      </c>
      <c r="J13" s="79">
        <f>COUNTIFS('capacity data'!A:A,H13,'capacity data'!E:E,"PSO",'capacity data'!F:F,"&gt;110%")</f>
        <v>0</v>
      </c>
      <c r="K13" s="71" t="e">
        <f t="shared" ref="K13" si="3">J13/I13</f>
        <v>#DIV/0!</v>
      </c>
      <c r="L13" s="71" t="e">
        <f t="array" ref="L13">LARGE(IF('capacity data'!A:A=H13,IF('capacity data'!E:E="PSO",'capacity data'!F:F)),1)</f>
        <v>#NUM!</v>
      </c>
      <c r="O13" s="2"/>
    </row>
    <row r="14" spans="1:17" ht="16" x14ac:dyDescent="0.2">
      <c r="B14" s="149" t="s">
        <v>31</v>
      </c>
      <c r="C14" s="79">
        <f>COUNTIFS('capacity data'!A:A,B14,'capacity data'!E:E,"PO")</f>
        <v>0</v>
      </c>
      <c r="D14" s="79">
        <f>COUNTIFS('capacity data'!A:A,B14,'capacity data'!E:E,"PO",'capacity data'!F:F,"&gt;110%")</f>
        <v>0</v>
      </c>
      <c r="E14" s="71" t="e">
        <f t="shared" si="0"/>
        <v>#DIV/0!</v>
      </c>
      <c r="F14" s="71" t="e">
        <f t="array" ref="F14">LARGE(IF('capacity data'!A:A=B14,IF('capacity data'!E:E="PO",'capacity data'!F:F)),1)</f>
        <v>#NUM!</v>
      </c>
      <c r="G14" s="68"/>
      <c r="H14" s="149" t="s">
        <v>31</v>
      </c>
      <c r="I14" s="79">
        <f>COUNTIFS('capacity data'!A:A,H14,'capacity data'!E:E,"PSO")</f>
        <v>0</v>
      </c>
      <c r="J14" s="79">
        <f>COUNTIFS('capacity data'!A:A,H14,'capacity data'!E:E,"PSO",'capacity data'!F:F,"&gt;110%")</f>
        <v>0</v>
      </c>
      <c r="K14" s="71" t="e">
        <f t="shared" si="1"/>
        <v>#DIV/0!</v>
      </c>
      <c r="L14" s="71" t="e">
        <f t="array" ref="L14">LARGE(IF('capacity data'!A:A=H14,IF('capacity data'!E:E="PSO",'capacity data'!F:F)),1)</f>
        <v>#NUM!</v>
      </c>
      <c r="O14" s="2"/>
    </row>
    <row r="15" spans="1:17" ht="16" x14ac:dyDescent="0.2">
      <c r="B15" s="149" t="s">
        <v>32</v>
      </c>
      <c r="C15" s="79">
        <f>COUNTIFS('capacity data'!A:A,B15,'capacity data'!E:E,"PO")</f>
        <v>0</v>
      </c>
      <c r="D15" s="79">
        <f>COUNTIFS('capacity data'!A:A,B15,'capacity data'!E:E,"PO",'capacity data'!F:F,"&gt;110%")</f>
        <v>0</v>
      </c>
      <c r="E15" s="71" t="e">
        <f t="shared" si="0"/>
        <v>#DIV/0!</v>
      </c>
      <c r="F15" s="71" t="e">
        <f t="array" ref="F15">LARGE(IF('capacity data'!A:A=B15,IF('capacity data'!E:E="PO",'capacity data'!F:F)),1)</f>
        <v>#NUM!</v>
      </c>
      <c r="G15" s="68"/>
      <c r="H15" s="149" t="s">
        <v>32</v>
      </c>
      <c r="I15" s="79">
        <f>COUNTIFS('capacity data'!A:A,H15,'capacity data'!E:E,"PSO")</f>
        <v>0</v>
      </c>
      <c r="J15" s="79">
        <f>COUNTIFS('capacity data'!A:A,H15,'capacity data'!E:E,"PSO",'capacity data'!F:F,"&gt;110%")</f>
        <v>0</v>
      </c>
      <c r="K15" s="71" t="e">
        <f t="shared" si="1"/>
        <v>#DIV/0!</v>
      </c>
      <c r="L15" s="71" t="e">
        <f t="array" ref="L15">LARGE(IF('capacity data'!A:A=H15,IF('capacity data'!E:E="PSO",'capacity data'!F:F)),1)</f>
        <v>#NUM!</v>
      </c>
      <c r="O15" s="2"/>
    </row>
    <row r="16" spans="1:17" ht="16" x14ac:dyDescent="0.2">
      <c r="B16" s="149" t="s">
        <v>33</v>
      </c>
      <c r="C16" s="79">
        <f>COUNTIFS('capacity data'!A:A,B16,'capacity data'!E:E,"PO")</f>
        <v>0</v>
      </c>
      <c r="D16" s="79">
        <f>COUNTIFS('capacity data'!A:A,B16,'capacity data'!E:E,"PO",'capacity data'!F:F,"&gt;110%")</f>
        <v>0</v>
      </c>
      <c r="E16" s="71" t="e">
        <f t="shared" si="0"/>
        <v>#DIV/0!</v>
      </c>
      <c r="F16" s="71" t="e">
        <f t="array" ref="F16">LARGE(IF('capacity data'!A:A=B16,IF('capacity data'!E:E="PO",'capacity data'!F:F)),1)</f>
        <v>#NUM!</v>
      </c>
      <c r="G16" s="68"/>
      <c r="H16" s="149" t="s">
        <v>33</v>
      </c>
      <c r="I16" s="79">
        <f>COUNTIFS('capacity data'!A:A,H16,'capacity data'!E:E,"PSO")</f>
        <v>0</v>
      </c>
      <c r="J16" s="79">
        <f>COUNTIFS('capacity data'!A:A,H16,'capacity data'!E:E,"PSO",'capacity data'!F:F,"&gt;110%")</f>
        <v>0</v>
      </c>
      <c r="K16" s="71" t="e">
        <f t="shared" si="1"/>
        <v>#DIV/0!</v>
      </c>
      <c r="L16" s="71" t="e">
        <f t="array" ref="L16">LARGE(IF('capacity data'!A:A=H16,IF('capacity data'!E:E="PSO",'capacity data'!F:F)),1)</f>
        <v>#NUM!</v>
      </c>
      <c r="O16" s="2"/>
    </row>
    <row r="17" spans="2:15" ht="16" x14ac:dyDescent="0.2">
      <c r="B17" s="149" t="s">
        <v>34</v>
      </c>
      <c r="C17" s="79">
        <f>COUNTIFS('capacity data'!A:A,B17,'capacity data'!E:E,"PO")</f>
        <v>0</v>
      </c>
      <c r="D17" s="79">
        <f>COUNTIFS('capacity data'!A:A,B17,'capacity data'!E:E,"PO",'capacity data'!F:F,"&gt;110%")</f>
        <v>0</v>
      </c>
      <c r="E17" s="71" t="e">
        <f t="shared" si="0"/>
        <v>#DIV/0!</v>
      </c>
      <c r="F17" s="71" t="e">
        <f t="array" ref="F17">LARGE(IF('capacity data'!A:A=B17,IF('capacity data'!E:E="PO",'capacity data'!F:F)),1)</f>
        <v>#NUM!</v>
      </c>
      <c r="G17" s="68"/>
      <c r="H17" s="149" t="s">
        <v>34</v>
      </c>
      <c r="I17" s="79">
        <f>COUNTIFS('capacity data'!A:A,H17,'capacity data'!E:E,"PSO")</f>
        <v>0</v>
      </c>
      <c r="J17" s="79">
        <f>COUNTIFS('capacity data'!A:A,H17,'capacity data'!E:E,"PSO",'capacity data'!F:F,"&gt;110%")</f>
        <v>0</v>
      </c>
      <c r="K17" s="71" t="e">
        <f t="shared" si="1"/>
        <v>#DIV/0!</v>
      </c>
      <c r="L17" s="71" t="e">
        <f t="array" ref="L17">LARGE(IF('capacity data'!A:A=H17,IF('capacity data'!E:E="PSO",'capacity data'!F:F)),1)</f>
        <v>#NUM!</v>
      </c>
      <c r="O17" s="2"/>
    </row>
    <row r="18" spans="2:15" ht="16" x14ac:dyDescent="0.2">
      <c r="B18" s="181" t="s">
        <v>1127</v>
      </c>
      <c r="C18" s="114">
        <f>COUNTIF('capacity data'!E:E,"PO")</f>
        <v>0</v>
      </c>
      <c r="D18" s="114">
        <f>COUNTIFS('capacity data'!E:E,"PO",'capacity data'!F:F,"&gt;110%")</f>
        <v>0</v>
      </c>
      <c r="E18" s="215" t="e">
        <f t="shared" ref="E18" si="4">D18/C18</f>
        <v>#DIV/0!</v>
      </c>
      <c r="F18" s="114" t="s">
        <v>1128</v>
      </c>
      <c r="G18" s="68"/>
      <c r="H18" s="181" t="s">
        <v>1127</v>
      </c>
      <c r="I18" s="114">
        <f>COUNTIF('capacity data'!E:E,"PSO")</f>
        <v>0</v>
      </c>
      <c r="J18" s="114">
        <f>COUNTIFS('capacity data'!E:E,"PSO",'capacity data'!F:F,"&gt;110%")</f>
        <v>0</v>
      </c>
      <c r="K18" s="215" t="e">
        <f t="shared" ref="K18" si="5">J18/I18</f>
        <v>#DIV/0!</v>
      </c>
      <c r="L18" s="157" t="s">
        <v>1128</v>
      </c>
      <c r="O18" s="2"/>
    </row>
    <row r="21" spans="2:15" ht="16" x14ac:dyDescent="0.2">
      <c r="B21" s="506" t="s">
        <v>1337</v>
      </c>
      <c r="C21" s="507"/>
      <c r="D21" s="507"/>
      <c r="E21" s="507"/>
      <c r="F21" s="507"/>
      <c r="G21" s="35"/>
      <c r="H21" s="508" t="s">
        <v>1338</v>
      </c>
      <c r="I21" s="509"/>
      <c r="J21" s="509"/>
      <c r="K21" s="509"/>
    </row>
    <row r="22" spans="2:15" ht="42" x14ac:dyDescent="0.15">
      <c r="B22" s="176"/>
      <c r="C22" s="165" t="s">
        <v>1339</v>
      </c>
      <c r="D22" s="165" t="s">
        <v>1340</v>
      </c>
      <c r="E22" s="165" t="s">
        <v>1341</v>
      </c>
      <c r="F22" s="165" t="s">
        <v>1342</v>
      </c>
      <c r="G22" s="178"/>
      <c r="H22" s="176"/>
      <c r="I22" s="165" t="s">
        <v>1333</v>
      </c>
      <c r="J22" s="165" t="s">
        <v>1343</v>
      </c>
      <c r="K22" s="165" t="s">
        <v>1344</v>
      </c>
      <c r="L22" s="36"/>
    </row>
    <row r="23" spans="2:15" x14ac:dyDescent="0.15">
      <c r="B23" s="149" t="s">
        <v>23</v>
      </c>
      <c r="C23" s="79">
        <f>COUNTIFS('capacity data'!A:A,B23,'capacity data'!E:E,"TPO")</f>
        <v>0</v>
      </c>
      <c r="D23" s="79">
        <f>COUNTIFS('capacity data'!A:A,B23,'capacity data'!E:E,"TPO",'capacity data'!F:F,"&gt;110%")</f>
        <v>0</v>
      </c>
      <c r="E23" s="71" t="e">
        <f>D23/C23</f>
        <v>#DIV/0!</v>
      </c>
      <c r="F23" s="71" t="e">
        <f t="array" ref="F23">LARGE(IF('capacity data'!A:A=B23,IF('capacity data'!E:E="TPO",'capacity data'!F:F)),1)</f>
        <v>#NUM!</v>
      </c>
      <c r="G23" s="179"/>
      <c r="H23" s="149" t="s">
        <v>23</v>
      </c>
      <c r="I23" s="79">
        <f>COUNTIFS('capacity data'!A:A,H23,'capacity data'!E:E,"PSO")</f>
        <v>0</v>
      </c>
      <c r="J23" s="79">
        <f>COUNTIFS('capacity data'!A:A,H23,'capacity data'!E:E,"PSO",'capacity data'!F:F,"&lt;90%")</f>
        <v>0</v>
      </c>
      <c r="K23" s="180" t="e">
        <f>J23/I23</f>
        <v>#DIV/0!</v>
      </c>
    </row>
    <row r="24" spans="2:15" x14ac:dyDescent="0.15">
      <c r="B24" s="149" t="s">
        <v>24</v>
      </c>
      <c r="C24" s="79">
        <f>COUNTIFS('capacity data'!A:A,B24,'capacity data'!E:E,"TPO")</f>
        <v>0</v>
      </c>
      <c r="D24" s="79">
        <f>COUNTIFS('capacity data'!A:A,B24,'capacity data'!E:E,"TPO",'capacity data'!F:F,"&gt;110%")</f>
        <v>0</v>
      </c>
      <c r="E24" s="71" t="e">
        <f t="shared" ref="E24:E34" si="6">D24/C24</f>
        <v>#DIV/0!</v>
      </c>
      <c r="F24" s="71" t="e">
        <f t="array" ref="F24">LARGE(IF('capacity data'!A:A=B24,IF('capacity data'!E:E="TPO",'capacity data'!F:F)),1)</f>
        <v>#NUM!</v>
      </c>
      <c r="G24" s="179"/>
      <c r="H24" s="149" t="s">
        <v>24</v>
      </c>
      <c r="I24" s="79">
        <f>COUNTIFS('capacity data'!A:A,H24,'capacity data'!E:E,"PSO")</f>
        <v>0</v>
      </c>
      <c r="J24" s="79">
        <f>COUNTIFS('capacity data'!A:A,H24,'capacity data'!E:E,"PSO",'capacity data'!F:F,"&lt;90%")</f>
        <v>0</v>
      </c>
      <c r="K24" s="180" t="e">
        <f t="shared" ref="K24:K34" si="7">J24/I24</f>
        <v>#DIV/0!</v>
      </c>
    </row>
    <row r="25" spans="2:15" x14ac:dyDescent="0.15">
      <c r="B25" s="149" t="s">
        <v>25</v>
      </c>
      <c r="C25" s="79">
        <f>COUNTIFS('capacity data'!A:A,B25,'capacity data'!E:E,"TPO")</f>
        <v>0</v>
      </c>
      <c r="D25" s="79">
        <f>COUNTIFS('capacity data'!A:A,B25,'capacity data'!E:E,"TPO",'capacity data'!F:F,"&gt;110%")</f>
        <v>0</v>
      </c>
      <c r="E25" s="71" t="e">
        <f t="shared" si="6"/>
        <v>#DIV/0!</v>
      </c>
      <c r="F25" s="71" t="e">
        <f t="array" ref="F25">LARGE(IF('capacity data'!A:A=B25,IF('capacity data'!E:E="TPO",'capacity data'!F:F)),1)</f>
        <v>#NUM!</v>
      </c>
      <c r="G25" s="179"/>
      <c r="H25" s="149" t="s">
        <v>25</v>
      </c>
      <c r="I25" s="79">
        <f>COUNTIFS('capacity data'!A:A,H25,'capacity data'!E:E,"PSO")</f>
        <v>0</v>
      </c>
      <c r="J25" s="79">
        <f>COUNTIFS('capacity data'!A:A,H25,'capacity data'!E:E,"PSO",'capacity data'!F:F,"&lt;90%")</f>
        <v>0</v>
      </c>
      <c r="K25" s="180" t="e">
        <f t="shared" si="7"/>
        <v>#DIV/0!</v>
      </c>
    </row>
    <row r="26" spans="2:15" x14ac:dyDescent="0.15">
      <c r="B26" s="149" t="s">
        <v>26</v>
      </c>
      <c r="C26" s="79">
        <f>COUNTIFS('capacity data'!A:A,B26,'capacity data'!E:E,"TPO")</f>
        <v>0</v>
      </c>
      <c r="D26" s="79">
        <f>COUNTIFS('capacity data'!A:A,B26,'capacity data'!E:E,"TPO",'capacity data'!F:F,"&gt;110%")</f>
        <v>0</v>
      </c>
      <c r="E26" s="71" t="e">
        <f t="shared" si="6"/>
        <v>#DIV/0!</v>
      </c>
      <c r="F26" s="71" t="e">
        <f t="array" ref="F26">LARGE(IF('capacity data'!A:A=B26,IF('capacity data'!E:E="TPO",'capacity data'!F:F)),1)</f>
        <v>#NUM!</v>
      </c>
      <c r="G26" s="179"/>
      <c r="H26" s="149" t="s">
        <v>26</v>
      </c>
      <c r="I26" s="79">
        <f>COUNTIFS('capacity data'!A:A,H26,'capacity data'!E:E,"PSO")</f>
        <v>0</v>
      </c>
      <c r="J26" s="79">
        <f>COUNTIFS('capacity data'!A:A,H26,'capacity data'!E:E,"PSO",'capacity data'!F:F,"&lt;90%")</f>
        <v>0</v>
      </c>
      <c r="K26" s="180" t="e">
        <f t="shared" si="7"/>
        <v>#DIV/0!</v>
      </c>
    </row>
    <row r="27" spans="2:15" x14ac:dyDescent="0.15">
      <c r="B27" s="149" t="s">
        <v>27</v>
      </c>
      <c r="C27" s="79">
        <f>COUNTIFS('capacity data'!A:A,B27,'capacity data'!E:E,"TPO")</f>
        <v>0</v>
      </c>
      <c r="D27" s="79">
        <f>COUNTIFS('capacity data'!A:A,B27,'capacity data'!E:E,"TPO",'capacity data'!F:F,"&gt;110%")</f>
        <v>0</v>
      </c>
      <c r="E27" s="71" t="e">
        <f t="shared" si="6"/>
        <v>#DIV/0!</v>
      </c>
      <c r="F27" s="71" t="e">
        <f t="array" ref="F27">LARGE(IF('capacity data'!A:A=B27,IF('capacity data'!E:E="TPO",'capacity data'!F:F)),1)</f>
        <v>#NUM!</v>
      </c>
      <c r="G27" s="179"/>
      <c r="H27" s="149" t="s">
        <v>27</v>
      </c>
      <c r="I27" s="79">
        <f>COUNTIFS('capacity data'!A:A,H27,'capacity data'!E:E,"PSO")</f>
        <v>0</v>
      </c>
      <c r="J27" s="79">
        <f>COUNTIFS('capacity data'!A:A,H27,'capacity data'!E:E,"PSO",'capacity data'!F:F,"&lt;90%")</f>
        <v>0</v>
      </c>
      <c r="K27" s="180" t="e">
        <f t="shared" si="7"/>
        <v>#DIV/0!</v>
      </c>
    </row>
    <row r="28" spans="2:15" x14ac:dyDescent="0.15">
      <c r="B28" s="149" t="s">
        <v>28</v>
      </c>
      <c r="C28" s="79">
        <f>COUNTIFS('capacity data'!A:A,B28,'capacity data'!E:E,"TPO")</f>
        <v>0</v>
      </c>
      <c r="D28" s="79">
        <f>COUNTIFS('capacity data'!A:A,B28,'capacity data'!E:E,"TPO",'capacity data'!F:F,"&gt;110%")</f>
        <v>0</v>
      </c>
      <c r="E28" s="71" t="e">
        <f t="shared" si="6"/>
        <v>#DIV/0!</v>
      </c>
      <c r="F28" s="71" t="e">
        <f t="array" ref="F28">LARGE(IF('capacity data'!A:A=B28,IF('capacity data'!E:E="TPO",'capacity data'!F:F)),1)</f>
        <v>#NUM!</v>
      </c>
      <c r="G28" s="179"/>
      <c r="H28" s="149" t="s">
        <v>28</v>
      </c>
      <c r="I28" s="79">
        <f>COUNTIFS('capacity data'!A:A,H28,'capacity data'!E:E,"PSO")</f>
        <v>0</v>
      </c>
      <c r="J28" s="79">
        <f>COUNTIFS('capacity data'!A:A,H28,'capacity data'!E:E,"PSO",'capacity data'!F:F,"&lt;90%")</f>
        <v>0</v>
      </c>
      <c r="K28" s="180" t="e">
        <f t="shared" si="7"/>
        <v>#DIV/0!</v>
      </c>
    </row>
    <row r="29" spans="2:15" x14ac:dyDescent="0.15">
      <c r="B29" s="149" t="s">
        <v>29</v>
      </c>
      <c r="C29" s="79">
        <f>COUNTIFS('capacity data'!A:A,B29,'capacity data'!E:E,"TPO")</f>
        <v>0</v>
      </c>
      <c r="D29" s="79">
        <f>COUNTIFS('capacity data'!A:A,B29,'capacity data'!E:E,"TPO",'capacity data'!F:F,"&gt;110%")</f>
        <v>0</v>
      </c>
      <c r="E29" s="71" t="e">
        <f t="shared" si="6"/>
        <v>#DIV/0!</v>
      </c>
      <c r="F29" s="71" t="e">
        <f t="array" ref="F29">LARGE(IF('capacity data'!A:A=B29,IF('capacity data'!E:E="TPO",'capacity data'!F:F)),1)</f>
        <v>#NUM!</v>
      </c>
      <c r="G29" s="179"/>
      <c r="H29" s="149" t="s">
        <v>29</v>
      </c>
      <c r="I29" s="79">
        <f>COUNTIFS('capacity data'!A:A,H29,'capacity data'!E:E,"PSO")</f>
        <v>0</v>
      </c>
      <c r="J29" s="79">
        <f>COUNTIFS('capacity data'!A:A,H29,'capacity data'!E:E,"PSO",'capacity data'!F:F,"&lt;90%")</f>
        <v>0</v>
      </c>
      <c r="K29" s="180" t="e">
        <f t="shared" si="7"/>
        <v>#DIV/0!</v>
      </c>
    </row>
    <row r="30" spans="2:15" x14ac:dyDescent="0.15">
      <c r="B30" s="149" t="s">
        <v>30</v>
      </c>
      <c r="C30" s="79">
        <f>COUNTIFS('capacity data'!A:A,B30,'capacity data'!E:E,"TPO")</f>
        <v>0</v>
      </c>
      <c r="D30" s="79">
        <f>COUNTIFS('capacity data'!A:A,B30,'capacity data'!E:E,"TPO",'capacity data'!F:F,"&gt;110%")</f>
        <v>0</v>
      </c>
      <c r="E30" s="71" t="e">
        <f t="shared" ref="E30" si="8">D30/C30</f>
        <v>#DIV/0!</v>
      </c>
      <c r="F30" s="71" t="e">
        <f t="array" ref="F30">LARGE(IF('capacity data'!A:A=B30,IF('capacity data'!E:E="TPO",'capacity data'!F:F)),1)</f>
        <v>#NUM!</v>
      </c>
      <c r="G30" s="179"/>
      <c r="H30" s="149" t="s">
        <v>30</v>
      </c>
      <c r="I30" s="79">
        <f>COUNTIFS('capacity data'!A:A,H30,'capacity data'!E:E,"PSO")</f>
        <v>0</v>
      </c>
      <c r="J30" s="79">
        <f>COUNTIFS('capacity data'!A:A,H30,'capacity data'!E:E,"PSO",'capacity data'!F:F,"&lt;90%")</f>
        <v>0</v>
      </c>
      <c r="K30" s="180" t="e">
        <f t="shared" ref="K30" si="9">J30/I30</f>
        <v>#DIV/0!</v>
      </c>
    </row>
    <row r="31" spans="2:15" x14ac:dyDescent="0.15">
      <c r="B31" s="149" t="s">
        <v>31</v>
      </c>
      <c r="C31" s="79">
        <f>COUNTIFS('capacity data'!A:A,B31,'capacity data'!E:E,"TPO")</f>
        <v>0</v>
      </c>
      <c r="D31" s="79">
        <f>COUNTIFS('capacity data'!A:A,B31,'capacity data'!E:E,"TPO",'capacity data'!F:F,"&gt;110%")</f>
        <v>0</v>
      </c>
      <c r="E31" s="71" t="e">
        <f t="shared" si="6"/>
        <v>#DIV/0!</v>
      </c>
      <c r="F31" s="71" t="e">
        <f t="array" ref="F31">LARGE(IF('capacity data'!A:A=B31,IF('capacity data'!E:E="TPO",'capacity data'!F:F)),1)</f>
        <v>#NUM!</v>
      </c>
      <c r="G31" s="179"/>
      <c r="H31" s="149" t="s">
        <v>31</v>
      </c>
      <c r="I31" s="79">
        <f>COUNTIFS('capacity data'!A:A,H31,'capacity data'!E:E,"PSO")</f>
        <v>0</v>
      </c>
      <c r="J31" s="79">
        <f>COUNTIFS('capacity data'!A:A,H31,'capacity data'!E:E,"PSO",'capacity data'!F:F,"&lt;90%")</f>
        <v>0</v>
      </c>
      <c r="K31" s="180" t="e">
        <f t="shared" si="7"/>
        <v>#DIV/0!</v>
      </c>
    </row>
    <row r="32" spans="2:15" x14ac:dyDescent="0.15">
      <c r="B32" s="149" t="s">
        <v>32</v>
      </c>
      <c r="C32" s="79">
        <f>COUNTIFS('capacity data'!A:A,B32,'capacity data'!E:E,"TPO")</f>
        <v>0</v>
      </c>
      <c r="D32" s="79">
        <f>COUNTIFS('capacity data'!A:A,B32,'capacity data'!E:E,"TPO",'capacity data'!F:F,"&gt;110%")</f>
        <v>0</v>
      </c>
      <c r="E32" s="71" t="e">
        <f t="shared" si="6"/>
        <v>#DIV/0!</v>
      </c>
      <c r="F32" s="71" t="e">
        <f t="array" ref="F32">LARGE(IF('capacity data'!A:A=B32,IF('capacity data'!E:E="TPO",'capacity data'!F:F)),1)</f>
        <v>#NUM!</v>
      </c>
      <c r="G32" s="179"/>
      <c r="H32" s="149" t="s">
        <v>32</v>
      </c>
      <c r="I32" s="79">
        <f>COUNTIFS('capacity data'!A:A,H32,'capacity data'!E:E,"PSO")</f>
        <v>0</v>
      </c>
      <c r="J32" s="79">
        <f>COUNTIFS('capacity data'!A:A,H32,'capacity data'!E:E,"PSO",'capacity data'!F:F,"&lt;90%")</f>
        <v>0</v>
      </c>
      <c r="K32" s="180" t="e">
        <f t="shared" si="7"/>
        <v>#DIV/0!</v>
      </c>
    </row>
    <row r="33" spans="2:11" x14ac:dyDescent="0.15">
      <c r="B33" s="149" t="s">
        <v>33</v>
      </c>
      <c r="C33" s="79">
        <f>COUNTIFS('capacity data'!A:A,B33,'capacity data'!E:E,"TPO")</f>
        <v>0</v>
      </c>
      <c r="D33" s="79">
        <f>COUNTIFS('capacity data'!A:A,B33,'capacity data'!E:E,"TPO",'capacity data'!F:F,"&gt;110%")</f>
        <v>0</v>
      </c>
      <c r="E33" s="71" t="e">
        <f t="shared" si="6"/>
        <v>#DIV/0!</v>
      </c>
      <c r="F33" s="71" t="e">
        <f t="array" ref="F33">LARGE(IF('capacity data'!A:A=B33,IF('capacity data'!E:E="TPO",'capacity data'!F:F)),1)</f>
        <v>#NUM!</v>
      </c>
      <c r="G33" s="179"/>
      <c r="H33" s="149" t="s">
        <v>33</v>
      </c>
      <c r="I33" s="79">
        <f>COUNTIFS('capacity data'!A:A,H33,'capacity data'!E:E,"PSO")</f>
        <v>0</v>
      </c>
      <c r="J33" s="79">
        <f>COUNTIFS('capacity data'!A:A,H33,'capacity data'!E:E,"PSO",'capacity data'!F:F,"&lt;90%")</f>
        <v>0</v>
      </c>
      <c r="K33" s="180" t="e">
        <f t="shared" si="7"/>
        <v>#DIV/0!</v>
      </c>
    </row>
    <row r="34" spans="2:11" x14ac:dyDescent="0.15">
      <c r="B34" s="149" t="s">
        <v>34</v>
      </c>
      <c r="C34" s="79">
        <f>COUNTIFS('capacity data'!A:A,B34,'capacity data'!E:E,"TPO")</f>
        <v>0</v>
      </c>
      <c r="D34" s="79">
        <f>COUNTIFS('capacity data'!A:A,B34,'capacity data'!E:E,"TPO",'capacity data'!F:F,"&gt;110%")</f>
        <v>0</v>
      </c>
      <c r="E34" s="71" t="e">
        <f t="shared" si="6"/>
        <v>#DIV/0!</v>
      </c>
      <c r="F34" s="71" t="e">
        <f t="array" ref="F34">LARGE(IF('capacity data'!A:A=B34,IF('capacity data'!E:E="TPO",'capacity data'!F:F)),1)</f>
        <v>#NUM!</v>
      </c>
      <c r="G34" s="179"/>
      <c r="H34" s="149" t="s">
        <v>34</v>
      </c>
      <c r="I34" s="79">
        <f>COUNTIFS('capacity data'!A:A,H34,'capacity data'!E:E,"PSO")</f>
        <v>0</v>
      </c>
      <c r="J34" s="79">
        <f>COUNTIFS('capacity data'!A:A,H34,'capacity data'!E:E,"PSO",'capacity data'!F:F,"&lt;90%")</f>
        <v>0</v>
      </c>
      <c r="K34" s="180" t="e">
        <f t="shared" si="7"/>
        <v>#DIV/0!</v>
      </c>
    </row>
    <row r="35" spans="2:11" x14ac:dyDescent="0.15">
      <c r="B35" s="181" t="s">
        <v>1127</v>
      </c>
      <c r="C35" s="114">
        <f>COUNTIF('capacity data'!E:E,"TPO")</f>
        <v>0</v>
      </c>
      <c r="D35" s="114">
        <f>COUNTIFS('capacity data'!E:E,"TPO",'capacity data'!F:F,"&gt;110%")</f>
        <v>0</v>
      </c>
      <c r="E35" s="215" t="e">
        <f t="shared" ref="E35" si="10">D35/C35</f>
        <v>#DIV/0!</v>
      </c>
      <c r="F35" s="114" t="s">
        <v>1128</v>
      </c>
      <c r="G35" s="179"/>
      <c r="H35" s="181" t="s">
        <v>1127</v>
      </c>
      <c r="I35" s="114">
        <f>COUNTIF('capacity data'!E:E,"PSO")</f>
        <v>0</v>
      </c>
      <c r="J35" s="114">
        <f>COUNTIFS('capacity data'!E:E,"PSO",'capacity data'!F:F,"&lt;90%")</f>
        <v>0</v>
      </c>
      <c r="K35" s="216" t="s">
        <v>1128</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sqref="A1:G1"/>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7" customHeight="1" x14ac:dyDescent="0.15">
      <c r="A1" s="483" t="s">
        <v>1345</v>
      </c>
      <c r="B1" s="483"/>
      <c r="C1" s="483"/>
      <c r="D1" s="483"/>
      <c r="E1" s="483"/>
      <c r="F1" s="483"/>
      <c r="G1" s="483"/>
      <c r="H1" s="273"/>
      <c r="I1" s="273"/>
      <c r="J1" s="273"/>
      <c r="K1" s="273"/>
      <c r="L1" s="273"/>
      <c r="M1" s="510"/>
      <c r="N1" s="510"/>
      <c r="O1" s="510"/>
    </row>
    <row r="2" spans="1:15" ht="33.75" customHeight="1" x14ac:dyDescent="0.15">
      <c r="A2" s="374"/>
      <c r="B2" s="374"/>
      <c r="C2" s="374"/>
      <c r="D2" s="374"/>
      <c r="E2" s="374"/>
      <c r="F2" s="374"/>
      <c r="G2" s="374"/>
      <c r="H2" s="280"/>
      <c r="I2" s="280"/>
      <c r="J2" s="280"/>
      <c r="K2" s="280"/>
      <c r="L2" s="280"/>
      <c r="M2" s="280"/>
      <c r="N2" s="280"/>
      <c r="O2" s="280"/>
    </row>
    <row r="3" spans="1:15" s="6" customFormat="1" ht="20.25" customHeight="1" thickBot="1" x14ac:dyDescent="0.2"/>
    <row r="4" spans="1:15" ht="15" thickBot="1" x14ac:dyDescent="0.2">
      <c r="B4" s="517" t="s">
        <v>996</v>
      </c>
      <c r="C4" s="513" t="s">
        <v>1218</v>
      </c>
      <c r="D4" s="515" t="s">
        <v>1346</v>
      </c>
      <c r="E4" s="511" t="s">
        <v>1347</v>
      </c>
      <c r="F4" s="512"/>
      <c r="G4" s="518" t="s">
        <v>1348</v>
      </c>
    </row>
    <row r="5" spans="1:15" ht="33.75" customHeight="1" thickBot="1" x14ac:dyDescent="0.2">
      <c r="B5" s="514"/>
      <c r="C5" s="514"/>
      <c r="D5" s="516"/>
      <c r="E5" s="182" t="s">
        <v>1349</v>
      </c>
      <c r="F5" s="183" t="s">
        <v>1350</v>
      </c>
      <c r="G5" s="519"/>
    </row>
    <row r="6" spans="1:15" x14ac:dyDescent="0.15">
      <c r="B6" s="149" t="s">
        <v>23</v>
      </c>
      <c r="C6" s="79">
        <f>SUMIFS('capacity data'!K:K,'capacity data'!A:A,B6,'capacity data'!E:E,"SPO")</f>
        <v>0</v>
      </c>
      <c r="D6" s="79">
        <f>SUMIFS('capacity data'!K:K,'capacity data'!E:E,"DMY",'capacity data'!A:A,B6)</f>
        <v>0</v>
      </c>
      <c r="E6" s="184">
        <f>SUM(C6:D6)</f>
        <v>0</v>
      </c>
      <c r="F6" s="185" t="e">
        <f>E6/G6</f>
        <v>#DIV/0!</v>
      </c>
      <c r="G6" s="152">
        <f>SUMIF('capacity data'!A:A,B6,'capacity data'!K:K)</f>
        <v>0</v>
      </c>
    </row>
    <row r="7" spans="1:15" x14ac:dyDescent="0.15">
      <c r="B7" s="149" t="s">
        <v>24</v>
      </c>
      <c r="C7" s="79">
        <f>SUMIFS('capacity data'!K:K,'capacity data'!A:A,B7,'capacity data'!E:E,"SPO")</f>
        <v>0</v>
      </c>
      <c r="D7" s="79">
        <f>SUMIFS('capacity data'!K:K,'capacity data'!E:E,"DMY",'capacity data'!A:A,B7)</f>
        <v>0</v>
      </c>
      <c r="E7" s="184">
        <f t="shared" ref="E7:E17" si="0">SUM(C7:D7)</f>
        <v>0</v>
      </c>
      <c r="F7" s="185" t="e">
        <f t="shared" ref="F7:F17" si="1">E7/G7</f>
        <v>#DIV/0!</v>
      </c>
      <c r="G7" s="152">
        <f>SUMIF('capacity data'!A:A,B7,'capacity data'!K:K)</f>
        <v>0</v>
      </c>
    </row>
    <row r="8" spans="1:15" x14ac:dyDescent="0.15">
      <c r="B8" s="149" t="s">
        <v>25</v>
      </c>
      <c r="C8" s="79">
        <f>SUMIFS('capacity data'!K:K,'capacity data'!A:A,B8,'capacity data'!E:E,"SPO")</f>
        <v>0</v>
      </c>
      <c r="D8" s="79">
        <f>SUMIFS('capacity data'!K:K,'capacity data'!E:E,"DMY",'capacity data'!A:A,B8)</f>
        <v>0</v>
      </c>
      <c r="E8" s="184">
        <f t="shared" si="0"/>
        <v>0</v>
      </c>
      <c r="F8" s="185" t="e">
        <f t="shared" si="1"/>
        <v>#DIV/0!</v>
      </c>
      <c r="G8" s="152">
        <f>SUMIF('capacity data'!A:A,B8,'capacity data'!K:K)</f>
        <v>0</v>
      </c>
    </row>
    <row r="9" spans="1:15" x14ac:dyDescent="0.15">
      <c r="B9" s="149" t="s">
        <v>26</v>
      </c>
      <c r="C9" s="79">
        <f>SUMIFS('capacity data'!K:K,'capacity data'!A:A,B9,'capacity data'!E:E,"SPO")</f>
        <v>0</v>
      </c>
      <c r="D9" s="79">
        <f>SUMIFS('capacity data'!K:K,'capacity data'!E:E,"DMY",'capacity data'!A:A,B9)</f>
        <v>0</v>
      </c>
      <c r="E9" s="184">
        <f t="shared" si="0"/>
        <v>0</v>
      </c>
      <c r="F9" s="185" t="e">
        <f t="shared" si="1"/>
        <v>#DIV/0!</v>
      </c>
      <c r="G9" s="152">
        <f>SUMIF('capacity data'!A:A,B9,'capacity data'!K:K)</f>
        <v>0</v>
      </c>
    </row>
    <row r="10" spans="1:15" x14ac:dyDescent="0.15">
      <c r="B10" s="149" t="s">
        <v>27</v>
      </c>
      <c r="C10" s="79">
        <f>SUMIFS('capacity data'!K:K,'capacity data'!A:A,B10,'capacity data'!E:E,"SPO")</f>
        <v>0</v>
      </c>
      <c r="D10" s="79">
        <f>SUMIFS('capacity data'!K:K,'capacity data'!E:E,"DMY",'capacity data'!A:A,B10)</f>
        <v>0</v>
      </c>
      <c r="E10" s="184">
        <f t="shared" si="0"/>
        <v>0</v>
      </c>
      <c r="F10" s="185" t="e">
        <f t="shared" si="1"/>
        <v>#DIV/0!</v>
      </c>
      <c r="G10" s="152">
        <f>SUMIF('capacity data'!A:A,B10,'capacity data'!K:K)</f>
        <v>0</v>
      </c>
    </row>
    <row r="11" spans="1:15" x14ac:dyDescent="0.15">
      <c r="B11" s="149" t="s">
        <v>28</v>
      </c>
      <c r="C11" s="79">
        <f>SUMIFS('capacity data'!K:K,'capacity data'!A:A,B11,'capacity data'!E:E,"SPO")</f>
        <v>0</v>
      </c>
      <c r="D11" s="79">
        <f>SUMIFS('capacity data'!K:K,'capacity data'!E:E,"DMY",'capacity data'!A:A,B11)</f>
        <v>0</v>
      </c>
      <c r="E11" s="184">
        <f t="shared" si="0"/>
        <v>0</v>
      </c>
      <c r="F11" s="185" t="e">
        <f t="shared" si="1"/>
        <v>#DIV/0!</v>
      </c>
      <c r="G11" s="152">
        <f>SUMIF('capacity data'!A:A,B11,'capacity data'!K:K)</f>
        <v>0</v>
      </c>
    </row>
    <row r="12" spans="1:15" x14ac:dyDescent="0.15">
      <c r="B12" s="149" t="s">
        <v>29</v>
      </c>
      <c r="C12" s="79">
        <f>SUMIFS('capacity data'!K:K,'capacity data'!A:A,B12,'capacity data'!E:E,"SPO")</f>
        <v>0</v>
      </c>
      <c r="D12" s="79">
        <f>SUMIFS('capacity data'!K:K,'capacity data'!E:E,"DMY",'capacity data'!A:A,B12)</f>
        <v>0</v>
      </c>
      <c r="E12" s="184">
        <f t="shared" si="0"/>
        <v>0</v>
      </c>
      <c r="F12" s="185" t="e">
        <f t="shared" si="1"/>
        <v>#DIV/0!</v>
      </c>
      <c r="G12" s="152">
        <f>SUMIF('capacity data'!A:A,B12,'capacity data'!K:K)</f>
        <v>0</v>
      </c>
    </row>
    <row r="13" spans="1:15" x14ac:dyDescent="0.15">
      <c r="B13" s="149" t="s">
        <v>30</v>
      </c>
      <c r="C13" s="79">
        <f>SUMIFS('capacity data'!K:K,'capacity data'!A:A,B13,'capacity data'!E:E,"SPO")</f>
        <v>0</v>
      </c>
      <c r="D13" s="79">
        <f>SUMIFS('capacity data'!K:K,'capacity data'!E:E,"DMY",'capacity data'!A:A,B13)</f>
        <v>0</v>
      </c>
      <c r="E13" s="184">
        <f t="shared" ref="E13" si="2">SUM(C13:D13)</f>
        <v>0</v>
      </c>
      <c r="F13" s="185" t="e">
        <f t="shared" ref="F13" si="3">E13/G13</f>
        <v>#DIV/0!</v>
      </c>
      <c r="G13" s="152">
        <f>SUMIF('capacity data'!A:A,B13,'capacity data'!K:K)</f>
        <v>0</v>
      </c>
    </row>
    <row r="14" spans="1:15" x14ac:dyDescent="0.15">
      <c r="B14" s="149" t="s">
        <v>31</v>
      </c>
      <c r="C14" s="79">
        <f>SUMIFS('capacity data'!K:K,'capacity data'!A:A,B14,'capacity data'!E:E,"SPO")</f>
        <v>0</v>
      </c>
      <c r="D14" s="79">
        <f>SUMIFS('capacity data'!K:K,'capacity data'!E:E,"DMY",'capacity data'!A:A,B14)</f>
        <v>0</v>
      </c>
      <c r="E14" s="184">
        <f t="shared" si="0"/>
        <v>0</v>
      </c>
      <c r="F14" s="185" t="e">
        <f t="shared" si="1"/>
        <v>#DIV/0!</v>
      </c>
      <c r="G14" s="152">
        <f>SUMIF('capacity data'!A:A,B14,'capacity data'!K:K)</f>
        <v>0</v>
      </c>
    </row>
    <row r="15" spans="1:15" x14ac:dyDescent="0.15">
      <c r="B15" s="149" t="s">
        <v>32</v>
      </c>
      <c r="C15" s="79">
        <f>SUMIFS('capacity data'!K:K,'capacity data'!A:A,B15,'capacity data'!E:E,"SPO")</f>
        <v>0</v>
      </c>
      <c r="D15" s="79">
        <f>SUMIFS('capacity data'!K:K,'capacity data'!E:E,"DMY",'capacity data'!A:A,B15)</f>
        <v>0</v>
      </c>
      <c r="E15" s="184">
        <f t="shared" si="0"/>
        <v>0</v>
      </c>
      <c r="F15" s="185" t="e">
        <f t="shared" si="1"/>
        <v>#DIV/0!</v>
      </c>
      <c r="G15" s="152">
        <f>SUMIF('capacity data'!A:A,B15,'capacity data'!K:K)</f>
        <v>0</v>
      </c>
    </row>
    <row r="16" spans="1:15" x14ac:dyDescent="0.15">
      <c r="B16" s="149" t="s">
        <v>33</v>
      </c>
      <c r="C16" s="79">
        <f>SUMIFS('capacity data'!K:K,'capacity data'!A:A,B16,'capacity data'!E:E,"SPO")</f>
        <v>0</v>
      </c>
      <c r="D16" s="79">
        <f>SUMIFS('capacity data'!K:K,'capacity data'!E:E,"DMY",'capacity data'!A:A,B16)</f>
        <v>0</v>
      </c>
      <c r="E16" s="184">
        <f t="shared" si="0"/>
        <v>0</v>
      </c>
      <c r="F16" s="185" t="e">
        <f t="shared" si="1"/>
        <v>#DIV/0!</v>
      </c>
      <c r="G16" s="152">
        <f>SUMIF('capacity data'!A:A,B16,'capacity data'!K:K)</f>
        <v>0</v>
      </c>
    </row>
    <row r="17" spans="1:7" x14ac:dyDescent="0.15">
      <c r="B17" s="149" t="s">
        <v>34</v>
      </c>
      <c r="C17" s="79">
        <f>SUMIFS('capacity data'!K:K,'capacity data'!A:A,B17,'capacity data'!E:E,"SPO")</f>
        <v>0</v>
      </c>
      <c r="D17" s="79">
        <f>SUMIFS('capacity data'!K:K,'capacity data'!E:E,"DMY",'capacity data'!A:A,B17)</f>
        <v>0</v>
      </c>
      <c r="E17" s="184">
        <f t="shared" si="0"/>
        <v>0</v>
      </c>
      <c r="F17" s="185" t="e">
        <f t="shared" si="1"/>
        <v>#DIV/0!</v>
      </c>
      <c r="G17" s="152">
        <f>SUMIF('capacity data'!A:A,B17,'capacity data'!K:K)</f>
        <v>0</v>
      </c>
    </row>
    <row r="18" spans="1:7" ht="15" thickBot="1" x14ac:dyDescent="0.2">
      <c r="B18" s="186" t="s">
        <v>1006</v>
      </c>
      <c r="C18" s="114">
        <f>SUMIF('capacity data'!E:E,"SPO",'capacity data'!K:K)</f>
        <v>0</v>
      </c>
      <c r="D18" s="114">
        <f>SUMIF('capacity data'!E:E,"DMY",'capacity data'!K:K)</f>
        <v>0</v>
      </c>
      <c r="E18" s="187">
        <f t="shared" ref="E18" si="4">SUM(C18:D18)</f>
        <v>0</v>
      </c>
      <c r="F18" s="188" t="e">
        <f t="shared" ref="F18" si="5">E18/G18</f>
        <v>#DIV/0!</v>
      </c>
      <c r="G18" s="114">
        <f>SUM('capacity data'!K:K)</f>
        <v>0</v>
      </c>
    </row>
    <row r="19" spans="1:7" x14ac:dyDescent="0.15">
      <c r="C19"/>
      <c r="E19"/>
      <c r="F19"/>
      <c r="G19"/>
    </row>
    <row r="20" spans="1:7" x14ac:dyDescent="0.15">
      <c r="A20" s="32"/>
    </row>
    <row r="21" spans="1:7" x14ac:dyDescent="0.15">
      <c r="A21" s="32"/>
      <c r="C21" s="18"/>
      <c r="D21" s="18"/>
    </row>
    <row r="22" spans="1:7" x14ac:dyDescent="0.15">
      <c r="A22" s="32"/>
    </row>
    <row r="23" spans="1:7" x14ac:dyDescent="0.15">
      <c r="A23" s="32"/>
    </row>
    <row r="24" spans="1:7" x14ac:dyDescent="0.15">
      <c r="A24" s="32"/>
    </row>
    <row r="25" spans="1:7" x14ac:dyDescent="0.15">
      <c r="A25" s="32"/>
    </row>
    <row r="26" spans="1:7" x14ac:dyDescent="0.15">
      <c r="A26" s="32"/>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9"/>
  <sheetViews>
    <sheetView showGridLines="0" zoomScale="85" zoomScaleNormal="85" workbookViewId="0">
      <selection sqref="A1:G1"/>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483" t="s">
        <v>1351</v>
      </c>
      <c r="B1" s="483"/>
      <c r="C1" s="483"/>
      <c r="D1" s="483"/>
      <c r="E1" s="483"/>
      <c r="F1" s="483"/>
      <c r="G1" s="483"/>
      <c r="H1" s="483"/>
      <c r="I1" s="483"/>
      <c r="J1" s="483"/>
      <c r="K1" s="483"/>
      <c r="L1" s="483"/>
      <c r="M1" s="483"/>
      <c r="N1" s="483"/>
      <c r="O1" s="272"/>
    </row>
    <row r="2" spans="1:15" ht="24.75" customHeight="1" x14ac:dyDescent="0.15">
      <c r="A2" s="522"/>
      <c r="B2" s="522"/>
      <c r="C2" s="522"/>
      <c r="D2" s="522"/>
      <c r="E2" s="522"/>
      <c r="F2" s="522"/>
      <c r="G2" s="522"/>
      <c r="H2" s="522"/>
      <c r="I2" s="522"/>
      <c r="J2" s="522"/>
      <c r="K2" s="522"/>
      <c r="L2" s="522"/>
      <c r="M2" s="522"/>
      <c r="N2" s="522"/>
      <c r="O2" s="522"/>
    </row>
    <row r="3" spans="1:15" ht="9" customHeight="1" x14ac:dyDescent="0.15">
      <c r="B3" s="19"/>
      <c r="C3" s="19"/>
      <c r="D3" s="20"/>
      <c r="E3" s="20"/>
      <c r="F3" s="20"/>
      <c r="G3" s="20"/>
      <c r="H3" s="20"/>
      <c r="I3" s="20"/>
      <c r="J3" s="20"/>
      <c r="K3" s="20"/>
      <c r="L3" s="20"/>
      <c r="M3" s="20"/>
    </row>
    <row r="4" spans="1:15" x14ac:dyDescent="0.15">
      <c r="B4" s="498" t="s">
        <v>1352</v>
      </c>
      <c r="C4" s="500"/>
      <c r="E4" s="533" t="s">
        <v>1353</v>
      </c>
      <c r="F4" s="534"/>
      <c r="G4" s="534"/>
      <c r="H4" s="529" t="s">
        <v>1354</v>
      </c>
      <c r="I4" s="281"/>
      <c r="J4" s="281"/>
      <c r="K4" s="281"/>
      <c r="L4" s="281"/>
      <c r="M4" s="281"/>
    </row>
    <row r="5" spans="1:15" ht="29.25" customHeight="1" x14ac:dyDescent="0.15">
      <c r="B5" s="525"/>
      <c r="C5" s="526"/>
      <c r="E5" s="525"/>
      <c r="F5" s="535"/>
      <c r="G5" s="535"/>
      <c r="H5" s="529"/>
      <c r="I5" s="281"/>
      <c r="J5" s="281"/>
      <c r="K5" s="281"/>
      <c r="L5" s="281"/>
      <c r="M5" s="281"/>
    </row>
    <row r="6" spans="1:15" x14ac:dyDescent="0.15">
      <c r="B6" s="66" t="str">
        <f>INDEX('reductions workings'!C:C,MATCH(C6,'reductions workings'!E:E,0))</f>
        <v>Long Term Sickness Absence</v>
      </c>
      <c r="C6" s="98">
        <f>LARGE('reductions workings'!E:E,1)</f>
        <v>8.9999999999999998E-4</v>
      </c>
      <c r="E6" s="520" t="str">
        <f>INDEX('reductions workings'!$G:$G,MATCH(G6,'reductions workings'!$H:$H,0))</f>
        <v>Adoption Leave</v>
      </c>
      <c r="F6" s="521"/>
      <c r="G6" s="199">
        <f>LARGE('reductions workings'!H:H,2)</f>
        <v>0</v>
      </c>
      <c r="H6" s="70" t="e">
        <f>G6/'reductions workings'!H61:$I$61</f>
        <v>#DIV/0!</v>
      </c>
      <c r="I6" s="115"/>
      <c r="J6" s="115"/>
      <c r="K6" s="115"/>
      <c r="L6" s="115"/>
      <c r="M6" s="115"/>
    </row>
    <row r="7" spans="1:15" x14ac:dyDescent="0.15">
      <c r="B7" s="66" t="str">
        <f>INDEX('reductions workings'!C:C,MATCH(C7,'reductions workings'!E:E,0))</f>
        <v>Long Term Sickness Absence</v>
      </c>
      <c r="C7" s="98">
        <f>LARGE('reductions workings'!E:E,2)</f>
        <v>8.9999999999999998E-4</v>
      </c>
      <c r="E7" s="520" t="str">
        <f>INDEX('reductions workings'!$G:$G,MATCH(G7,'reductions workings'!$H:$H,0))</f>
        <v>Adoption Leave</v>
      </c>
      <c r="F7" s="521"/>
      <c r="G7" s="199">
        <f>LARGE('reductions workings'!H:H,3)</f>
        <v>0</v>
      </c>
      <c r="H7" s="70" t="e">
        <f>G7/'reductions workings'!H$61:$I61</f>
        <v>#DIV/0!</v>
      </c>
      <c r="I7" s="115"/>
      <c r="J7" s="115"/>
      <c r="K7" s="115"/>
      <c r="L7" s="115"/>
      <c r="M7" s="115"/>
    </row>
    <row r="8" spans="1:15" x14ac:dyDescent="0.15">
      <c r="B8" s="66" t="str">
        <f>INDEX('reductions workings'!C:C,MATCH(C8,'reductions workings'!E:E,0))</f>
        <v>Level 4 and Level 5 Access</v>
      </c>
      <c r="C8" s="98">
        <f>LARGE('reductions workings'!E:E,3)</f>
        <v>8.0000000000000004E-4</v>
      </c>
      <c r="E8" s="520" t="str">
        <f>INDEX('reductions workings'!$G:$G,MATCH(G8,'reductions workings'!$H:$H,0))</f>
        <v>Adoption Leave</v>
      </c>
      <c r="F8" s="521"/>
      <c r="G8" s="199">
        <f>LARGE('reductions workings'!H:H,4)</f>
        <v>0</v>
      </c>
      <c r="H8" s="70" t="e">
        <f>G8/'reductions workings'!H$61:$I61</f>
        <v>#DIV/0!</v>
      </c>
      <c r="I8" s="115"/>
      <c r="J8" s="115"/>
      <c r="K8" s="115"/>
      <c r="L8" s="115"/>
      <c r="M8" s="115"/>
    </row>
    <row r="9" spans="1:15" x14ac:dyDescent="0.15">
      <c r="B9" s="66" t="str">
        <f>INDEX('reductions workings'!C:C,MATCH(C9,'reductions workings'!E:E,0))</f>
        <v>Level 4 and Level 5 Access</v>
      </c>
      <c r="C9" s="98">
        <f>LARGE('reductions workings'!E:E,4)</f>
        <v>8.0000000000000004E-4</v>
      </c>
      <c r="E9" s="520" t="str">
        <f>INDEX('reductions workings'!$G:$G,MATCH(G9,'reductions workings'!$H:$H,0))</f>
        <v>Adoption Leave</v>
      </c>
      <c r="F9" s="521"/>
      <c r="G9" s="199">
        <f>LARGE('reductions workings'!H:H,5)</f>
        <v>0</v>
      </c>
      <c r="H9" s="70" t="e">
        <f>G9/'reductions workings'!H$61:$I61</f>
        <v>#DIV/0!</v>
      </c>
      <c r="I9" s="115"/>
      <c r="J9" s="115"/>
      <c r="K9" s="115"/>
      <c r="L9" s="115"/>
      <c r="M9" s="115"/>
    </row>
    <row r="10" spans="1:15" x14ac:dyDescent="0.15">
      <c r="B10" s="66" t="str">
        <f>INDEX('reductions workings'!C:C,MATCH(C10,'reductions workings'!E:E,0))</f>
        <v>Groups (Induction)</v>
      </c>
      <c r="C10" s="98">
        <f>LARGE('reductions workings'!E:E,5)</f>
        <v>5.9999999999999995E-4</v>
      </c>
      <c r="E10" s="520" t="str">
        <f>INDEX('reductions workings'!$G:$G,MATCH(G10,'reductions workings'!$H:$H,0))</f>
        <v>Adoption Leave</v>
      </c>
      <c r="F10" s="521"/>
      <c r="G10" s="199">
        <f>LARGE('reductions workings'!H:H,6)</f>
        <v>0</v>
      </c>
      <c r="H10" s="70" t="e">
        <f>G10/'reductions workings'!H$61:$I61</f>
        <v>#DIV/0!</v>
      </c>
      <c r="I10" s="115"/>
      <c r="J10" s="115"/>
      <c r="K10" s="115"/>
      <c r="L10" s="115"/>
      <c r="M10" s="115"/>
    </row>
    <row r="11" spans="1:15" x14ac:dyDescent="0.15">
      <c r="B11" s="66" t="str">
        <f>INDEX('reductions workings'!C:C,MATCH(C11,'reductions workings'!E:E,0))</f>
        <v>Groups (Induction)</v>
      </c>
      <c r="C11" s="98">
        <f>LARGE('reductions workings'!E:E,6)</f>
        <v>5.9999999999999995E-4</v>
      </c>
      <c r="E11" s="520" t="str">
        <f>INDEX('reductions workings'!$G:$G,MATCH(G11,'reductions workings'!$H:$H,0))</f>
        <v>Adoption Leave</v>
      </c>
      <c r="F11" s="521"/>
      <c r="G11" s="199">
        <f>LARGE('reductions workings'!H:H,7)</f>
        <v>0</v>
      </c>
      <c r="H11" s="70" t="e">
        <f>G11/'reductions workings'!H$61:$I61</f>
        <v>#DIV/0!</v>
      </c>
      <c r="I11" s="115"/>
      <c r="J11" s="115"/>
      <c r="K11" s="115"/>
      <c r="L11" s="115"/>
      <c r="M11" s="115"/>
    </row>
    <row r="12" spans="1:15" x14ac:dyDescent="0.15">
      <c r="B12" s="66" t="str">
        <f>INDEX('reductions workings'!C:C,MATCH(C12,'reductions workings'!E:E,0))</f>
        <v>Groups (Group supervision)</v>
      </c>
      <c r="C12" s="98">
        <f>LARGE('reductions workings'!E:E,7)</f>
        <v>5.0000000000000001E-4</v>
      </c>
      <c r="E12" s="520" t="str">
        <f>INDEX('reductions workings'!$G:$G,MATCH(G12,'reductions workings'!$H:$H,0))</f>
        <v>Adoption Leave</v>
      </c>
      <c r="F12" s="521"/>
      <c r="G12" s="199">
        <f>LARGE('reductions workings'!H:H,8)</f>
        <v>0</v>
      </c>
      <c r="H12" s="70" t="e">
        <f>G12/'reductions workings'!H$61:$I61</f>
        <v>#DIV/0!</v>
      </c>
      <c r="I12" s="115"/>
      <c r="J12" s="115"/>
      <c r="K12" s="115"/>
      <c r="L12" s="115"/>
      <c r="M12" s="115"/>
    </row>
    <row r="13" spans="1:15" x14ac:dyDescent="0.15">
      <c r="B13" s="66" t="str">
        <f>INDEX('reductions workings'!C:C,MATCH(C13,'reductions workings'!E:E,0))</f>
        <v>Wellbeing/Work-life balance</v>
      </c>
      <c r="C13" s="98">
        <f>LARGE('reductions workings'!E:E,8)</f>
        <v>4.0999999999999999E-4</v>
      </c>
      <c r="E13" s="520" t="str">
        <f>INDEX('reductions workings'!$G:$G,MATCH(G13,'reductions workings'!$H:$H,0))</f>
        <v>Adoption Leave</v>
      </c>
      <c r="F13" s="521"/>
      <c r="G13" s="199">
        <f>LARGE('reductions workings'!H:H,9)</f>
        <v>0</v>
      </c>
      <c r="H13" s="70" t="e">
        <f>G13/'reductions workings'!H$61:$I61</f>
        <v>#DIV/0!</v>
      </c>
      <c r="I13" s="115"/>
      <c r="J13" s="115"/>
      <c r="K13" s="115"/>
      <c r="L13" s="115"/>
      <c r="M13" s="115"/>
    </row>
    <row r="14" spans="1:15" x14ac:dyDescent="0.15">
      <c r="B14" s="66" t="str">
        <f>INDEX('reductions workings'!C:C,MATCH(C14,'reductions workings'!E:E,0))</f>
        <v>Disability</v>
      </c>
      <c r="C14" s="98">
        <f>LARGE('reductions workings'!E:E,9)</f>
        <v>4.0000000000000002E-4</v>
      </c>
      <c r="E14" s="520" t="str">
        <f>INDEX('reductions workings'!$G:$G,MATCH(G14,'reductions workings'!$H:$H,0))</f>
        <v>Adoption Leave</v>
      </c>
      <c r="F14" s="521"/>
      <c r="G14" s="199">
        <f>LARGE('reductions workings'!H:H,10)</f>
        <v>0</v>
      </c>
      <c r="H14" s="70" t="e">
        <f>G14/'reductions workings'!H$61:$I61</f>
        <v>#DIV/0!</v>
      </c>
      <c r="I14" s="115"/>
      <c r="J14" s="115"/>
      <c r="K14" s="115"/>
      <c r="L14" s="115"/>
      <c r="M14" s="115"/>
    </row>
    <row r="15" spans="1:15" x14ac:dyDescent="0.15">
      <c r="B15" s="66" t="str">
        <f>INDEX('reductions workings'!C:C,MATCH(C15,'reductions workings'!E:E,0))</f>
        <v>VQ3</v>
      </c>
      <c r="C15" s="98">
        <f>LARGE('reductions workings'!E:E,10)</f>
        <v>3.8999999999999999E-4</v>
      </c>
      <c r="E15" s="520" t="str">
        <f>INDEX('reductions workings'!$G:$G,MATCH(G15,'reductions workings'!$H:$H,0))</f>
        <v>Adoption Leave</v>
      </c>
      <c r="F15" s="521"/>
      <c r="G15" s="199">
        <f>LARGE('reductions workings'!H:H,11)</f>
        <v>0</v>
      </c>
      <c r="H15" s="70" t="e">
        <f>G15/'reductions workings'!H$61:$I61</f>
        <v>#DIV/0!</v>
      </c>
      <c r="I15" s="115"/>
      <c r="J15" s="115"/>
      <c r="K15" s="115"/>
      <c r="L15" s="115"/>
      <c r="M15" s="115"/>
    </row>
    <row r="16" spans="1:15" x14ac:dyDescent="0.15">
      <c r="B16" s="66" t="str">
        <f>INDEX('reductions workings'!C:C,MATCH(C16,'reductions workings'!E:E,0))</f>
        <v>VQ3</v>
      </c>
      <c r="C16" s="98">
        <f>LARGE('reductions workings'!E:E,11)</f>
        <v>3.8999999999999999E-4</v>
      </c>
      <c r="E16" s="520" t="str">
        <f>INDEX('reductions workings'!$G:$G,MATCH(G16,'reductions workings'!$H:$H,0))</f>
        <v>Adoption Leave</v>
      </c>
      <c r="F16" s="521"/>
      <c r="G16" s="199">
        <f>LARGE('reductions workings'!H:H,12)</f>
        <v>0</v>
      </c>
      <c r="H16" s="70" t="e">
        <f>G16/'reductions workings'!H$61:$I61</f>
        <v>#DIV/0!</v>
      </c>
      <c r="I16" s="115"/>
      <c r="J16" s="115"/>
      <c r="K16" s="115"/>
      <c r="L16" s="115"/>
      <c r="M16" s="115"/>
    </row>
    <row r="17" spans="2:15" x14ac:dyDescent="0.15">
      <c r="B17" s="66" t="str">
        <f>INDEX('reductions workings'!C:C,MATCH(C17,'reductions workings'!E:E,0))</f>
        <v>Trade Union Facility Time</v>
      </c>
      <c r="C17" s="98">
        <f>LARGE('reductions workings'!E:E,12)</f>
        <v>3.8000000000000002E-4</v>
      </c>
      <c r="E17" s="520" t="str">
        <f>INDEX('reductions workings'!$G:$G,MATCH(G17,'reductions workings'!$H:$H,0))</f>
        <v>Adoption Leave</v>
      </c>
      <c r="F17" s="521"/>
      <c r="G17" s="199">
        <f>LARGE('reductions workings'!H:H,13)</f>
        <v>0</v>
      </c>
      <c r="H17" s="70" t="e">
        <f>G17/'reductions workings'!H$61:$I61</f>
        <v>#DIV/0!</v>
      </c>
      <c r="I17" s="115"/>
      <c r="J17" s="115"/>
      <c r="K17" s="115"/>
      <c r="L17" s="115"/>
      <c r="M17" s="115"/>
    </row>
    <row r="18" spans="2:15" x14ac:dyDescent="0.15">
      <c r="B18" s="66" t="str">
        <f>INDEX('reductions workings'!C:C,MATCH(C18,'reductions workings'!E:E,0))</f>
        <v>SPOC Lead</v>
      </c>
      <c r="C18" s="98">
        <f>LARGE('reductions workings'!E:E,13)</f>
        <v>3.6999999999999999E-4</v>
      </c>
      <c r="E18" s="520" t="str">
        <f>INDEX('reductions workings'!$G:$G,MATCH(G18,'reductions workings'!$H:$H,0))</f>
        <v>Adoption Leave</v>
      </c>
      <c r="F18" s="521"/>
      <c r="G18" s="199">
        <f>LARGE('reductions workings'!H:H,14)</f>
        <v>0</v>
      </c>
      <c r="H18" s="70" t="e">
        <f>G18/'reductions workings'!H$61:$I61</f>
        <v>#DIV/0!</v>
      </c>
      <c r="I18" s="115"/>
      <c r="J18" s="115"/>
      <c r="K18" s="115"/>
      <c r="L18" s="115"/>
      <c r="M18" s="115"/>
    </row>
    <row r="19" spans="2:15" x14ac:dyDescent="0.15">
      <c r="B19" s="66" t="str">
        <f>INDEX('reductions workings'!C:C,MATCH(C19,'reductions workings'!E:E,0))</f>
        <v>Split Role</v>
      </c>
      <c r="C19" s="98">
        <f>LARGE('reductions workings'!E:E,14)</f>
        <v>3.6000000000000002E-4</v>
      </c>
      <c r="E19" s="520" t="str">
        <f>INDEX('reductions workings'!$G:$G,MATCH(G19,'reductions workings'!$H:$H,0))</f>
        <v>Adoption Leave</v>
      </c>
      <c r="F19" s="521"/>
      <c r="G19" s="199">
        <f>LARGE('reductions workings'!H:H,15)</f>
        <v>0</v>
      </c>
      <c r="H19" s="70" t="e">
        <f>G19/'reductions workings'!H$61:$I61</f>
        <v>#DIV/0!</v>
      </c>
      <c r="I19" s="115"/>
      <c r="J19" s="115"/>
      <c r="K19" s="115"/>
      <c r="L19" s="115"/>
      <c r="M19" s="115"/>
    </row>
    <row r="20" spans="2:15" x14ac:dyDescent="0.15">
      <c r="B20" s="66" t="str">
        <f>INDEX('reductions workings'!C:C,MATCH(C20,'reductions workings'!E:E,0))</f>
        <v>Special Leave</v>
      </c>
      <c r="C20" s="98">
        <f>LARGE('reductions workings'!E:E,15)</f>
        <v>3.5E-4</v>
      </c>
      <c r="E20" s="520" t="str">
        <f>INDEX('reductions workings'!$G:$G,MATCH(G20,'reductions workings'!$H:$H,0))</f>
        <v>Adoption Leave</v>
      </c>
      <c r="F20" s="521"/>
      <c r="G20" s="199">
        <f>LARGE('reductions workings'!H:H,16)</f>
        <v>0</v>
      </c>
      <c r="H20" s="70" t="e">
        <f>G20/'reductions workings'!H$61:$I61</f>
        <v>#DIV/0!</v>
      </c>
      <c r="I20" s="115"/>
      <c r="J20" s="115"/>
      <c r="K20" s="115"/>
      <c r="L20" s="115"/>
      <c r="M20" s="115"/>
    </row>
    <row r="21" spans="2:15" ht="28" x14ac:dyDescent="0.15">
      <c r="B21" s="225" t="s">
        <v>1355</v>
      </c>
      <c r="C21" s="139">
        <f>SUM(C6:C20)</f>
        <v>8.1499999999999993E-3</v>
      </c>
      <c r="E21" s="532" t="s">
        <v>1356</v>
      </c>
      <c r="F21" s="521"/>
      <c r="G21" s="530">
        <f>SUM(G6:G20)</f>
        <v>0</v>
      </c>
      <c r="H21" s="531"/>
      <c r="I21" s="6"/>
      <c r="J21" s="6"/>
      <c r="K21" s="6"/>
      <c r="L21" s="6"/>
      <c r="M21" s="6"/>
    </row>
    <row r="22" spans="2:15" ht="28" x14ac:dyDescent="0.15">
      <c r="B22" s="226" t="s">
        <v>1357</v>
      </c>
      <c r="C22" s="140">
        <f>COUNTIF('reductions data'!K:K,"ACTIVE")</f>
        <v>0</v>
      </c>
      <c r="E22" s="527" t="s">
        <v>1358</v>
      </c>
      <c r="F22" s="528"/>
      <c r="G22" s="530">
        <f>LARGE('reductions workings'!H:H,1)</f>
        <v>0</v>
      </c>
      <c r="H22" s="531"/>
      <c r="I22" s="6"/>
      <c r="J22" s="6"/>
      <c r="K22" s="6"/>
      <c r="L22" s="6"/>
      <c r="M22" s="6"/>
    </row>
    <row r="23" spans="2:15" ht="16" x14ac:dyDescent="0.2">
      <c r="B23" s="1"/>
      <c r="C23" s="1"/>
    </row>
    <row r="24" spans="2:15" ht="20" x14ac:dyDescent="0.2">
      <c r="C24" s="523" t="s">
        <v>1359</v>
      </c>
      <c r="D24" s="524"/>
      <c r="E24" s="524"/>
      <c r="F24" s="524"/>
      <c r="G24" s="524"/>
      <c r="H24" s="524"/>
      <c r="I24" s="524"/>
      <c r="J24" s="524"/>
      <c r="K24" s="524"/>
      <c r="L24" s="524"/>
      <c r="M24" s="524"/>
      <c r="N24" s="524"/>
      <c r="O24" s="524"/>
    </row>
    <row r="25" spans="2:15" ht="40.5" customHeight="1" x14ac:dyDescent="0.15">
      <c r="B25" s="80" t="s">
        <v>1047</v>
      </c>
      <c r="C25" s="80" t="s">
        <v>23</v>
      </c>
      <c r="D25" s="80" t="s">
        <v>24</v>
      </c>
      <c r="E25" s="80" t="s">
        <v>25</v>
      </c>
      <c r="F25" s="80" t="s">
        <v>26</v>
      </c>
      <c r="G25" s="80" t="s">
        <v>27</v>
      </c>
      <c r="H25" s="80" t="s">
        <v>28</v>
      </c>
      <c r="I25" s="80" t="s">
        <v>29</v>
      </c>
      <c r="J25" s="80" t="s">
        <v>30</v>
      </c>
      <c r="K25" s="80" t="s">
        <v>31</v>
      </c>
      <c r="L25" s="80" t="s">
        <v>32</v>
      </c>
      <c r="M25" s="80" t="s">
        <v>33</v>
      </c>
      <c r="N25" s="80" t="s">
        <v>34</v>
      </c>
      <c r="O25" s="80" t="s">
        <v>1360</v>
      </c>
    </row>
    <row r="26" spans="2:15" x14ac:dyDescent="0.15">
      <c r="B26" s="116" t="s">
        <v>1050</v>
      </c>
      <c r="C26" s="66">
        <f>COUNTIFS('reductions data'!G:G,'reasons for reduction division'!B26,'reductions data'!A:A,$C$25)</f>
        <v>0</v>
      </c>
      <c r="D26" s="66">
        <f>COUNTIFS('reductions data'!G:G,'reasons for reduction division'!B26,'reductions data'!A:A,$D$25)</f>
        <v>0</v>
      </c>
      <c r="E26" s="66">
        <f>COUNTIFS('reductions data'!G:G,'reasons for reduction division'!B26,'reductions data'!A:A,$E$25)</f>
        <v>0</v>
      </c>
      <c r="F26" s="66">
        <f>COUNTIFS('reductions data'!G:G,'reasons for reduction division'!B26,'reductions data'!A:A,$F$25)</f>
        <v>0</v>
      </c>
      <c r="G26" s="66">
        <f>COUNTIFS('reductions data'!G:G,'reasons for reduction division'!B26,'reductions data'!A:A,$G$25)</f>
        <v>0</v>
      </c>
      <c r="H26" s="66">
        <f>COUNTIFS('reductions data'!G:G,'reasons for reduction division'!B26,'reductions data'!A:A,$H$25)</f>
        <v>0</v>
      </c>
      <c r="I26" s="66">
        <f>COUNTIFS('reductions data'!G:G,'reasons for reduction division'!B26,'reductions data'!A:A,$I$25)</f>
        <v>0</v>
      </c>
      <c r="J26" s="66">
        <f>COUNTIFS('reductions data'!G:G,'reasons for reduction division'!B26,'reductions data'!A:A,$J$25)</f>
        <v>0</v>
      </c>
      <c r="K26" s="66">
        <f>COUNTIFS('reductions data'!G:G,'reasons for reduction division'!B26,'reductions data'!A:A,$K$25)</f>
        <v>0</v>
      </c>
      <c r="L26" s="66">
        <f>COUNTIFS('reductions data'!G:G,'reasons for reduction division'!B26,'reductions data'!A:A,$L$25)</f>
        <v>0</v>
      </c>
      <c r="M26" s="66">
        <f>COUNTIFS('reductions data'!G:G,'reasons for reduction division'!B26,'reductions data'!A:A,$M$25)</f>
        <v>0</v>
      </c>
      <c r="N26" s="66">
        <f>COUNTIFS('reductions data'!G:G,'reasons for reduction division'!B26,'reductions data'!A:A,$N$25)</f>
        <v>0</v>
      </c>
      <c r="O26" s="109">
        <f>COUNTIF('reductions data'!G:G,'reasons for reduction division'!B26)</f>
        <v>0</v>
      </c>
    </row>
    <row r="27" spans="2:15" x14ac:dyDescent="0.15">
      <c r="B27" s="117" t="s">
        <v>1052</v>
      </c>
      <c r="C27" s="66">
        <f>COUNTIFS('reductions data'!G:G,'reasons for reduction division'!B27,'reductions data'!A:A,$C$25)</f>
        <v>0</v>
      </c>
      <c r="D27" s="66">
        <f>COUNTIFS('reductions data'!G:G,'reasons for reduction division'!B27,'reductions data'!A:A,$D$25)</f>
        <v>0</v>
      </c>
      <c r="E27" s="66">
        <f>COUNTIFS('reductions data'!G:G,'reasons for reduction division'!B27,'reductions data'!A:A,$E$25)</f>
        <v>0</v>
      </c>
      <c r="F27" s="66">
        <f>COUNTIFS('reductions data'!G:G,'reasons for reduction division'!B27,'reductions data'!A:A,$F$25)</f>
        <v>0</v>
      </c>
      <c r="G27" s="66">
        <f>COUNTIFS('reductions data'!G:G,'reasons for reduction division'!B27,'reductions data'!A:A,$G$25)</f>
        <v>0</v>
      </c>
      <c r="H27" s="66">
        <f>COUNTIFS('reductions data'!G:G,'reasons for reduction division'!B27,'reductions data'!A:A,$H$25)</f>
        <v>0</v>
      </c>
      <c r="I27" s="66">
        <f>COUNTIFS('reductions data'!G:G,'reasons for reduction division'!B27,'reductions data'!A:A,$I$25)</f>
        <v>0</v>
      </c>
      <c r="J27" s="66">
        <f>COUNTIFS('reductions data'!G:G,'reasons for reduction division'!B27,'reductions data'!A:A,$J$25)</f>
        <v>0</v>
      </c>
      <c r="K27" s="66">
        <f>COUNTIFS('reductions data'!G:G,'reasons for reduction division'!B27,'reductions data'!A:A,$K$25)</f>
        <v>0</v>
      </c>
      <c r="L27" s="66">
        <f>COUNTIFS('reductions data'!G:G,'reasons for reduction division'!B27,'reductions data'!A:A,$L$25)</f>
        <v>0</v>
      </c>
      <c r="M27" s="66">
        <f>COUNTIFS('reductions data'!G:G,'reasons for reduction division'!B27,'reductions data'!A:A,$M$25)</f>
        <v>0</v>
      </c>
      <c r="N27" s="66">
        <f>COUNTIFS('reductions data'!G:G,'reasons for reduction division'!B27,'reductions data'!A:A,$N$25)</f>
        <v>0</v>
      </c>
      <c r="O27" s="109">
        <f>COUNTIF('reductions data'!G:G,'reasons for reduction division'!B27)</f>
        <v>0</v>
      </c>
    </row>
    <row r="28" spans="2:15" x14ac:dyDescent="0.15">
      <c r="B28" s="117" t="s">
        <v>1051</v>
      </c>
      <c r="C28" s="66">
        <f>COUNTIFS('reductions data'!G:G,'reasons for reduction division'!B28,'reductions data'!A:A,$C$25)</f>
        <v>0</v>
      </c>
      <c r="D28" s="66">
        <f>COUNTIFS('reductions data'!G:G,'reasons for reduction division'!B28,'reductions data'!A:A,$D$25)</f>
        <v>0</v>
      </c>
      <c r="E28" s="66">
        <f>COUNTIFS('reductions data'!G:G,'reasons for reduction division'!B28,'reductions data'!A:A,$E$25)</f>
        <v>0</v>
      </c>
      <c r="F28" s="66">
        <f>COUNTIFS('reductions data'!G:G,'reasons for reduction division'!B28,'reductions data'!A:A,$F$25)</f>
        <v>0</v>
      </c>
      <c r="G28" s="66">
        <f>COUNTIFS('reductions data'!G:G,'reasons for reduction division'!B28,'reductions data'!A:A,$G$25)</f>
        <v>0</v>
      </c>
      <c r="H28" s="66">
        <f>COUNTIFS('reductions data'!G:G,'reasons for reduction division'!B28,'reductions data'!A:A,$H$25)</f>
        <v>0</v>
      </c>
      <c r="I28" s="66">
        <f>COUNTIFS('reductions data'!G:G,'reasons for reduction division'!B28,'reductions data'!A:A,$I$25)</f>
        <v>0</v>
      </c>
      <c r="J28" s="66">
        <f>COUNTIFS('reductions data'!G:G,'reasons for reduction division'!B28,'reductions data'!A:A,$J$25)</f>
        <v>0</v>
      </c>
      <c r="K28" s="66">
        <f>COUNTIFS('reductions data'!G:G,'reasons for reduction division'!B28,'reductions data'!A:A,$K$25)</f>
        <v>0</v>
      </c>
      <c r="L28" s="66">
        <f>COUNTIFS('reductions data'!G:G,'reasons for reduction division'!B28,'reductions data'!A:A,$L$25)</f>
        <v>0</v>
      </c>
      <c r="M28" s="66">
        <f>COUNTIFS('reductions data'!G:G,'reasons for reduction division'!B28,'reductions data'!A:A,$M$25)</f>
        <v>0</v>
      </c>
      <c r="N28" s="66">
        <f>COUNTIFS('reductions data'!G:G,'reasons for reduction division'!B28,'reductions data'!A:A,$N$25)</f>
        <v>0</v>
      </c>
      <c r="O28" s="109">
        <f>COUNTIF('reductions data'!G:G,'reasons for reduction division'!B28)</f>
        <v>0</v>
      </c>
    </row>
    <row r="29" spans="2:15" x14ac:dyDescent="0.15">
      <c r="B29" s="117" t="s">
        <v>1053</v>
      </c>
      <c r="C29" s="66">
        <f>COUNTIFS('reductions data'!G:G,'reasons for reduction division'!B29,'reductions data'!A:A,$C$25)</f>
        <v>0</v>
      </c>
      <c r="D29" s="66">
        <f>COUNTIFS('reductions data'!G:G,'reasons for reduction division'!B29,'reductions data'!A:A,$D$25)</f>
        <v>0</v>
      </c>
      <c r="E29" s="66">
        <f>COUNTIFS('reductions data'!G:G,'reasons for reduction division'!B29,'reductions data'!A:A,$E$25)</f>
        <v>0</v>
      </c>
      <c r="F29" s="66">
        <f>COUNTIFS('reductions data'!G:G,'reasons for reduction division'!B29,'reductions data'!A:A,$F$25)</f>
        <v>0</v>
      </c>
      <c r="G29" s="66">
        <f>COUNTIFS('reductions data'!G:G,'reasons for reduction division'!B29,'reductions data'!A:A,$G$25)</f>
        <v>0</v>
      </c>
      <c r="H29" s="66">
        <f>COUNTIFS('reductions data'!G:G,'reasons for reduction division'!B29,'reductions data'!A:A,$H$25)</f>
        <v>0</v>
      </c>
      <c r="I29" s="66">
        <f>COUNTIFS('reductions data'!G:G,'reasons for reduction division'!B29,'reductions data'!A:A,$I$25)</f>
        <v>0</v>
      </c>
      <c r="J29" s="66">
        <f>COUNTIFS('reductions data'!G:G,'reasons for reduction division'!B29,'reductions data'!A:A,$J$25)</f>
        <v>0</v>
      </c>
      <c r="K29" s="66">
        <f>COUNTIFS('reductions data'!G:G,'reasons for reduction division'!B29,'reductions data'!A:A,$K$25)</f>
        <v>0</v>
      </c>
      <c r="L29" s="66">
        <f>COUNTIFS('reductions data'!G:G,'reasons for reduction division'!B29,'reductions data'!A:A,$L$25)</f>
        <v>0</v>
      </c>
      <c r="M29" s="66">
        <f>COUNTIFS('reductions data'!G:G,'reasons for reduction division'!B29,'reductions data'!A:A,$M$25)</f>
        <v>0</v>
      </c>
      <c r="N29" s="66">
        <f>COUNTIFS('reductions data'!G:G,'reasons for reduction division'!B29,'reductions data'!A:A,$N$25)</f>
        <v>0</v>
      </c>
      <c r="O29" s="109">
        <f>COUNTIF('reductions data'!G:G,'reasons for reduction division'!B29)</f>
        <v>0</v>
      </c>
    </row>
    <row r="30" spans="2:15" x14ac:dyDescent="0.15">
      <c r="B30" s="117" t="s">
        <v>1054</v>
      </c>
      <c r="C30" s="66">
        <f>COUNTIFS('reductions data'!G:G,'reasons for reduction division'!B30,'reductions data'!A:A,$C$25)</f>
        <v>0</v>
      </c>
      <c r="D30" s="66">
        <f>COUNTIFS('reductions data'!G:G,'reasons for reduction division'!B30,'reductions data'!A:A,$D$25)</f>
        <v>0</v>
      </c>
      <c r="E30" s="66">
        <f>COUNTIFS('reductions data'!G:G,'reasons for reduction division'!B30,'reductions data'!A:A,$E$25)</f>
        <v>0</v>
      </c>
      <c r="F30" s="66">
        <f>COUNTIFS('reductions data'!G:G,'reasons for reduction division'!B30,'reductions data'!A:A,$F$25)</f>
        <v>0</v>
      </c>
      <c r="G30" s="66">
        <f>COUNTIFS('reductions data'!G:G,'reasons for reduction division'!B30,'reductions data'!A:A,$G$25)</f>
        <v>0</v>
      </c>
      <c r="H30" s="66">
        <f>COUNTIFS('reductions data'!G:G,'reasons for reduction division'!B30,'reductions data'!A:A,$H$25)</f>
        <v>0</v>
      </c>
      <c r="I30" s="66">
        <f>COUNTIFS('reductions data'!G:G,'reasons for reduction division'!B30,'reductions data'!A:A,$I$25)</f>
        <v>0</v>
      </c>
      <c r="J30" s="66">
        <f>COUNTIFS('reductions data'!G:G,'reasons for reduction division'!B30,'reductions data'!A:A,$J$25)</f>
        <v>0</v>
      </c>
      <c r="K30" s="66">
        <f>COUNTIFS('reductions data'!G:G,'reasons for reduction division'!B30,'reductions data'!A:A,$K$25)</f>
        <v>0</v>
      </c>
      <c r="L30" s="66">
        <f>COUNTIFS('reductions data'!G:G,'reasons for reduction division'!B30,'reductions data'!A:A,$L$25)</f>
        <v>0</v>
      </c>
      <c r="M30" s="66">
        <f>COUNTIFS('reductions data'!G:G,'reasons for reduction division'!B30,'reductions data'!A:A,$M$25)</f>
        <v>0</v>
      </c>
      <c r="N30" s="66">
        <f>COUNTIFS('reductions data'!G:G,'reasons for reduction division'!B30,'reductions data'!A:A,$N$25)</f>
        <v>0</v>
      </c>
      <c r="O30" s="109">
        <f>COUNTIF('reductions data'!G:G,'reasons for reduction division'!B30)</f>
        <v>0</v>
      </c>
    </row>
    <row r="31" spans="2:15" ht="15" customHeight="1" x14ac:dyDescent="0.15">
      <c r="B31" s="117" t="s">
        <v>1055</v>
      </c>
      <c r="C31" s="66">
        <f>COUNTIFS('reductions data'!G:G,'reasons for reduction division'!B31,'reductions data'!A:A,$C$25)</f>
        <v>0</v>
      </c>
      <c r="D31" s="66">
        <f>COUNTIFS('reductions data'!G:G,'reasons for reduction division'!B31,'reductions data'!A:A,$D$25)</f>
        <v>0</v>
      </c>
      <c r="E31" s="66">
        <f>COUNTIFS('reductions data'!G:G,'reasons for reduction division'!B31,'reductions data'!A:A,$E$25)</f>
        <v>0</v>
      </c>
      <c r="F31" s="66">
        <f>COUNTIFS('reductions data'!G:G,'reasons for reduction division'!B31,'reductions data'!A:A,$F$25)</f>
        <v>0</v>
      </c>
      <c r="G31" s="66">
        <f>COUNTIFS('reductions data'!G:G,'reasons for reduction division'!B31,'reductions data'!A:A,$G$25)</f>
        <v>0</v>
      </c>
      <c r="H31" s="66">
        <f>COUNTIFS('reductions data'!G:G,'reasons for reduction division'!B31,'reductions data'!A:A,$H$25)</f>
        <v>0</v>
      </c>
      <c r="I31" s="66">
        <f>COUNTIFS('reductions data'!G:G,'reasons for reduction division'!B31,'reductions data'!A:A,$I$25)</f>
        <v>0</v>
      </c>
      <c r="J31" s="66">
        <f>COUNTIFS('reductions data'!G:G,'reasons for reduction division'!B31,'reductions data'!A:A,$J$25)</f>
        <v>0</v>
      </c>
      <c r="K31" s="66">
        <f>COUNTIFS('reductions data'!G:G,'reasons for reduction division'!B31,'reductions data'!A:A,$K$25)</f>
        <v>0</v>
      </c>
      <c r="L31" s="66">
        <f>COUNTIFS('reductions data'!G:G,'reasons for reduction division'!B31,'reductions data'!A:A,$L$25)</f>
        <v>0</v>
      </c>
      <c r="M31" s="66">
        <f>COUNTIFS('reductions data'!G:G,'reasons for reduction division'!B31,'reductions data'!A:A,$M$25)</f>
        <v>0</v>
      </c>
      <c r="N31" s="66">
        <f>COUNTIFS('reductions data'!G:G,'reasons for reduction division'!B31,'reductions data'!A:A,$N$25)</f>
        <v>0</v>
      </c>
      <c r="O31" s="109">
        <f>COUNTIF('reductions data'!G:G,'reasons for reduction division'!B31)</f>
        <v>0</v>
      </c>
    </row>
    <row r="32" spans="2:15" ht="15" customHeight="1" x14ac:dyDescent="0.15">
      <c r="B32" s="117" t="s">
        <v>1056</v>
      </c>
      <c r="C32" s="66">
        <f>COUNTIFS('reductions data'!G:G,'reasons for reduction division'!B32,'reductions data'!A:A,$C$25)</f>
        <v>0</v>
      </c>
      <c r="D32" s="66">
        <f>COUNTIFS('reductions data'!G:G,'reasons for reduction division'!B32,'reductions data'!A:A,$D$25)</f>
        <v>0</v>
      </c>
      <c r="E32" s="66">
        <f>COUNTIFS('reductions data'!G:G,'reasons for reduction division'!B32,'reductions data'!A:A,$E$25)</f>
        <v>0</v>
      </c>
      <c r="F32" s="66">
        <f>COUNTIFS('reductions data'!G:G,'reasons for reduction division'!B32,'reductions data'!A:A,$F$25)</f>
        <v>0</v>
      </c>
      <c r="G32" s="66">
        <f>COUNTIFS('reductions data'!G:G,'reasons for reduction division'!B32,'reductions data'!A:A,$G$25)</f>
        <v>0</v>
      </c>
      <c r="H32" s="66">
        <f>COUNTIFS('reductions data'!G:G,'reasons for reduction division'!B32,'reductions data'!A:A,$H$25)</f>
        <v>0</v>
      </c>
      <c r="I32" s="66">
        <f>COUNTIFS('reductions data'!G:G,'reasons for reduction division'!B32,'reductions data'!A:A,$I$25)</f>
        <v>0</v>
      </c>
      <c r="J32" s="66">
        <f>COUNTIFS('reductions data'!G:G,'reasons for reduction division'!B32,'reductions data'!A:A,$J$25)</f>
        <v>0</v>
      </c>
      <c r="K32" s="66">
        <f>COUNTIFS('reductions data'!G:G,'reasons for reduction division'!B32,'reductions data'!A:A,$K$25)</f>
        <v>0</v>
      </c>
      <c r="L32" s="66">
        <f>COUNTIFS('reductions data'!G:G,'reasons for reduction division'!B32,'reductions data'!A:A,$L$25)</f>
        <v>0</v>
      </c>
      <c r="M32" s="66">
        <f>COUNTIFS('reductions data'!G:G,'reasons for reduction division'!B32,'reductions data'!A:A,$M$25)</f>
        <v>0</v>
      </c>
      <c r="N32" s="66">
        <f>COUNTIFS('reductions data'!G:G,'reasons for reduction division'!B32,'reductions data'!A:A,$N$25)</f>
        <v>0</v>
      </c>
      <c r="O32" s="109">
        <f>COUNTIF('reductions data'!G:G,'reasons for reduction division'!B32)</f>
        <v>0</v>
      </c>
    </row>
    <row r="33" spans="2:15" x14ac:dyDescent="0.15">
      <c r="B33" s="117" t="s">
        <v>1057</v>
      </c>
      <c r="C33" s="66">
        <f>COUNTIFS('reductions data'!G:G,'reasons for reduction division'!B33,'reductions data'!A:A,$C$25)</f>
        <v>0</v>
      </c>
      <c r="D33" s="66">
        <f>COUNTIFS('reductions data'!G:G,'reasons for reduction division'!B33,'reductions data'!A:A,$D$25)</f>
        <v>0</v>
      </c>
      <c r="E33" s="66">
        <f>COUNTIFS('reductions data'!G:G,'reasons for reduction division'!B33,'reductions data'!A:A,$E$25)</f>
        <v>0</v>
      </c>
      <c r="F33" s="66">
        <f>COUNTIFS('reductions data'!G:G,'reasons for reduction division'!B33,'reductions data'!A:A,$F$25)</f>
        <v>0</v>
      </c>
      <c r="G33" s="66">
        <f>COUNTIFS('reductions data'!G:G,'reasons for reduction division'!B33,'reductions data'!A:A,$G$25)</f>
        <v>0</v>
      </c>
      <c r="H33" s="66">
        <f>COUNTIFS('reductions data'!G:G,'reasons for reduction division'!B33,'reductions data'!A:A,$H$25)</f>
        <v>0</v>
      </c>
      <c r="I33" s="66">
        <f>COUNTIFS('reductions data'!G:G,'reasons for reduction division'!B33,'reductions data'!A:A,$I$25)</f>
        <v>0</v>
      </c>
      <c r="J33" s="66">
        <f>COUNTIFS('reductions data'!G:G,'reasons for reduction division'!B33,'reductions data'!A:A,$J$25)</f>
        <v>0</v>
      </c>
      <c r="K33" s="66">
        <f>COUNTIFS('reductions data'!G:G,'reasons for reduction division'!B33,'reductions data'!A:A,$K$25)</f>
        <v>0</v>
      </c>
      <c r="L33" s="66">
        <f>COUNTIFS('reductions data'!G:G,'reasons for reduction division'!B33,'reductions data'!A:A,$L$25)</f>
        <v>0</v>
      </c>
      <c r="M33" s="66">
        <f>COUNTIFS('reductions data'!G:G,'reasons for reduction division'!B33,'reductions data'!A:A,$M$25)</f>
        <v>0</v>
      </c>
      <c r="N33" s="66">
        <f>COUNTIFS('reductions data'!G:G,'reasons for reduction division'!B33,'reductions data'!A:A,$N$25)</f>
        <v>0</v>
      </c>
      <c r="O33" s="109">
        <f>COUNTIF('reductions data'!G:G,'reasons for reduction division'!B33)</f>
        <v>0</v>
      </c>
    </row>
    <row r="34" spans="2:15" x14ac:dyDescent="0.15">
      <c r="B34" s="117" t="s">
        <v>1444</v>
      </c>
      <c r="C34" s="66">
        <f>COUNTIFS('reductions data'!G:G,'reasons for reduction division'!B34,'reductions data'!A:A,$C$25)</f>
        <v>0</v>
      </c>
      <c r="D34" s="66">
        <f>COUNTIFS('reductions data'!G:G,'reasons for reduction division'!B34,'reductions data'!A:A,$D$25)</f>
        <v>0</v>
      </c>
      <c r="E34" s="66">
        <f>COUNTIFS('reductions data'!G:G,'reasons for reduction division'!B34,'reductions data'!A:A,$E$25)</f>
        <v>0</v>
      </c>
      <c r="F34" s="66">
        <f>COUNTIFS('reductions data'!G:G,'reasons for reduction division'!B34,'reductions data'!A:A,$F$25)</f>
        <v>0</v>
      </c>
      <c r="G34" s="66">
        <f>COUNTIFS('reductions data'!G:G,'reasons for reduction division'!B34,'reductions data'!A:A,$G$25)</f>
        <v>0</v>
      </c>
      <c r="H34" s="66">
        <f>COUNTIFS('reductions data'!G:G,'reasons for reduction division'!B34,'reductions data'!A:A,$H$25)</f>
        <v>0</v>
      </c>
      <c r="I34" s="66">
        <f>COUNTIFS('reductions data'!G:G,'reasons for reduction division'!B34,'reductions data'!A:A,$I$25)</f>
        <v>0</v>
      </c>
      <c r="J34" s="66">
        <f>COUNTIFS('reductions data'!G:G,'reasons for reduction division'!B34,'reductions data'!A:A,$J$25)</f>
        <v>0</v>
      </c>
      <c r="K34" s="66">
        <f>COUNTIFS('reductions data'!G:G,'reasons for reduction division'!B34,'reductions data'!A:A,$K$25)</f>
        <v>0</v>
      </c>
      <c r="L34" s="66">
        <f>COUNTIFS('reductions data'!G:G,'reasons for reduction division'!B34,'reductions data'!A:A,$L$25)</f>
        <v>0</v>
      </c>
      <c r="M34" s="66">
        <f>COUNTIFS('reductions data'!G:G,'reasons for reduction division'!B34,'reductions data'!A:A,$M$25)</f>
        <v>0</v>
      </c>
      <c r="N34" s="66">
        <f>COUNTIFS('reductions data'!G:G,'reasons for reduction division'!B34,'reductions data'!A:A,$N$25)</f>
        <v>0</v>
      </c>
      <c r="O34" s="109">
        <f>COUNTIF('reductions data'!G:G,'reasons for reduction division'!B34)</f>
        <v>0</v>
      </c>
    </row>
    <row r="35" spans="2:15" x14ac:dyDescent="0.15">
      <c r="B35" s="117" t="s">
        <v>1058</v>
      </c>
      <c r="C35" s="66">
        <f>COUNTIFS('reductions data'!G:G,'reasons for reduction division'!B35,'reductions data'!A:A,$C$25)</f>
        <v>0</v>
      </c>
      <c r="D35" s="66">
        <f>COUNTIFS('reductions data'!G:G,'reasons for reduction division'!B35,'reductions data'!A:A,$D$25)</f>
        <v>0</v>
      </c>
      <c r="E35" s="66">
        <f>COUNTIFS('reductions data'!G:G,'reasons for reduction division'!B35,'reductions data'!A:A,$E$25)</f>
        <v>0</v>
      </c>
      <c r="F35" s="66">
        <f>COUNTIFS('reductions data'!G:G,'reasons for reduction division'!B35,'reductions data'!A:A,$F$25)</f>
        <v>0</v>
      </c>
      <c r="G35" s="66">
        <f>COUNTIFS('reductions data'!G:G,'reasons for reduction division'!B35,'reductions data'!A:A,$G$25)</f>
        <v>0</v>
      </c>
      <c r="H35" s="66">
        <f>COUNTIFS('reductions data'!G:G,'reasons for reduction division'!B35,'reductions data'!A:A,$H$25)</f>
        <v>0</v>
      </c>
      <c r="I35" s="66">
        <f>COUNTIFS('reductions data'!G:G,'reasons for reduction division'!B35,'reductions data'!A:A,$I$25)</f>
        <v>0</v>
      </c>
      <c r="J35" s="66">
        <f>COUNTIFS('reductions data'!G:G,'reasons for reduction division'!B35,'reductions data'!A:A,$J$25)</f>
        <v>0</v>
      </c>
      <c r="K35" s="66">
        <f>COUNTIFS('reductions data'!G:G,'reasons for reduction division'!B35,'reductions data'!A:A,$K$25)</f>
        <v>0</v>
      </c>
      <c r="L35" s="66">
        <f>COUNTIFS('reductions data'!G:G,'reasons for reduction division'!B35,'reductions data'!A:A,$L$25)</f>
        <v>0</v>
      </c>
      <c r="M35" s="66">
        <f>COUNTIFS('reductions data'!G:G,'reasons for reduction division'!B35,'reductions data'!A:A,$M$25)</f>
        <v>0</v>
      </c>
      <c r="N35" s="66">
        <f>COUNTIFS('reductions data'!G:G,'reasons for reduction division'!B35,'reductions data'!A:A,$N$25)</f>
        <v>0</v>
      </c>
      <c r="O35" s="109">
        <f>COUNTIF('reductions data'!G:G,'reasons for reduction division'!B35)</f>
        <v>0</v>
      </c>
    </row>
    <row r="36" spans="2:15" x14ac:dyDescent="0.15">
      <c r="B36" s="117" t="s">
        <v>1059</v>
      </c>
      <c r="C36" s="66">
        <f>COUNTIFS('reductions data'!G:G,'reasons for reduction division'!B36,'reductions data'!A:A,$C$25)</f>
        <v>0</v>
      </c>
      <c r="D36" s="66">
        <f>COUNTIFS('reductions data'!G:G,'reasons for reduction division'!B36,'reductions data'!A:A,$D$25)</f>
        <v>0</v>
      </c>
      <c r="E36" s="66">
        <f>COUNTIFS('reductions data'!G:G,'reasons for reduction division'!B36,'reductions data'!A:A,$E$25)</f>
        <v>0</v>
      </c>
      <c r="F36" s="66">
        <f>COUNTIFS('reductions data'!G:G,'reasons for reduction division'!B36,'reductions data'!A:A,$F$25)</f>
        <v>0</v>
      </c>
      <c r="G36" s="66">
        <f>COUNTIFS('reductions data'!G:G,'reasons for reduction division'!B36,'reductions data'!A:A,$G$25)</f>
        <v>0</v>
      </c>
      <c r="H36" s="66">
        <f>COUNTIFS('reductions data'!G:G,'reasons for reduction division'!B36,'reductions data'!A:A,$H$25)</f>
        <v>0</v>
      </c>
      <c r="I36" s="66">
        <f>COUNTIFS('reductions data'!G:G,'reasons for reduction division'!B36,'reductions data'!A:A,$I$25)</f>
        <v>0</v>
      </c>
      <c r="J36" s="66">
        <f>COUNTIFS('reductions data'!G:G,'reasons for reduction division'!B36,'reductions data'!A:A,$J$25)</f>
        <v>0</v>
      </c>
      <c r="K36" s="66">
        <f>COUNTIFS('reductions data'!G:G,'reasons for reduction division'!B36,'reductions data'!A:A,$K$25)</f>
        <v>0</v>
      </c>
      <c r="L36" s="66">
        <f>COUNTIFS('reductions data'!G:G,'reasons for reduction division'!B36,'reductions data'!A:A,$L$25)</f>
        <v>0</v>
      </c>
      <c r="M36" s="66">
        <f>COUNTIFS('reductions data'!G:G,'reasons for reduction division'!B36,'reductions data'!A:A,$M$25)</f>
        <v>0</v>
      </c>
      <c r="N36" s="66">
        <f>COUNTIFS('reductions data'!G:G,'reasons for reduction division'!B36,'reductions data'!A:A,$N$25)</f>
        <v>0</v>
      </c>
      <c r="O36" s="109">
        <f>COUNTIF('reductions data'!G:G,'reasons for reduction division'!B36)</f>
        <v>0</v>
      </c>
    </row>
    <row r="37" spans="2:15" x14ac:dyDescent="0.15">
      <c r="B37" s="117" t="s">
        <v>1060</v>
      </c>
      <c r="C37" s="66">
        <f>COUNTIFS('reductions data'!G:G,'reasons for reduction division'!B37,'reductions data'!A:A,$C$25)</f>
        <v>0</v>
      </c>
      <c r="D37" s="66">
        <f>COUNTIFS('reductions data'!G:G,'reasons for reduction division'!B37,'reductions data'!A:A,$D$25)</f>
        <v>0</v>
      </c>
      <c r="E37" s="66">
        <f>COUNTIFS('reductions data'!G:G,'reasons for reduction division'!B37,'reductions data'!A:A,$E$25)</f>
        <v>0</v>
      </c>
      <c r="F37" s="66">
        <f>COUNTIFS('reductions data'!G:G,'reasons for reduction division'!B37,'reductions data'!A:A,$F$25)</f>
        <v>0</v>
      </c>
      <c r="G37" s="66">
        <f>COUNTIFS('reductions data'!G:G,'reasons for reduction division'!B37,'reductions data'!A:A,$G$25)</f>
        <v>0</v>
      </c>
      <c r="H37" s="66">
        <f>COUNTIFS('reductions data'!G:G,'reasons for reduction division'!B37,'reductions data'!A:A,$H$25)</f>
        <v>0</v>
      </c>
      <c r="I37" s="66">
        <f>COUNTIFS('reductions data'!G:G,'reasons for reduction division'!B37,'reductions data'!A:A,$I$25)</f>
        <v>0</v>
      </c>
      <c r="J37" s="66">
        <f>COUNTIFS('reductions data'!G:G,'reasons for reduction division'!B37,'reductions data'!A:A,$J$25)</f>
        <v>0</v>
      </c>
      <c r="K37" s="66">
        <f>COUNTIFS('reductions data'!G:G,'reasons for reduction division'!B37,'reductions data'!A:A,$K$25)</f>
        <v>0</v>
      </c>
      <c r="L37" s="66">
        <f>COUNTIFS('reductions data'!G:G,'reasons for reduction division'!B37,'reductions data'!A:A,$L$25)</f>
        <v>0</v>
      </c>
      <c r="M37" s="66">
        <f>COUNTIFS('reductions data'!G:G,'reasons for reduction division'!B37,'reductions data'!A:A,$M$25)</f>
        <v>0</v>
      </c>
      <c r="N37" s="66">
        <f>COUNTIFS('reductions data'!G:G,'reasons for reduction division'!B37,'reductions data'!A:A,$N$25)</f>
        <v>0</v>
      </c>
      <c r="O37" s="109">
        <f>COUNTIF('reductions data'!G:G,'reasons for reduction division'!B37)</f>
        <v>0</v>
      </c>
    </row>
    <row r="38" spans="2:15" x14ac:dyDescent="0.15">
      <c r="B38" s="117" t="s">
        <v>1061</v>
      </c>
      <c r="C38" s="66">
        <f>COUNTIFS('reductions data'!G:G,'reasons for reduction division'!B38,'reductions data'!A:A,$C$25)</f>
        <v>0</v>
      </c>
      <c r="D38" s="66">
        <f>COUNTIFS('reductions data'!G:G,'reasons for reduction division'!B38,'reductions data'!A:A,$D$25)</f>
        <v>0</v>
      </c>
      <c r="E38" s="66">
        <f>COUNTIFS('reductions data'!G:G,'reasons for reduction division'!B38,'reductions data'!A:A,$E$25)</f>
        <v>0</v>
      </c>
      <c r="F38" s="66">
        <f>COUNTIFS('reductions data'!G:G,'reasons for reduction division'!B38,'reductions data'!A:A,$F$25)</f>
        <v>0</v>
      </c>
      <c r="G38" s="66">
        <f>COUNTIFS('reductions data'!G:G,'reasons for reduction division'!B38,'reductions data'!A:A,$G$25)</f>
        <v>0</v>
      </c>
      <c r="H38" s="66">
        <f>COUNTIFS('reductions data'!G:G,'reasons for reduction division'!B38,'reductions data'!A:A,$H$25)</f>
        <v>0</v>
      </c>
      <c r="I38" s="66">
        <f>COUNTIFS('reductions data'!G:G,'reasons for reduction division'!B38,'reductions data'!A:A,$I$25)</f>
        <v>0</v>
      </c>
      <c r="J38" s="66">
        <f>COUNTIFS('reductions data'!G:G,'reasons for reduction division'!B38,'reductions data'!A:A,$J$25)</f>
        <v>0</v>
      </c>
      <c r="K38" s="66">
        <f>COUNTIFS('reductions data'!G:G,'reasons for reduction division'!B38,'reductions data'!A:A,$K$25)</f>
        <v>0</v>
      </c>
      <c r="L38" s="66">
        <f>COUNTIFS('reductions data'!G:G,'reasons for reduction division'!B38,'reductions data'!A:A,$L$25)</f>
        <v>0</v>
      </c>
      <c r="M38" s="66">
        <f>COUNTIFS('reductions data'!G:G,'reasons for reduction division'!B38,'reductions data'!A:A,$M$25)</f>
        <v>0</v>
      </c>
      <c r="N38" s="66">
        <f>COUNTIFS('reductions data'!G:G,'reasons for reduction division'!B38,'reductions data'!A:A,$N$25)</f>
        <v>0</v>
      </c>
      <c r="O38" s="109">
        <f>COUNTIF('reductions data'!G:G,'reasons for reduction division'!B38)</f>
        <v>0</v>
      </c>
    </row>
    <row r="39" spans="2:15" x14ac:dyDescent="0.15">
      <c r="B39" s="117" t="s">
        <v>1063</v>
      </c>
      <c r="C39" s="66">
        <f>COUNTIFS('reductions data'!G:G,'reasons for reduction division'!B39,'reductions data'!A:A,$C$25)</f>
        <v>0</v>
      </c>
      <c r="D39" s="66">
        <f>COUNTIFS('reductions data'!G:G,'reasons for reduction division'!B39,'reductions data'!A:A,$D$25)</f>
        <v>0</v>
      </c>
      <c r="E39" s="66">
        <f>COUNTIFS('reductions data'!G:G,'reasons for reduction division'!B39,'reductions data'!A:A,$E$25)</f>
        <v>0</v>
      </c>
      <c r="F39" s="66">
        <f>COUNTIFS('reductions data'!G:G,'reasons for reduction division'!B39,'reductions data'!A:A,$F$25)</f>
        <v>0</v>
      </c>
      <c r="G39" s="66">
        <f>COUNTIFS('reductions data'!G:G,'reasons for reduction division'!B39,'reductions data'!A:A,$G$25)</f>
        <v>0</v>
      </c>
      <c r="H39" s="66">
        <f>COUNTIFS('reductions data'!G:G,'reasons for reduction division'!B39,'reductions data'!A:A,$H$25)</f>
        <v>0</v>
      </c>
      <c r="I39" s="66">
        <f>COUNTIFS('reductions data'!G:G,'reasons for reduction division'!B39,'reductions data'!A:A,$I$25)</f>
        <v>0</v>
      </c>
      <c r="J39" s="66">
        <f>COUNTIFS('reductions data'!G:G,'reasons for reduction division'!B39,'reductions data'!A:A,$J$25)</f>
        <v>0</v>
      </c>
      <c r="K39" s="66">
        <f>COUNTIFS('reductions data'!G:G,'reasons for reduction division'!B39,'reductions data'!A:A,$K$25)</f>
        <v>0</v>
      </c>
      <c r="L39" s="66">
        <f>COUNTIFS('reductions data'!G:G,'reasons for reduction division'!B39,'reductions data'!A:A,$L$25)</f>
        <v>0</v>
      </c>
      <c r="M39" s="66">
        <f>COUNTIFS('reductions data'!G:G,'reasons for reduction division'!B39,'reductions data'!A:A,$M$25)</f>
        <v>0</v>
      </c>
      <c r="N39" s="66">
        <f>COUNTIFS('reductions data'!G:G,'reasons for reduction division'!B39,'reductions data'!A:A,$N$25)</f>
        <v>0</v>
      </c>
      <c r="O39" s="109">
        <f>COUNTIF('reductions data'!G:G,'reasons for reduction division'!B39)</f>
        <v>0</v>
      </c>
    </row>
    <row r="40" spans="2:15" x14ac:dyDescent="0.15">
      <c r="B40" s="117" t="s">
        <v>1066</v>
      </c>
      <c r="C40" s="66">
        <f>COUNTIFS('reductions data'!G:G,'reasons for reduction division'!B40,'reductions data'!A:A,$C$25)</f>
        <v>0</v>
      </c>
      <c r="D40" s="66">
        <f>COUNTIFS('reductions data'!G:G,'reasons for reduction division'!B40,'reductions data'!A:A,$D$25)</f>
        <v>0</v>
      </c>
      <c r="E40" s="66">
        <f>COUNTIFS('reductions data'!G:G,'reasons for reduction division'!B40,'reductions data'!A:A,$E$25)</f>
        <v>0</v>
      </c>
      <c r="F40" s="66">
        <f>COUNTIFS('reductions data'!G:G,'reasons for reduction division'!B40,'reductions data'!A:A,$F$25)</f>
        <v>0</v>
      </c>
      <c r="G40" s="66">
        <f>COUNTIFS('reductions data'!G:G,'reasons for reduction division'!B40,'reductions data'!A:A,$G$25)</f>
        <v>0</v>
      </c>
      <c r="H40" s="66">
        <f>COUNTIFS('reductions data'!G:G,'reasons for reduction division'!B40,'reductions data'!A:A,$H$25)</f>
        <v>0</v>
      </c>
      <c r="I40" s="66">
        <f>COUNTIFS('reductions data'!G:G,'reasons for reduction division'!B40,'reductions data'!A:A,$I$25)</f>
        <v>0</v>
      </c>
      <c r="J40" s="66">
        <f>COUNTIFS('reductions data'!G:G,'reasons for reduction division'!B40,'reductions data'!A:A,$J$25)</f>
        <v>0</v>
      </c>
      <c r="K40" s="66">
        <f>COUNTIFS('reductions data'!G:G,'reasons for reduction division'!B40,'reductions data'!A:A,$K$25)</f>
        <v>0</v>
      </c>
      <c r="L40" s="66">
        <f>COUNTIFS('reductions data'!G:G,'reasons for reduction division'!B40,'reductions data'!A:A,$L$25)</f>
        <v>0</v>
      </c>
      <c r="M40" s="66">
        <f>COUNTIFS('reductions data'!G:G,'reasons for reduction division'!B40,'reductions data'!A:A,$M$25)</f>
        <v>0</v>
      </c>
      <c r="N40" s="66">
        <f>COUNTIFS('reductions data'!G:G,'reasons for reduction division'!B40,'reductions data'!A:A,$N$25)</f>
        <v>0</v>
      </c>
      <c r="O40" s="109">
        <f>COUNTIF('reductions data'!G:G,'reasons for reduction division'!B40)</f>
        <v>0</v>
      </c>
    </row>
    <row r="41" spans="2:15" x14ac:dyDescent="0.15">
      <c r="B41" s="117" t="s">
        <v>1062</v>
      </c>
      <c r="C41" s="66">
        <f>COUNTIFS('reductions data'!G:G,'reasons for reduction division'!B41,'reductions data'!A:A,$C$25)</f>
        <v>0</v>
      </c>
      <c r="D41" s="66">
        <f>COUNTIFS('reductions data'!G:G,'reasons for reduction division'!B41,'reductions data'!A:A,$D$25)</f>
        <v>0</v>
      </c>
      <c r="E41" s="66">
        <f>COUNTIFS('reductions data'!G:G,'reasons for reduction division'!B41,'reductions data'!A:A,$E$25)</f>
        <v>0</v>
      </c>
      <c r="F41" s="66">
        <f>COUNTIFS('reductions data'!G:G,'reasons for reduction division'!B41,'reductions data'!A:A,$F$25)</f>
        <v>0</v>
      </c>
      <c r="G41" s="66">
        <f>COUNTIFS('reductions data'!G:G,'reasons for reduction division'!B41,'reductions data'!A:A,$G$25)</f>
        <v>0</v>
      </c>
      <c r="H41" s="66">
        <f>COUNTIFS('reductions data'!G:G,'reasons for reduction division'!B41,'reductions data'!A:A,$H$25)</f>
        <v>0</v>
      </c>
      <c r="I41" s="66">
        <f>COUNTIFS('reductions data'!G:G,'reasons for reduction division'!B41,'reductions data'!A:A,$I$25)</f>
        <v>0</v>
      </c>
      <c r="J41" s="66">
        <f>COUNTIFS('reductions data'!G:G,'reasons for reduction division'!B41,'reductions data'!A:A,$J$25)</f>
        <v>0</v>
      </c>
      <c r="K41" s="66">
        <f>COUNTIFS('reductions data'!G:G,'reasons for reduction division'!B41,'reductions data'!A:A,$K$25)</f>
        <v>0</v>
      </c>
      <c r="L41" s="66">
        <f>COUNTIFS('reductions data'!G:G,'reasons for reduction division'!B41,'reductions data'!A:A,$L$25)</f>
        <v>0</v>
      </c>
      <c r="M41" s="66">
        <f>COUNTIFS('reductions data'!G:G,'reasons for reduction division'!B41,'reductions data'!A:A,$M$25)</f>
        <v>0</v>
      </c>
      <c r="N41" s="66">
        <f>COUNTIFS('reductions data'!G:G,'reasons for reduction division'!B41,'reductions data'!A:A,$N$25)</f>
        <v>0</v>
      </c>
      <c r="O41" s="109">
        <f>COUNTIF('reductions data'!G:G,'reasons for reduction division'!B41)</f>
        <v>0</v>
      </c>
    </row>
    <row r="42" spans="2:15" x14ac:dyDescent="0.15">
      <c r="B42" s="117" t="s">
        <v>1157</v>
      </c>
      <c r="C42" s="66">
        <f>COUNTIFS('reductions data'!G:G,'reasons for reduction division'!B42,'reductions data'!A:A,$C$25)</f>
        <v>0</v>
      </c>
      <c r="D42" s="66">
        <f>COUNTIFS('reductions data'!G:G,'reasons for reduction division'!B42,'reductions data'!A:A,$D$25)</f>
        <v>0</v>
      </c>
      <c r="E42" s="66">
        <f>COUNTIFS('reductions data'!G:G,'reasons for reduction division'!B42,'reductions data'!A:A,$E$25)</f>
        <v>0</v>
      </c>
      <c r="F42" s="66">
        <f>COUNTIFS('reductions data'!G:G,'reasons for reduction division'!B42,'reductions data'!A:A,$F$25)</f>
        <v>0</v>
      </c>
      <c r="G42" s="66">
        <f>COUNTIFS('reductions data'!G:G,'reasons for reduction division'!B42,'reductions data'!A:A,$G$25)</f>
        <v>0</v>
      </c>
      <c r="H42" s="66">
        <f>COUNTIFS('reductions data'!G:G,'reasons for reduction division'!B42,'reductions data'!A:A,$H$25)</f>
        <v>0</v>
      </c>
      <c r="I42" s="66">
        <f>COUNTIFS('reductions data'!G:G,'reasons for reduction division'!B42,'reductions data'!A:A,$I$25)</f>
        <v>0</v>
      </c>
      <c r="J42" s="66">
        <f>COUNTIFS('reductions data'!G:G,'reasons for reduction division'!B42,'reductions data'!A:A,$J$25)</f>
        <v>0</v>
      </c>
      <c r="K42" s="66">
        <f>COUNTIFS('reductions data'!G:G,'reasons for reduction division'!B42,'reductions data'!A:A,$K$25)</f>
        <v>0</v>
      </c>
      <c r="L42" s="66">
        <f>COUNTIFS('reductions data'!G:G,'reasons for reduction division'!B42,'reductions data'!A:A,$L$25)</f>
        <v>0</v>
      </c>
      <c r="M42" s="66">
        <f>COUNTIFS('reductions data'!G:G,'reasons for reduction division'!B42,'reductions data'!A:A,$M$25)</f>
        <v>0</v>
      </c>
      <c r="N42" s="66">
        <f>COUNTIFS('reductions data'!G:G,'reasons for reduction division'!B42,'reductions data'!A:A,$N$25)</f>
        <v>0</v>
      </c>
      <c r="O42" s="109">
        <f>COUNTIF('reductions data'!G:G,'reasons for reduction division'!B42)</f>
        <v>0</v>
      </c>
    </row>
    <row r="43" spans="2:15" x14ac:dyDescent="0.15">
      <c r="B43" s="117" t="s">
        <v>1067</v>
      </c>
      <c r="C43" s="66">
        <f>COUNTIFS('reductions data'!G:G,'reasons for reduction division'!B43,'reductions data'!A:A,$C$25)</f>
        <v>0</v>
      </c>
      <c r="D43" s="66">
        <f>COUNTIFS('reductions data'!G:G,'reasons for reduction division'!B43,'reductions data'!A:A,$D$25)</f>
        <v>0</v>
      </c>
      <c r="E43" s="66">
        <f>COUNTIFS('reductions data'!G:G,'reasons for reduction division'!B43,'reductions data'!A:A,$E$25)</f>
        <v>0</v>
      </c>
      <c r="F43" s="66">
        <f>COUNTIFS('reductions data'!G:G,'reasons for reduction division'!B43,'reductions data'!A:A,$F$25)</f>
        <v>0</v>
      </c>
      <c r="G43" s="66">
        <f>COUNTIFS('reductions data'!G:G,'reasons for reduction division'!B43,'reductions data'!A:A,$G$25)</f>
        <v>0</v>
      </c>
      <c r="H43" s="66">
        <f>COUNTIFS('reductions data'!G:G,'reasons for reduction division'!B43,'reductions data'!A:A,$H$25)</f>
        <v>0</v>
      </c>
      <c r="I43" s="66">
        <f>COUNTIFS('reductions data'!G:G,'reasons for reduction division'!B43,'reductions data'!A:A,$I$25)</f>
        <v>0</v>
      </c>
      <c r="J43" s="66">
        <f>COUNTIFS('reductions data'!G:G,'reasons for reduction division'!B43,'reductions data'!A:A,$J$25)</f>
        <v>0</v>
      </c>
      <c r="K43" s="66">
        <f>COUNTIFS('reductions data'!G:G,'reasons for reduction division'!B43,'reductions data'!A:A,$K$25)</f>
        <v>0</v>
      </c>
      <c r="L43" s="66">
        <f>COUNTIFS('reductions data'!G:G,'reasons for reduction division'!B43,'reductions data'!A:A,$L$25)</f>
        <v>0</v>
      </c>
      <c r="M43" s="66">
        <f>COUNTIFS('reductions data'!G:G,'reasons for reduction division'!B43,'reductions data'!A:A,$M$25)</f>
        <v>0</v>
      </c>
      <c r="N43" s="66">
        <f>COUNTIFS('reductions data'!G:G,'reasons for reduction division'!B43,'reductions data'!A:A,$N$25)</f>
        <v>0</v>
      </c>
      <c r="O43" s="109">
        <f>COUNTIF('reductions data'!G:G,'reasons for reduction division'!B43)</f>
        <v>0</v>
      </c>
    </row>
    <row r="44" spans="2:15" x14ac:dyDescent="0.15">
      <c r="B44" s="117" t="s">
        <v>1068</v>
      </c>
      <c r="C44" s="66">
        <f>COUNTIFS('reductions data'!G:G,'reasons for reduction division'!B44,'reductions data'!A:A,$C$25)</f>
        <v>0</v>
      </c>
      <c r="D44" s="66">
        <f>COUNTIFS('reductions data'!G:G,'reasons for reduction division'!B44,'reductions data'!A:A,$D$25)</f>
        <v>0</v>
      </c>
      <c r="E44" s="66">
        <f>COUNTIFS('reductions data'!G:G,'reasons for reduction division'!B44,'reductions data'!A:A,$E$25)</f>
        <v>0</v>
      </c>
      <c r="F44" s="66">
        <f>COUNTIFS('reductions data'!G:G,'reasons for reduction division'!B44,'reductions data'!A:A,$F$25)</f>
        <v>0</v>
      </c>
      <c r="G44" s="66">
        <f>COUNTIFS('reductions data'!G:G,'reasons for reduction division'!B44,'reductions data'!A:A,$G$25)</f>
        <v>0</v>
      </c>
      <c r="H44" s="66">
        <f>COUNTIFS('reductions data'!G:G,'reasons for reduction division'!B44,'reductions data'!A:A,$H$25)</f>
        <v>0</v>
      </c>
      <c r="I44" s="66">
        <f>COUNTIFS('reductions data'!G:G,'reasons for reduction division'!B44,'reductions data'!A:A,$I$25)</f>
        <v>0</v>
      </c>
      <c r="J44" s="66">
        <f>COUNTIFS('reductions data'!G:G,'reasons for reduction division'!B44,'reductions data'!A:A,$J$25)</f>
        <v>0</v>
      </c>
      <c r="K44" s="66">
        <f>COUNTIFS('reductions data'!G:G,'reasons for reduction division'!B44,'reductions data'!A:A,$K$25)</f>
        <v>0</v>
      </c>
      <c r="L44" s="66">
        <f>COUNTIFS('reductions data'!G:G,'reasons for reduction division'!B44,'reductions data'!A:A,$L$25)</f>
        <v>0</v>
      </c>
      <c r="M44" s="66">
        <f>COUNTIFS('reductions data'!G:G,'reasons for reduction division'!B44,'reductions data'!A:A,$M$25)</f>
        <v>0</v>
      </c>
      <c r="N44" s="66">
        <f>COUNTIFS('reductions data'!G:G,'reasons for reduction division'!B44,'reductions data'!A:A,$N$25)</f>
        <v>0</v>
      </c>
      <c r="O44" s="109">
        <f>COUNTIF('reductions data'!G:G,'reasons for reduction division'!B44)</f>
        <v>0</v>
      </c>
    </row>
    <row r="45" spans="2:15" x14ac:dyDescent="0.15">
      <c r="B45" s="117" t="s">
        <v>1069</v>
      </c>
      <c r="C45" s="66">
        <f>COUNTIFS('reductions data'!G:G,'reasons for reduction division'!B45,'reductions data'!A:A,$C$25)</f>
        <v>0</v>
      </c>
      <c r="D45" s="66">
        <f>COUNTIFS('reductions data'!G:G,'reasons for reduction division'!B45,'reductions data'!A:A,$D$25)</f>
        <v>0</v>
      </c>
      <c r="E45" s="66">
        <f>COUNTIFS('reductions data'!G:G,'reasons for reduction division'!B45,'reductions data'!A:A,$E$25)</f>
        <v>0</v>
      </c>
      <c r="F45" s="66">
        <f>COUNTIFS('reductions data'!G:G,'reasons for reduction division'!B45,'reductions data'!A:A,$F$25)</f>
        <v>0</v>
      </c>
      <c r="G45" s="66">
        <f>COUNTIFS('reductions data'!G:G,'reasons for reduction division'!B45,'reductions data'!A:A,$G$25)</f>
        <v>0</v>
      </c>
      <c r="H45" s="66">
        <f>COUNTIFS('reductions data'!G:G,'reasons for reduction division'!B45,'reductions data'!A:A,$H$25)</f>
        <v>0</v>
      </c>
      <c r="I45" s="66">
        <f>COUNTIFS('reductions data'!G:G,'reasons for reduction division'!B45,'reductions data'!A:A,$I$25)</f>
        <v>0</v>
      </c>
      <c r="J45" s="66">
        <f>COUNTIFS('reductions data'!G:G,'reasons for reduction division'!B45,'reductions data'!A:A,$J$25)</f>
        <v>0</v>
      </c>
      <c r="K45" s="66">
        <f>COUNTIFS('reductions data'!G:G,'reasons for reduction division'!B45,'reductions data'!A:A,$K$25)</f>
        <v>0</v>
      </c>
      <c r="L45" s="66">
        <f>COUNTIFS('reductions data'!G:G,'reasons for reduction division'!B45,'reductions data'!A:A,$L$25)</f>
        <v>0</v>
      </c>
      <c r="M45" s="66">
        <f>COUNTIFS('reductions data'!G:G,'reasons for reduction division'!B45,'reductions data'!A:A,$M$25)</f>
        <v>0</v>
      </c>
      <c r="N45" s="66">
        <f>COUNTIFS('reductions data'!G:G,'reasons for reduction division'!B45,'reductions data'!A:A,$N$25)</f>
        <v>0</v>
      </c>
      <c r="O45" s="109">
        <f>COUNTIF('reductions data'!G:G,'reasons for reduction division'!B45)</f>
        <v>0</v>
      </c>
    </row>
    <row r="46" spans="2:15" x14ac:dyDescent="0.15">
      <c r="B46" s="117" t="s">
        <v>1070</v>
      </c>
      <c r="C46" s="66">
        <f>COUNTIFS('reductions data'!G:G,'reasons for reduction division'!B46,'reductions data'!A:A,$C$25)</f>
        <v>0</v>
      </c>
      <c r="D46" s="66">
        <f>COUNTIFS('reductions data'!G:G,'reasons for reduction division'!B46,'reductions data'!A:A,$D$25)</f>
        <v>0</v>
      </c>
      <c r="E46" s="66">
        <f>COUNTIFS('reductions data'!G:G,'reasons for reduction division'!B46,'reductions data'!A:A,$E$25)</f>
        <v>0</v>
      </c>
      <c r="F46" s="66">
        <f>COUNTIFS('reductions data'!G:G,'reasons for reduction division'!B46,'reductions data'!A:A,$F$25)</f>
        <v>0</v>
      </c>
      <c r="G46" s="66">
        <f>COUNTIFS('reductions data'!G:G,'reasons for reduction division'!B46,'reductions data'!A:A,$G$25)</f>
        <v>0</v>
      </c>
      <c r="H46" s="66">
        <f>COUNTIFS('reductions data'!G:G,'reasons for reduction division'!B46,'reductions data'!A:A,$H$25)</f>
        <v>0</v>
      </c>
      <c r="I46" s="66">
        <f>COUNTIFS('reductions data'!G:G,'reasons for reduction division'!B46,'reductions data'!A:A,$I$25)</f>
        <v>0</v>
      </c>
      <c r="J46" s="66">
        <f>COUNTIFS('reductions data'!G:G,'reasons for reduction division'!B46,'reductions data'!A:A,$J$25)</f>
        <v>0</v>
      </c>
      <c r="K46" s="66">
        <f>COUNTIFS('reductions data'!G:G,'reasons for reduction division'!B46,'reductions data'!A:A,$K$25)</f>
        <v>0</v>
      </c>
      <c r="L46" s="66">
        <f>COUNTIFS('reductions data'!G:G,'reasons for reduction division'!B46,'reductions data'!A:A,$L$25)</f>
        <v>0</v>
      </c>
      <c r="M46" s="66">
        <f>COUNTIFS('reductions data'!G:G,'reasons for reduction division'!B46,'reductions data'!A:A,$M$25)</f>
        <v>0</v>
      </c>
      <c r="N46" s="66">
        <f>COUNTIFS('reductions data'!G:G,'reasons for reduction division'!B46,'reductions data'!A:A,$N$25)</f>
        <v>0</v>
      </c>
      <c r="O46" s="109">
        <f>COUNTIF('reductions data'!G:G,'reasons for reduction division'!B46)</f>
        <v>0</v>
      </c>
    </row>
    <row r="47" spans="2:15" x14ac:dyDescent="0.15">
      <c r="B47" s="117" t="s">
        <v>1071</v>
      </c>
      <c r="C47" s="66">
        <f>COUNTIFS('reductions data'!G:G,'reasons for reduction division'!B47,'reductions data'!A:A,$C$25)</f>
        <v>0</v>
      </c>
      <c r="D47" s="66">
        <f>COUNTIFS('reductions data'!G:G,'reasons for reduction division'!B47,'reductions data'!A:A,$D$25)</f>
        <v>0</v>
      </c>
      <c r="E47" s="66">
        <f>COUNTIFS('reductions data'!G:G,'reasons for reduction division'!B47,'reductions data'!A:A,$E$25)</f>
        <v>0</v>
      </c>
      <c r="F47" s="66">
        <f>COUNTIFS('reductions data'!G:G,'reasons for reduction division'!B47,'reductions data'!A:A,$F$25)</f>
        <v>0</v>
      </c>
      <c r="G47" s="66">
        <f>COUNTIFS('reductions data'!G:G,'reasons for reduction division'!B47,'reductions data'!A:A,$G$25)</f>
        <v>0</v>
      </c>
      <c r="H47" s="66">
        <f>COUNTIFS('reductions data'!G:G,'reasons for reduction division'!B47,'reductions data'!A:A,$H$25)</f>
        <v>0</v>
      </c>
      <c r="I47" s="66">
        <f>COUNTIFS('reductions data'!G:G,'reasons for reduction division'!B47,'reductions data'!A:A,$I$25)</f>
        <v>0</v>
      </c>
      <c r="J47" s="66">
        <f>COUNTIFS('reductions data'!G:G,'reasons for reduction division'!B47,'reductions data'!A:A,$J$25)</f>
        <v>0</v>
      </c>
      <c r="K47" s="66">
        <f>COUNTIFS('reductions data'!G:G,'reasons for reduction division'!B47,'reductions data'!A:A,$K$25)</f>
        <v>0</v>
      </c>
      <c r="L47" s="66">
        <f>COUNTIFS('reductions data'!G:G,'reasons for reduction division'!B47,'reductions data'!A:A,$L$25)</f>
        <v>0</v>
      </c>
      <c r="M47" s="66">
        <f>COUNTIFS('reductions data'!G:G,'reasons for reduction division'!B47,'reductions data'!A:A,$M$25)</f>
        <v>0</v>
      </c>
      <c r="N47" s="66">
        <f>COUNTIFS('reductions data'!G:G,'reasons for reduction division'!B47,'reductions data'!A:A,$N$25)</f>
        <v>0</v>
      </c>
      <c r="O47" s="109">
        <f>COUNTIF('reductions data'!G:G,'reasons for reduction division'!B47)</f>
        <v>0</v>
      </c>
    </row>
    <row r="48" spans="2:15" x14ac:dyDescent="0.15">
      <c r="B48" s="117" t="s">
        <v>1072</v>
      </c>
      <c r="C48" s="66">
        <f>COUNTIFS('reductions data'!G:G,'reasons for reduction division'!B48,'reductions data'!A:A,$C$25)</f>
        <v>0</v>
      </c>
      <c r="D48" s="66">
        <f>COUNTIFS('reductions data'!G:G,'reasons for reduction division'!B48,'reductions data'!A:A,$D$25)</f>
        <v>0</v>
      </c>
      <c r="E48" s="66">
        <f>COUNTIFS('reductions data'!G:G,'reasons for reduction division'!B48,'reductions data'!A:A,$E$25)</f>
        <v>0</v>
      </c>
      <c r="F48" s="66">
        <f>COUNTIFS('reductions data'!G:G,'reasons for reduction division'!B48,'reductions data'!A:A,$F$25)</f>
        <v>0</v>
      </c>
      <c r="G48" s="66">
        <f>COUNTIFS('reductions data'!G:G,'reasons for reduction division'!B48,'reductions data'!A:A,$G$25)</f>
        <v>0</v>
      </c>
      <c r="H48" s="66">
        <f>COUNTIFS('reductions data'!G:G,'reasons for reduction division'!B48,'reductions data'!A:A,$H$25)</f>
        <v>0</v>
      </c>
      <c r="I48" s="66">
        <f>COUNTIFS('reductions data'!G:G,'reasons for reduction division'!B48,'reductions data'!A:A,$I$25)</f>
        <v>0</v>
      </c>
      <c r="J48" s="66">
        <f>COUNTIFS('reductions data'!G:G,'reasons for reduction division'!B48,'reductions data'!A:A,$J$25)</f>
        <v>0</v>
      </c>
      <c r="K48" s="66">
        <f>COUNTIFS('reductions data'!G:G,'reasons for reduction division'!B48,'reductions data'!A:A,$K$25)</f>
        <v>0</v>
      </c>
      <c r="L48" s="66">
        <f>COUNTIFS('reductions data'!G:G,'reasons for reduction division'!B48,'reductions data'!A:A,$L$25)</f>
        <v>0</v>
      </c>
      <c r="M48" s="66">
        <f>COUNTIFS('reductions data'!G:G,'reasons for reduction division'!B48,'reductions data'!A:A,$M$25)</f>
        <v>0</v>
      </c>
      <c r="N48" s="66">
        <f>COUNTIFS('reductions data'!G:G,'reasons for reduction division'!B48,'reductions data'!A:A,$N$25)</f>
        <v>0</v>
      </c>
      <c r="O48" s="109">
        <f>COUNTIF('reductions data'!G:G,'reasons for reduction division'!B48)</f>
        <v>0</v>
      </c>
    </row>
    <row r="49" spans="2:15" x14ac:dyDescent="0.15">
      <c r="B49" s="117" t="s">
        <v>1073</v>
      </c>
      <c r="C49" s="66">
        <f>COUNTIFS('reductions data'!G:G,'reasons for reduction division'!B49,'reductions data'!A:A,$C$25)</f>
        <v>0</v>
      </c>
      <c r="D49" s="66">
        <f>COUNTIFS('reductions data'!G:G,'reasons for reduction division'!B49,'reductions data'!A:A,$D$25)</f>
        <v>0</v>
      </c>
      <c r="E49" s="66">
        <f>COUNTIFS('reductions data'!G:G,'reasons for reduction division'!B49,'reductions data'!A:A,$E$25)</f>
        <v>0</v>
      </c>
      <c r="F49" s="66">
        <f>COUNTIFS('reductions data'!G:G,'reasons for reduction division'!B49,'reductions data'!A:A,$F$25)</f>
        <v>0</v>
      </c>
      <c r="G49" s="66">
        <f>COUNTIFS('reductions data'!G:G,'reasons for reduction division'!B49,'reductions data'!A:A,$G$25)</f>
        <v>0</v>
      </c>
      <c r="H49" s="66">
        <f>COUNTIFS('reductions data'!G:G,'reasons for reduction division'!B49,'reductions data'!A:A,$H$25)</f>
        <v>0</v>
      </c>
      <c r="I49" s="66">
        <f>COUNTIFS('reductions data'!G:G,'reasons for reduction division'!B49,'reductions data'!A:A,$I$25)</f>
        <v>0</v>
      </c>
      <c r="J49" s="66">
        <f>COUNTIFS('reductions data'!G:G,'reasons for reduction division'!B49,'reductions data'!A:A,$J$25)</f>
        <v>0</v>
      </c>
      <c r="K49" s="66">
        <f>COUNTIFS('reductions data'!G:G,'reasons for reduction division'!B49,'reductions data'!A:A,$K$25)</f>
        <v>0</v>
      </c>
      <c r="L49" s="66">
        <f>COUNTIFS('reductions data'!G:G,'reasons for reduction division'!B49,'reductions data'!A:A,$L$25)</f>
        <v>0</v>
      </c>
      <c r="M49" s="66">
        <f>COUNTIFS('reductions data'!G:G,'reasons for reduction division'!B49,'reductions data'!A:A,$M$25)</f>
        <v>0</v>
      </c>
      <c r="N49" s="66">
        <f>COUNTIFS('reductions data'!G:G,'reasons for reduction division'!B49,'reductions data'!A:A,$N$25)</f>
        <v>0</v>
      </c>
      <c r="O49" s="109">
        <f>COUNTIF('reductions data'!G:G,'reasons for reduction division'!B49)</f>
        <v>0</v>
      </c>
    </row>
    <row r="50" spans="2:15" x14ac:dyDescent="0.15">
      <c r="B50" s="117" t="s">
        <v>1075</v>
      </c>
      <c r="C50" s="66">
        <f>COUNTIFS('reductions data'!G:G,'reasons for reduction division'!B50,'reductions data'!A:A,$C$25)</f>
        <v>0</v>
      </c>
      <c r="D50" s="66">
        <f>COUNTIFS('reductions data'!G:G,'reasons for reduction division'!B50,'reductions data'!A:A,$D$25)</f>
        <v>0</v>
      </c>
      <c r="E50" s="66">
        <f>COUNTIFS('reductions data'!G:G,'reasons for reduction division'!B50,'reductions data'!A:A,$E$25)</f>
        <v>0</v>
      </c>
      <c r="F50" s="66">
        <f>COUNTIFS('reductions data'!G:G,'reasons for reduction division'!B50,'reductions data'!A:A,$F$25)</f>
        <v>0</v>
      </c>
      <c r="G50" s="66">
        <f>COUNTIFS('reductions data'!G:G,'reasons for reduction division'!B50,'reductions data'!A:A,$G$25)</f>
        <v>0</v>
      </c>
      <c r="H50" s="66">
        <f>COUNTIFS('reductions data'!G:G,'reasons for reduction division'!B50,'reductions data'!A:A,$H$25)</f>
        <v>0</v>
      </c>
      <c r="I50" s="66">
        <f>COUNTIFS('reductions data'!G:G,'reasons for reduction division'!B50,'reductions data'!A:A,$I$25)</f>
        <v>0</v>
      </c>
      <c r="J50" s="66">
        <f>COUNTIFS('reductions data'!G:G,'reasons for reduction division'!B50,'reductions data'!A:A,$J$25)</f>
        <v>0</v>
      </c>
      <c r="K50" s="66">
        <f>COUNTIFS('reductions data'!G:G,'reasons for reduction division'!B50,'reductions data'!A:A,$K$25)</f>
        <v>0</v>
      </c>
      <c r="L50" s="66">
        <f>COUNTIFS('reductions data'!G:G,'reasons for reduction division'!B50,'reductions data'!A:A,$L$25)</f>
        <v>0</v>
      </c>
      <c r="M50" s="66">
        <f>COUNTIFS('reductions data'!G:G,'reasons for reduction division'!B50,'reductions data'!A:A,$M$25)</f>
        <v>0</v>
      </c>
      <c r="N50" s="66">
        <f>COUNTIFS('reductions data'!G:G,'reasons for reduction division'!B50,'reductions data'!A:A,$N$25)</f>
        <v>0</v>
      </c>
      <c r="O50" s="109">
        <f>COUNTIF('reductions data'!G:G,'reasons for reduction division'!B50)</f>
        <v>0</v>
      </c>
    </row>
    <row r="51" spans="2:15" x14ac:dyDescent="0.15">
      <c r="B51" s="117" t="s">
        <v>1077</v>
      </c>
      <c r="C51" s="66">
        <f>COUNTIFS('reductions data'!G:G,'reasons for reduction division'!B51,'reductions data'!A:A,$C$25)</f>
        <v>0</v>
      </c>
      <c r="D51" s="66">
        <f>COUNTIFS('reductions data'!G:G,'reasons for reduction division'!B51,'reductions data'!A:A,$D$25)</f>
        <v>0</v>
      </c>
      <c r="E51" s="66">
        <f>COUNTIFS('reductions data'!G:G,'reasons for reduction division'!B51,'reductions data'!A:A,$E$25)</f>
        <v>0</v>
      </c>
      <c r="F51" s="66">
        <f>COUNTIFS('reductions data'!G:G,'reasons for reduction division'!B51,'reductions data'!A:A,$F$25)</f>
        <v>0</v>
      </c>
      <c r="G51" s="66">
        <f>COUNTIFS('reductions data'!G:G,'reasons for reduction division'!B51,'reductions data'!A:A,$G$25)</f>
        <v>0</v>
      </c>
      <c r="H51" s="66">
        <f>COUNTIFS('reductions data'!G:G,'reasons for reduction division'!B51,'reductions data'!A:A,$H$25)</f>
        <v>0</v>
      </c>
      <c r="I51" s="66">
        <f>COUNTIFS('reductions data'!G:G,'reasons for reduction division'!B51,'reductions data'!A:A,$I$25)</f>
        <v>0</v>
      </c>
      <c r="J51" s="66">
        <f>COUNTIFS('reductions data'!G:G,'reasons for reduction division'!B51,'reductions data'!A:A,$J$25)</f>
        <v>0</v>
      </c>
      <c r="K51" s="66">
        <f>COUNTIFS('reductions data'!G:G,'reasons for reduction division'!B51,'reductions data'!A:A,$K$25)</f>
        <v>0</v>
      </c>
      <c r="L51" s="66">
        <f>COUNTIFS('reductions data'!G:G,'reasons for reduction division'!B51,'reductions data'!A:A,$L$25)</f>
        <v>0</v>
      </c>
      <c r="M51" s="66">
        <f>COUNTIFS('reductions data'!G:G,'reasons for reduction division'!B51,'reductions data'!A:A,$M$25)</f>
        <v>0</v>
      </c>
      <c r="N51" s="66">
        <f>COUNTIFS('reductions data'!G:G,'reasons for reduction division'!B51,'reductions data'!A:A,$N$25)</f>
        <v>0</v>
      </c>
      <c r="O51" s="109">
        <f>COUNTIF('reductions data'!G:G,'reasons for reduction division'!B51)</f>
        <v>0</v>
      </c>
    </row>
    <row r="52" spans="2:15" x14ac:dyDescent="0.15">
      <c r="B52" s="117" t="s">
        <v>1079</v>
      </c>
      <c r="C52" s="66">
        <f>COUNTIFS('reductions data'!G:G,'reasons for reduction division'!B52,'reductions data'!A:A,$C$25)</f>
        <v>0</v>
      </c>
      <c r="D52" s="66">
        <f>COUNTIFS('reductions data'!G:G,'reasons for reduction division'!B52,'reductions data'!A:A,$D$25)</f>
        <v>0</v>
      </c>
      <c r="E52" s="66">
        <f>COUNTIFS('reductions data'!G:G,'reasons for reduction division'!B52,'reductions data'!A:A,$E$25)</f>
        <v>0</v>
      </c>
      <c r="F52" s="66">
        <f>COUNTIFS('reductions data'!G:G,'reasons for reduction division'!B52,'reductions data'!A:A,$F$25)</f>
        <v>0</v>
      </c>
      <c r="G52" s="66">
        <f>COUNTIFS('reductions data'!G:G,'reasons for reduction division'!B52,'reductions data'!A:A,$G$25)</f>
        <v>0</v>
      </c>
      <c r="H52" s="66">
        <f>COUNTIFS('reductions data'!G:G,'reasons for reduction division'!B52,'reductions data'!A:A,$H$25)</f>
        <v>0</v>
      </c>
      <c r="I52" s="66">
        <f>COUNTIFS('reductions data'!G:G,'reasons for reduction division'!B52,'reductions data'!A:A,$I$25)</f>
        <v>0</v>
      </c>
      <c r="J52" s="66">
        <f>COUNTIFS('reductions data'!G:G,'reasons for reduction division'!B52,'reductions data'!A:A,$J$25)</f>
        <v>0</v>
      </c>
      <c r="K52" s="66">
        <f>COUNTIFS('reductions data'!G:G,'reasons for reduction division'!B52,'reductions data'!A:A,$K$25)</f>
        <v>0</v>
      </c>
      <c r="L52" s="66">
        <f>COUNTIFS('reductions data'!G:G,'reasons for reduction division'!B52,'reductions data'!A:A,$L$25)</f>
        <v>0</v>
      </c>
      <c r="M52" s="66">
        <f>COUNTIFS('reductions data'!G:G,'reasons for reduction division'!B52,'reductions data'!A:A,$M$25)</f>
        <v>0</v>
      </c>
      <c r="N52" s="66">
        <f>COUNTIFS('reductions data'!G:G,'reasons for reduction division'!B52,'reductions data'!A:A,$N$25)</f>
        <v>0</v>
      </c>
      <c r="O52" s="109">
        <f>COUNTIF('reductions data'!G:G,'reasons for reduction division'!B52)</f>
        <v>0</v>
      </c>
    </row>
    <row r="53" spans="2:15" x14ac:dyDescent="0.15">
      <c r="B53" s="117" t="s">
        <v>1437</v>
      </c>
      <c r="C53" s="66">
        <f>COUNTIFS('reductions data'!G:G,'reasons for reduction division'!B53,'reductions data'!A:A,$C$25)</f>
        <v>0</v>
      </c>
      <c r="D53" s="66">
        <f>COUNTIFS('reductions data'!G:G,'reasons for reduction division'!B53,'reductions data'!A:A,$D$25)</f>
        <v>0</v>
      </c>
      <c r="E53" s="66">
        <f>COUNTIFS('reductions data'!G:G,'reasons for reduction division'!B53,'reductions data'!A:A,$E$25)</f>
        <v>0</v>
      </c>
      <c r="F53" s="66">
        <f>COUNTIFS('reductions data'!G:G,'reasons for reduction division'!B53,'reductions data'!A:A,$F$25)</f>
        <v>0</v>
      </c>
      <c r="G53" s="66">
        <f>COUNTIFS('reductions data'!G:G,'reasons for reduction division'!B53,'reductions data'!A:A,$G$25)</f>
        <v>0</v>
      </c>
      <c r="H53" s="66">
        <f>COUNTIFS('reductions data'!G:G,'reasons for reduction division'!B53,'reductions data'!A:A,$H$25)</f>
        <v>0</v>
      </c>
      <c r="I53" s="66">
        <f>COUNTIFS('reductions data'!G:G,'reasons for reduction division'!B53,'reductions data'!A:A,$I$25)</f>
        <v>0</v>
      </c>
      <c r="J53" s="66">
        <f>COUNTIFS('reductions data'!G:G,'reasons for reduction division'!B53,'reductions data'!A:A,$J$25)</f>
        <v>0</v>
      </c>
      <c r="K53" s="66">
        <f>COUNTIFS('reductions data'!G:G,'reasons for reduction division'!B53,'reductions data'!A:A,$K$25)</f>
        <v>0</v>
      </c>
      <c r="L53" s="66">
        <f>COUNTIFS('reductions data'!G:G,'reasons for reduction division'!B53,'reductions data'!A:A,$L$25)</f>
        <v>0</v>
      </c>
      <c r="M53" s="66">
        <f>COUNTIFS('reductions data'!G:G,'reasons for reduction division'!B53,'reductions data'!A:A,$M$25)</f>
        <v>0</v>
      </c>
      <c r="N53" s="66">
        <f>COUNTIFS('reductions data'!G:G,'reasons for reduction division'!B53,'reductions data'!A:A,$N$25)</f>
        <v>0</v>
      </c>
      <c r="O53" s="109">
        <f>COUNTIF('reductions data'!G:G,'reasons for reduction division'!B53)</f>
        <v>0</v>
      </c>
    </row>
    <row r="54" spans="2:15" x14ac:dyDescent="0.15">
      <c r="B54" s="117" t="s">
        <v>1438</v>
      </c>
      <c r="C54" s="66">
        <f>COUNTIFS('reductions data'!G:G,'reasons for reduction division'!B54,'reductions data'!A:A,$C$25)</f>
        <v>0</v>
      </c>
      <c r="D54" s="66">
        <f>COUNTIFS('reductions data'!G:G,'reasons for reduction division'!B54,'reductions data'!A:A,$D$25)</f>
        <v>0</v>
      </c>
      <c r="E54" s="66">
        <f>COUNTIFS('reductions data'!G:G,'reasons for reduction division'!B54,'reductions data'!A:A,$E$25)</f>
        <v>0</v>
      </c>
      <c r="F54" s="66">
        <f>COUNTIFS('reductions data'!G:G,'reasons for reduction division'!B54,'reductions data'!A:A,$F$25)</f>
        <v>0</v>
      </c>
      <c r="G54" s="66">
        <f>COUNTIFS('reductions data'!G:G,'reasons for reduction division'!B54,'reductions data'!A:A,$G$25)</f>
        <v>0</v>
      </c>
      <c r="H54" s="66">
        <f>COUNTIFS('reductions data'!G:G,'reasons for reduction division'!B54,'reductions data'!A:A,$H$25)</f>
        <v>0</v>
      </c>
      <c r="I54" s="66">
        <f>COUNTIFS('reductions data'!G:G,'reasons for reduction division'!B54,'reductions data'!A:A,$I$25)</f>
        <v>0</v>
      </c>
      <c r="J54" s="66">
        <f>COUNTIFS('reductions data'!G:G,'reasons for reduction division'!B54,'reductions data'!A:A,$J$25)</f>
        <v>0</v>
      </c>
      <c r="K54" s="66">
        <f>COUNTIFS('reductions data'!G:G,'reasons for reduction division'!B54,'reductions data'!A:A,$K$25)</f>
        <v>0</v>
      </c>
      <c r="L54" s="66">
        <f>COUNTIFS('reductions data'!G:G,'reasons for reduction division'!B54,'reductions data'!A:A,$L$25)</f>
        <v>0</v>
      </c>
      <c r="M54" s="66">
        <f>COUNTIFS('reductions data'!G:G,'reasons for reduction division'!B54,'reductions data'!A:A,$M$25)</f>
        <v>0</v>
      </c>
      <c r="N54" s="66">
        <f>COUNTIFS('reductions data'!G:G,'reasons for reduction division'!B54,'reductions data'!A:A,$N$25)</f>
        <v>0</v>
      </c>
      <c r="O54" s="109">
        <f>COUNTIF('reductions data'!G:G,'reasons for reduction division'!B54)</f>
        <v>0</v>
      </c>
    </row>
    <row r="55" spans="2:15" x14ac:dyDescent="0.15">
      <c r="B55" s="342" t="s">
        <v>1434</v>
      </c>
      <c r="C55" s="66">
        <f>COUNTIFS('reductions data'!G:G,'reasons for reduction division'!B55,'reductions data'!A:A,$C$25)</f>
        <v>0</v>
      </c>
      <c r="D55" s="66">
        <f>COUNTIFS('reductions data'!G:G,'reasons for reduction division'!B55,'reductions data'!A:A,$D$25)</f>
        <v>0</v>
      </c>
      <c r="E55" s="66">
        <f>COUNTIFS('reductions data'!G:G,'reasons for reduction division'!B55,'reductions data'!A:A,$E$25)</f>
        <v>0</v>
      </c>
      <c r="F55" s="66">
        <f>COUNTIFS('reductions data'!G:G,'reasons for reduction division'!B55,'reductions data'!A:A,$F$25)</f>
        <v>0</v>
      </c>
      <c r="G55" s="66">
        <f>COUNTIFS('reductions data'!G:G,'reasons for reduction division'!B55,'reductions data'!A:A,$G$25)</f>
        <v>0</v>
      </c>
      <c r="H55" s="66">
        <f>COUNTIFS('reductions data'!G:G,'reasons for reduction division'!B55,'reductions data'!A:A,$H$25)</f>
        <v>0</v>
      </c>
      <c r="I55" s="66">
        <f>COUNTIFS('reductions data'!G:G,'reasons for reduction division'!B55,'reductions data'!A:A,$I$25)</f>
        <v>0</v>
      </c>
      <c r="J55" s="66">
        <f>COUNTIFS('reductions data'!G:G,'reasons for reduction division'!B55,'reductions data'!A:A,$J$25)</f>
        <v>0</v>
      </c>
      <c r="K55" s="66">
        <f>COUNTIFS('reductions data'!G:G,'reasons for reduction division'!B55,'reductions data'!A:A,$K$25)</f>
        <v>0</v>
      </c>
      <c r="L55" s="66">
        <f>COUNTIFS('reductions data'!G:G,'reasons for reduction division'!B55,'reductions data'!A:A,$L$25)</f>
        <v>0</v>
      </c>
      <c r="M55" s="66">
        <f>COUNTIFS('reductions data'!G:G,'reasons for reduction division'!B55,'reductions data'!A:A,$M$25)</f>
        <v>0</v>
      </c>
      <c r="N55" s="66">
        <f>COUNTIFS('reductions data'!G:G,'reasons for reduction division'!B55,'reductions data'!A:A,$N$25)</f>
        <v>0</v>
      </c>
      <c r="O55" s="109">
        <f>COUNTIF('reductions data'!G:G,'reasons for reduction division'!B55)</f>
        <v>0</v>
      </c>
    </row>
    <row r="56" spans="2:15" x14ac:dyDescent="0.15">
      <c r="B56" s="342" t="s">
        <v>1435</v>
      </c>
      <c r="C56" s="66">
        <f>COUNTIFS('reductions data'!G:G,'reasons for reduction division'!B56,'reductions data'!A:A,$C$25)</f>
        <v>0</v>
      </c>
      <c r="D56" s="66">
        <f>COUNTIFS('reductions data'!G:G,'reasons for reduction division'!B56,'reductions data'!A:A,$D$25)</f>
        <v>0</v>
      </c>
      <c r="E56" s="66">
        <f>COUNTIFS('reductions data'!G:G,'reasons for reduction division'!B56,'reductions data'!A:A,$E$25)</f>
        <v>0</v>
      </c>
      <c r="F56" s="66">
        <f>COUNTIFS('reductions data'!G:G,'reasons for reduction division'!B56,'reductions data'!A:A,$F$25)</f>
        <v>0</v>
      </c>
      <c r="G56" s="66">
        <f>COUNTIFS('reductions data'!G:G,'reasons for reduction division'!B56,'reductions data'!A:A,$G$25)</f>
        <v>0</v>
      </c>
      <c r="H56" s="66">
        <f>COUNTIFS('reductions data'!G:G,'reasons for reduction division'!B56,'reductions data'!A:A,$H$25)</f>
        <v>0</v>
      </c>
      <c r="I56" s="66">
        <f>COUNTIFS('reductions data'!G:G,'reasons for reduction division'!B56,'reductions data'!A:A,$I$25)</f>
        <v>0</v>
      </c>
      <c r="J56" s="66">
        <f>COUNTIFS('reductions data'!G:G,'reasons for reduction division'!B56,'reductions data'!A:A,$J$25)</f>
        <v>0</v>
      </c>
      <c r="K56" s="66">
        <f>COUNTIFS('reductions data'!G:G,'reasons for reduction division'!B56,'reductions data'!A:A,$K$25)</f>
        <v>0</v>
      </c>
      <c r="L56" s="66">
        <f>COUNTIFS('reductions data'!G:G,'reasons for reduction division'!B56,'reductions data'!A:A,$L$25)</f>
        <v>0</v>
      </c>
      <c r="M56" s="66">
        <f>COUNTIFS('reductions data'!G:G,'reasons for reduction division'!B56,'reductions data'!A:A,$M$25)</f>
        <v>0</v>
      </c>
      <c r="N56" s="66">
        <f>COUNTIFS('reductions data'!G:G,'reasons for reduction division'!B56,'reductions data'!A:A,$N$25)</f>
        <v>0</v>
      </c>
      <c r="O56" s="109">
        <f>COUNTIF('reductions data'!G:G,'reasons for reduction division'!B56)</f>
        <v>0</v>
      </c>
    </row>
    <row r="57" spans="2:15" x14ac:dyDescent="0.15">
      <c r="B57" s="342" t="s">
        <v>1445</v>
      </c>
      <c r="C57" s="66">
        <f>COUNTIFS('reductions data'!G:G,'reasons for reduction division'!B57,'reductions data'!A:A,$C$25)</f>
        <v>0</v>
      </c>
      <c r="D57" s="66">
        <f>COUNTIFS('reductions data'!G:G,'reasons for reduction division'!B57,'reductions data'!A:A,$D$25)</f>
        <v>0</v>
      </c>
      <c r="E57" s="66">
        <f>COUNTIFS('reductions data'!G:G,'reasons for reduction division'!B57,'reductions data'!A:A,$E$25)</f>
        <v>0</v>
      </c>
      <c r="F57" s="66">
        <f>COUNTIFS('reductions data'!G:G,'reasons for reduction division'!B57,'reductions data'!A:A,$F$25)</f>
        <v>0</v>
      </c>
      <c r="G57" s="66">
        <f>COUNTIFS('reductions data'!G:G,'reasons for reduction division'!B57,'reductions data'!A:A,$G$25)</f>
        <v>0</v>
      </c>
      <c r="H57" s="66">
        <f>COUNTIFS('reductions data'!G:G,'reasons for reduction division'!B57,'reductions data'!A:A,$H$25)</f>
        <v>0</v>
      </c>
      <c r="I57" s="66">
        <f>COUNTIFS('reductions data'!G:G,'reasons for reduction division'!B57,'reductions data'!A:A,$I$25)</f>
        <v>0</v>
      </c>
      <c r="J57" s="66">
        <f>COUNTIFS('reductions data'!G:G,'reasons for reduction division'!B57,'reductions data'!A:A,$J$25)</f>
        <v>0</v>
      </c>
      <c r="K57" s="66">
        <f>COUNTIFS('reductions data'!G:G,'reasons for reduction division'!B57,'reductions data'!A:A,$K$25)</f>
        <v>0</v>
      </c>
      <c r="L57" s="66">
        <f>COUNTIFS('reductions data'!G:G,'reasons for reduction division'!B57,'reductions data'!A:A,$L$25)</f>
        <v>0</v>
      </c>
      <c r="M57" s="66">
        <f>COUNTIFS('reductions data'!G:G,'reasons for reduction division'!B57,'reductions data'!A:A,$M$25)</f>
        <v>0</v>
      </c>
      <c r="N57" s="66">
        <f>COUNTIFS('reductions data'!G:G,'reasons for reduction division'!B57,'reductions data'!A:A,$N$25)</f>
        <v>0</v>
      </c>
      <c r="O57" s="109">
        <f>COUNTIF('reductions data'!G:G,'reasons for reduction division'!B57)</f>
        <v>0</v>
      </c>
    </row>
    <row r="58" spans="2:15" x14ac:dyDescent="0.15">
      <c r="B58" s="117" t="s">
        <v>1076</v>
      </c>
      <c r="C58" s="66">
        <f>COUNTIFS('reductions data'!G:G,'reasons for reduction division'!B58,'reductions data'!A:A,$C$25)</f>
        <v>0</v>
      </c>
      <c r="D58" s="66">
        <f>COUNTIFS('reductions data'!G:G,'reasons for reduction division'!B58,'reductions data'!A:A,$D$25)</f>
        <v>0</v>
      </c>
      <c r="E58" s="66">
        <f>COUNTIFS('reductions data'!G:G,'reasons for reduction division'!B58,'reductions data'!A:A,$E$25)</f>
        <v>0</v>
      </c>
      <c r="F58" s="66">
        <f>COUNTIFS('reductions data'!G:G,'reasons for reduction division'!B58,'reductions data'!A:A,$F$25)</f>
        <v>0</v>
      </c>
      <c r="G58" s="66">
        <f>COUNTIFS('reductions data'!G:G,'reasons for reduction division'!B58,'reductions data'!A:A,$G$25)</f>
        <v>0</v>
      </c>
      <c r="H58" s="66">
        <f>COUNTIFS('reductions data'!G:G,'reasons for reduction division'!B58,'reductions data'!A:A,$H$25)</f>
        <v>0</v>
      </c>
      <c r="I58" s="66">
        <f>COUNTIFS('reductions data'!G:G,'reasons for reduction division'!B58,'reductions data'!A:A,$I$25)</f>
        <v>0</v>
      </c>
      <c r="J58" s="66">
        <f>COUNTIFS('reductions data'!G:G,'reasons for reduction division'!B58,'reductions data'!A:A,$J$25)</f>
        <v>0</v>
      </c>
      <c r="K58" s="66">
        <f>COUNTIFS('reductions data'!G:G,'reasons for reduction division'!B58,'reductions data'!A:A,$K$25)</f>
        <v>0</v>
      </c>
      <c r="L58" s="66">
        <f>COUNTIFS('reductions data'!G:G,'reasons for reduction division'!B58,'reductions data'!A:A,$L$25)</f>
        <v>0</v>
      </c>
      <c r="M58" s="66">
        <f>COUNTIFS('reductions data'!G:G,'reasons for reduction division'!B58,'reductions data'!A:A,$M$25)</f>
        <v>0</v>
      </c>
      <c r="N58" s="66">
        <f>COUNTIFS('reductions data'!G:G,'reasons for reduction division'!B58,'reductions data'!A:A,$N$25)</f>
        <v>0</v>
      </c>
      <c r="O58" s="109">
        <f>COUNTIF('reductions data'!G:G,'reasons for reduction division'!B58)</f>
        <v>0</v>
      </c>
    </row>
    <row r="59" spans="2:15" x14ac:dyDescent="0.15">
      <c r="B59" s="117" t="s">
        <v>1081</v>
      </c>
      <c r="C59" s="66">
        <f>COUNTIFS('reductions data'!G:G,'reasons for reduction division'!B59,'reductions data'!A:A,$C$25)</f>
        <v>0</v>
      </c>
      <c r="D59" s="66">
        <f>COUNTIFS('reductions data'!G:G,'reasons for reduction division'!B59,'reductions data'!A:A,$D$25)</f>
        <v>0</v>
      </c>
      <c r="E59" s="66">
        <f>COUNTIFS('reductions data'!G:G,'reasons for reduction division'!B59,'reductions data'!A:A,$E$25)</f>
        <v>0</v>
      </c>
      <c r="F59" s="66">
        <f>COUNTIFS('reductions data'!G:G,'reasons for reduction division'!B59,'reductions data'!A:A,$F$25)</f>
        <v>0</v>
      </c>
      <c r="G59" s="66">
        <f>COUNTIFS('reductions data'!G:G,'reasons for reduction division'!B59,'reductions data'!A:A,$G$25)</f>
        <v>0</v>
      </c>
      <c r="H59" s="66">
        <f>COUNTIFS('reductions data'!G:G,'reasons for reduction division'!B59,'reductions data'!A:A,$H$25)</f>
        <v>0</v>
      </c>
      <c r="I59" s="66">
        <f>COUNTIFS('reductions data'!G:G,'reasons for reduction division'!B59,'reductions data'!A:A,$I$25)</f>
        <v>0</v>
      </c>
      <c r="J59" s="66">
        <f>COUNTIFS('reductions data'!G:G,'reasons for reduction division'!B59,'reductions data'!A:A,$J$25)</f>
        <v>0</v>
      </c>
      <c r="K59" s="66">
        <f>COUNTIFS('reductions data'!G:G,'reasons for reduction division'!B59,'reductions data'!A:A,$K$25)</f>
        <v>0</v>
      </c>
      <c r="L59" s="66">
        <f>COUNTIFS('reductions data'!G:G,'reasons for reduction division'!B59,'reductions data'!A:A,$L$25)</f>
        <v>0</v>
      </c>
      <c r="M59" s="66">
        <f>COUNTIFS('reductions data'!G:G,'reasons for reduction division'!B59,'reductions data'!A:A,$M$25)</f>
        <v>0</v>
      </c>
      <c r="N59" s="66">
        <f>COUNTIFS('reductions data'!G:G,'reasons for reduction division'!B59,'reductions data'!A:A,$N$25)</f>
        <v>0</v>
      </c>
      <c r="O59" s="109">
        <f>COUNTIF('reductions data'!G:G,'reasons for reduction division'!B59)</f>
        <v>0</v>
      </c>
    </row>
    <row r="60" spans="2:15" x14ac:dyDescent="0.15">
      <c r="B60" s="117" t="s">
        <v>1078</v>
      </c>
      <c r="C60" s="66">
        <f>COUNTIFS('reductions data'!G:G,'reasons for reduction division'!B60,'reductions data'!A:A,$C$25)</f>
        <v>0</v>
      </c>
      <c r="D60" s="66">
        <f>COUNTIFS('reductions data'!G:G,'reasons for reduction division'!B60,'reductions data'!A:A,$D$25)</f>
        <v>0</v>
      </c>
      <c r="E60" s="66">
        <f>COUNTIFS('reductions data'!G:G,'reasons for reduction division'!B60,'reductions data'!A:A,$E$25)</f>
        <v>0</v>
      </c>
      <c r="F60" s="66">
        <f>COUNTIFS('reductions data'!G:G,'reasons for reduction division'!B60,'reductions data'!A:A,$F$25)</f>
        <v>0</v>
      </c>
      <c r="G60" s="66">
        <f>COUNTIFS('reductions data'!G:G,'reasons for reduction division'!B60,'reductions data'!A:A,$G$25)</f>
        <v>0</v>
      </c>
      <c r="H60" s="66">
        <f>COUNTIFS('reductions data'!G:G,'reasons for reduction division'!B60,'reductions data'!A:A,$H$25)</f>
        <v>0</v>
      </c>
      <c r="I60" s="66">
        <f>COUNTIFS('reductions data'!G:G,'reasons for reduction division'!B60,'reductions data'!A:A,$I$25)</f>
        <v>0</v>
      </c>
      <c r="J60" s="66">
        <f>COUNTIFS('reductions data'!G:G,'reasons for reduction division'!B60,'reductions data'!A:A,$J$25)</f>
        <v>0</v>
      </c>
      <c r="K60" s="66">
        <f>COUNTIFS('reductions data'!G:G,'reasons for reduction division'!B60,'reductions data'!A:A,$K$25)</f>
        <v>0</v>
      </c>
      <c r="L60" s="66">
        <f>COUNTIFS('reductions data'!G:G,'reasons for reduction division'!B60,'reductions data'!A:A,$L$25)</f>
        <v>0</v>
      </c>
      <c r="M60" s="66">
        <f>COUNTIFS('reductions data'!G:G,'reasons for reduction division'!B60,'reductions data'!A:A,$M$25)</f>
        <v>0</v>
      </c>
      <c r="N60" s="66">
        <f>COUNTIFS('reductions data'!G:G,'reasons for reduction division'!B60,'reductions data'!A:A,$N$25)</f>
        <v>0</v>
      </c>
      <c r="O60" s="109">
        <f>COUNTIF('reductions data'!G:G,'reasons for reduction division'!B60)</f>
        <v>0</v>
      </c>
    </row>
    <row r="61" spans="2:15" x14ac:dyDescent="0.15">
      <c r="B61" s="116" t="s">
        <v>1439</v>
      </c>
      <c r="C61" s="66">
        <f>COUNTIFS('reductions data'!G:G,'reasons for reduction division'!B61,'reductions data'!A:A,$C$25)</f>
        <v>0</v>
      </c>
      <c r="D61" s="66">
        <f>COUNTIFS('reductions data'!G:G,'reasons for reduction division'!B61,'reductions data'!A:A,$D$25)</f>
        <v>0</v>
      </c>
      <c r="E61" s="66">
        <f>COUNTIFS('reductions data'!G:G,'reasons for reduction division'!B61,'reductions data'!A:A,$E$25)</f>
        <v>0</v>
      </c>
      <c r="F61" s="66">
        <f>COUNTIFS('reductions data'!G:G,'reasons for reduction division'!B61,'reductions data'!A:A,$F$25)</f>
        <v>0</v>
      </c>
      <c r="G61" s="66">
        <f>COUNTIFS('reductions data'!G:G,'reasons for reduction division'!B61,'reductions data'!A:A,$G$25)</f>
        <v>0</v>
      </c>
      <c r="H61" s="66">
        <f>COUNTIFS('reductions data'!G:G,'reasons for reduction division'!B61,'reductions data'!A:A,$H$25)</f>
        <v>0</v>
      </c>
      <c r="I61" s="66">
        <f>COUNTIFS('reductions data'!G:G,'reasons for reduction division'!B61,'reductions data'!A:A,$I$25)</f>
        <v>0</v>
      </c>
      <c r="J61" s="66">
        <f>COUNTIFS('reductions data'!G:G,'reasons for reduction division'!B61,'reductions data'!A:A,$J$25)</f>
        <v>0</v>
      </c>
      <c r="K61" s="66">
        <f>COUNTIFS('reductions data'!G:G,'reasons for reduction division'!B61,'reductions data'!A:A,$K$25)</f>
        <v>0</v>
      </c>
      <c r="L61" s="66">
        <f>COUNTIFS('reductions data'!G:G,'reasons for reduction division'!B61,'reductions data'!A:A,$L$25)</f>
        <v>0</v>
      </c>
      <c r="M61" s="66">
        <f>COUNTIFS('reductions data'!G:G,'reasons for reduction division'!B61,'reductions data'!A:A,$M$25)</f>
        <v>0</v>
      </c>
      <c r="N61" s="66">
        <f>COUNTIFS('reductions data'!G:G,'reasons for reduction division'!B61,'reductions data'!A:A,$N$25)</f>
        <v>0</v>
      </c>
      <c r="O61" s="109">
        <f>COUNTIF('reductions data'!G:G,'reasons for reduction division'!B61)</f>
        <v>0</v>
      </c>
    </row>
    <row r="62" spans="2:15" x14ac:dyDescent="0.15">
      <c r="B62" s="117" t="s">
        <v>1440</v>
      </c>
      <c r="C62" s="66">
        <f>COUNTIFS('reductions data'!G:G,'reasons for reduction division'!B62,'reductions data'!A:A,$C$25)</f>
        <v>0</v>
      </c>
      <c r="D62" s="66">
        <f>COUNTIFS('reductions data'!G:G,'reasons for reduction division'!B62,'reductions data'!A:A,$D$25)</f>
        <v>0</v>
      </c>
      <c r="E62" s="66">
        <f>COUNTIFS('reductions data'!G:G,'reasons for reduction division'!B62,'reductions data'!A:A,$E$25)</f>
        <v>0</v>
      </c>
      <c r="F62" s="66">
        <f>COUNTIFS('reductions data'!G:G,'reasons for reduction division'!B62,'reductions data'!A:A,$F$25)</f>
        <v>0</v>
      </c>
      <c r="G62" s="66">
        <f>COUNTIFS('reductions data'!G:G,'reasons for reduction division'!B62,'reductions data'!A:A,$G$25)</f>
        <v>0</v>
      </c>
      <c r="H62" s="66">
        <f>COUNTIFS('reductions data'!G:G,'reasons for reduction division'!B62,'reductions data'!A:A,$H$25)</f>
        <v>0</v>
      </c>
      <c r="I62" s="66">
        <f>COUNTIFS('reductions data'!G:G,'reasons for reduction division'!B62,'reductions data'!A:A,$I$25)</f>
        <v>0</v>
      </c>
      <c r="J62" s="66">
        <f>COUNTIFS('reductions data'!G:G,'reasons for reduction division'!B62,'reductions data'!A:A,$J$25)</f>
        <v>0</v>
      </c>
      <c r="K62" s="66">
        <f>COUNTIFS('reductions data'!G:G,'reasons for reduction division'!B62,'reductions data'!A:A,$K$25)</f>
        <v>0</v>
      </c>
      <c r="L62" s="66">
        <f>COUNTIFS('reductions data'!G:G,'reasons for reduction division'!B62,'reductions data'!A:A,$L$25)</f>
        <v>0</v>
      </c>
      <c r="M62" s="66">
        <f>COUNTIFS('reductions data'!G:G,'reasons for reduction division'!B62,'reductions data'!A:A,$M$25)</f>
        <v>0</v>
      </c>
      <c r="N62" s="66">
        <f>COUNTIFS('reductions data'!G:G,'reasons for reduction division'!B62,'reductions data'!A:A,$N$25)</f>
        <v>0</v>
      </c>
      <c r="O62" s="109">
        <f>COUNTIF('reductions data'!G:G,'reasons for reduction division'!B62)</f>
        <v>0</v>
      </c>
    </row>
    <row r="63" spans="2:15" x14ac:dyDescent="0.15">
      <c r="B63" s="117" t="s">
        <v>1082</v>
      </c>
      <c r="C63" s="66">
        <f>COUNTIFS('reductions data'!G:G,'reasons for reduction division'!B63,'reductions data'!A:A,$C$25)</f>
        <v>0</v>
      </c>
      <c r="D63" s="66">
        <f>COUNTIFS('reductions data'!G:G,'reasons for reduction division'!B63,'reductions data'!A:A,$D$25)</f>
        <v>0</v>
      </c>
      <c r="E63" s="66">
        <f>COUNTIFS('reductions data'!G:G,'reasons for reduction division'!B63,'reductions data'!A:A,$E$25)</f>
        <v>0</v>
      </c>
      <c r="F63" s="66">
        <f>COUNTIFS('reductions data'!G:G,'reasons for reduction division'!B63,'reductions data'!A:A,$F$25)</f>
        <v>0</v>
      </c>
      <c r="G63" s="66">
        <f>COUNTIFS('reductions data'!G:G,'reasons for reduction division'!B63,'reductions data'!A:A,$G$25)</f>
        <v>0</v>
      </c>
      <c r="H63" s="66">
        <f>COUNTIFS('reductions data'!G:G,'reasons for reduction division'!B63,'reductions data'!A:A,$H$25)</f>
        <v>0</v>
      </c>
      <c r="I63" s="66">
        <f>COUNTIFS('reductions data'!G:G,'reasons for reduction division'!B63,'reductions data'!A:A,$I$25)</f>
        <v>0</v>
      </c>
      <c r="J63" s="66">
        <f>COUNTIFS('reductions data'!G:G,'reasons for reduction division'!B63,'reductions data'!A:A,$J$25)</f>
        <v>0</v>
      </c>
      <c r="K63" s="66">
        <f>COUNTIFS('reductions data'!G:G,'reasons for reduction division'!B63,'reductions data'!A:A,$K$25)</f>
        <v>0</v>
      </c>
      <c r="L63" s="66">
        <f>COUNTIFS('reductions data'!G:G,'reasons for reduction division'!B63,'reductions data'!A:A,$L$25)</f>
        <v>0</v>
      </c>
      <c r="M63" s="66">
        <f>COUNTIFS('reductions data'!G:G,'reasons for reduction division'!B63,'reductions data'!A:A,$M$25)</f>
        <v>0</v>
      </c>
      <c r="N63" s="66">
        <f>COUNTIFS('reductions data'!G:G,'reasons for reduction division'!B63,'reductions data'!A:A,$N$25)</f>
        <v>0</v>
      </c>
      <c r="O63" s="109">
        <f>COUNTIF('reductions data'!G:G,'reasons for reduction division'!B63)</f>
        <v>0</v>
      </c>
    </row>
    <row r="64" spans="2:15" x14ac:dyDescent="0.15">
      <c r="B64" s="117" t="s">
        <v>1083</v>
      </c>
      <c r="C64" s="66">
        <f>COUNTIFS('reductions data'!G:G,'reasons for reduction division'!B64,'reductions data'!A:A,$C$25)</f>
        <v>0</v>
      </c>
      <c r="D64" s="66">
        <f>COUNTIFS('reductions data'!G:G,'reasons for reduction division'!B64,'reductions data'!A:A,$D$25)</f>
        <v>0</v>
      </c>
      <c r="E64" s="66">
        <f>COUNTIFS('reductions data'!G:G,'reasons for reduction division'!B64,'reductions data'!A:A,$E$25)</f>
        <v>0</v>
      </c>
      <c r="F64" s="66">
        <f>COUNTIFS('reductions data'!G:G,'reasons for reduction division'!B64,'reductions data'!A:A,$F$25)</f>
        <v>0</v>
      </c>
      <c r="G64" s="66">
        <f>COUNTIFS('reductions data'!G:G,'reasons for reduction division'!B64,'reductions data'!A:A,$G$25)</f>
        <v>0</v>
      </c>
      <c r="H64" s="66">
        <f>COUNTIFS('reductions data'!G:G,'reasons for reduction division'!B64,'reductions data'!A:A,$H$25)</f>
        <v>0</v>
      </c>
      <c r="I64" s="66">
        <f>COUNTIFS('reductions data'!G:G,'reasons for reduction division'!B64,'reductions data'!A:A,$I$25)</f>
        <v>0</v>
      </c>
      <c r="J64" s="66">
        <f>COUNTIFS('reductions data'!G:G,'reasons for reduction division'!B64,'reductions data'!A:A,$J$25)</f>
        <v>0</v>
      </c>
      <c r="K64" s="66">
        <f>COUNTIFS('reductions data'!G:G,'reasons for reduction division'!B64,'reductions data'!A:A,$K$25)</f>
        <v>0</v>
      </c>
      <c r="L64" s="66">
        <f>COUNTIFS('reductions data'!G:G,'reasons for reduction division'!B64,'reductions data'!A:A,$L$25)</f>
        <v>0</v>
      </c>
      <c r="M64" s="66">
        <f>COUNTIFS('reductions data'!G:G,'reasons for reduction division'!B64,'reductions data'!A:A,$M$25)</f>
        <v>0</v>
      </c>
      <c r="N64" s="66">
        <f>COUNTIFS('reductions data'!G:G,'reasons for reduction division'!B64,'reductions data'!A:A,$N$25)</f>
        <v>0</v>
      </c>
      <c r="O64" s="109">
        <f>COUNTIF('reductions data'!G:G,'reasons for reduction division'!B64)</f>
        <v>0</v>
      </c>
    </row>
    <row r="65" spans="2:15" x14ac:dyDescent="0.15">
      <c r="B65" s="117" t="s">
        <v>1084</v>
      </c>
      <c r="C65" s="66">
        <f>COUNTIFS('reductions data'!G:G,'reasons for reduction division'!B65,'reductions data'!A:A,$C$25)</f>
        <v>0</v>
      </c>
      <c r="D65" s="66">
        <f>COUNTIFS('reductions data'!G:G,'reasons for reduction division'!B65,'reductions data'!A:A,$D$25)</f>
        <v>0</v>
      </c>
      <c r="E65" s="66">
        <f>COUNTIFS('reductions data'!G:G,'reasons for reduction division'!B65,'reductions data'!A:A,$E$25)</f>
        <v>0</v>
      </c>
      <c r="F65" s="66">
        <f>COUNTIFS('reductions data'!G:G,'reasons for reduction division'!B65,'reductions data'!A:A,$F$25)</f>
        <v>0</v>
      </c>
      <c r="G65" s="66">
        <f>COUNTIFS('reductions data'!G:G,'reasons for reduction division'!B65,'reductions data'!A:A,$G$25)</f>
        <v>0</v>
      </c>
      <c r="H65" s="66">
        <f>COUNTIFS('reductions data'!G:G,'reasons for reduction division'!B65,'reductions data'!A:A,$H$25)</f>
        <v>0</v>
      </c>
      <c r="I65" s="66">
        <f>COUNTIFS('reductions data'!G:G,'reasons for reduction division'!B65,'reductions data'!A:A,$I$25)</f>
        <v>0</v>
      </c>
      <c r="J65" s="66">
        <f>COUNTIFS('reductions data'!G:G,'reasons for reduction division'!B65,'reductions data'!A:A,$J$25)</f>
        <v>0</v>
      </c>
      <c r="K65" s="66">
        <f>COUNTIFS('reductions data'!G:G,'reasons for reduction division'!B65,'reductions data'!A:A,$K$25)</f>
        <v>0</v>
      </c>
      <c r="L65" s="66">
        <f>COUNTIFS('reductions data'!G:G,'reasons for reduction division'!B65,'reductions data'!A:A,$L$25)</f>
        <v>0</v>
      </c>
      <c r="M65" s="66">
        <f>COUNTIFS('reductions data'!G:G,'reasons for reduction division'!B65,'reductions data'!A:A,$M$25)</f>
        <v>0</v>
      </c>
      <c r="N65" s="66">
        <f>COUNTIFS('reductions data'!G:G,'reasons for reduction division'!B65,'reductions data'!A:A,$N$25)</f>
        <v>0</v>
      </c>
      <c r="O65" s="109">
        <f>COUNTIF('reductions data'!G:G,'reasons for reduction division'!B65)</f>
        <v>0</v>
      </c>
    </row>
    <row r="66" spans="2:15" x14ac:dyDescent="0.15">
      <c r="B66" s="117" t="s">
        <v>1085</v>
      </c>
      <c r="C66" s="66">
        <f>COUNTIFS('reductions data'!G:G,'reasons for reduction division'!B66,'reductions data'!A:A,$C$25)</f>
        <v>0</v>
      </c>
      <c r="D66" s="66">
        <f>COUNTIFS('reductions data'!G:G,'reasons for reduction division'!B66,'reductions data'!A:A,$D$25)</f>
        <v>0</v>
      </c>
      <c r="E66" s="66">
        <f>COUNTIFS('reductions data'!G:G,'reasons for reduction division'!B66,'reductions data'!A:A,$E$25)</f>
        <v>0</v>
      </c>
      <c r="F66" s="66">
        <f>COUNTIFS('reductions data'!G:G,'reasons for reduction division'!B66,'reductions data'!A:A,$F$25)</f>
        <v>0</v>
      </c>
      <c r="G66" s="66">
        <f>COUNTIFS('reductions data'!G:G,'reasons for reduction division'!B66,'reductions data'!A:A,$G$25)</f>
        <v>0</v>
      </c>
      <c r="H66" s="66">
        <f>COUNTIFS('reductions data'!G:G,'reasons for reduction division'!B66,'reductions data'!A:A,$H$25)</f>
        <v>0</v>
      </c>
      <c r="I66" s="66">
        <f>COUNTIFS('reductions data'!G:G,'reasons for reduction division'!B66,'reductions data'!A:A,$I$25)</f>
        <v>0</v>
      </c>
      <c r="J66" s="66">
        <f>COUNTIFS('reductions data'!G:G,'reasons for reduction division'!B66,'reductions data'!A:A,$J$25)</f>
        <v>0</v>
      </c>
      <c r="K66" s="66">
        <f>COUNTIFS('reductions data'!G:G,'reasons for reduction division'!B66,'reductions data'!A:A,$K$25)</f>
        <v>0</v>
      </c>
      <c r="L66" s="66">
        <f>COUNTIFS('reductions data'!G:G,'reasons for reduction division'!B66,'reductions data'!A:A,$L$25)</f>
        <v>0</v>
      </c>
      <c r="M66" s="66">
        <f>COUNTIFS('reductions data'!G:G,'reasons for reduction division'!B66,'reductions data'!A:A,$M$25)</f>
        <v>0</v>
      </c>
      <c r="N66" s="66">
        <f>COUNTIFS('reductions data'!G:G,'reasons for reduction division'!B66,'reductions data'!A:A,$N$25)</f>
        <v>0</v>
      </c>
      <c r="O66" s="109">
        <f>COUNTIF('reductions data'!G:G,'reasons for reduction division'!B66)</f>
        <v>0</v>
      </c>
    </row>
    <row r="67" spans="2:15" x14ac:dyDescent="0.15">
      <c r="B67" s="117" t="s">
        <v>1086</v>
      </c>
      <c r="C67" s="66">
        <f>COUNTIFS('reductions data'!G:G,'reasons for reduction division'!B67,'reductions data'!A:A,$C$25)</f>
        <v>0</v>
      </c>
      <c r="D67" s="66">
        <f>COUNTIFS('reductions data'!G:G,'reasons for reduction division'!B67,'reductions data'!A:A,$D$25)</f>
        <v>0</v>
      </c>
      <c r="E67" s="66">
        <f>COUNTIFS('reductions data'!G:G,'reasons for reduction division'!B67,'reductions data'!A:A,$E$25)</f>
        <v>0</v>
      </c>
      <c r="F67" s="66">
        <f>COUNTIFS('reductions data'!G:G,'reasons for reduction division'!B67,'reductions data'!A:A,$F$25)</f>
        <v>0</v>
      </c>
      <c r="G67" s="66">
        <f>COUNTIFS('reductions data'!G:G,'reasons for reduction division'!B67,'reductions data'!A:A,$G$25)</f>
        <v>0</v>
      </c>
      <c r="H67" s="66">
        <f>COUNTIFS('reductions data'!G:G,'reasons for reduction division'!B67,'reductions data'!A:A,$H$25)</f>
        <v>0</v>
      </c>
      <c r="I67" s="66">
        <f>COUNTIFS('reductions data'!G:G,'reasons for reduction division'!B67,'reductions data'!A:A,$I$25)</f>
        <v>0</v>
      </c>
      <c r="J67" s="66">
        <f>COUNTIFS('reductions data'!G:G,'reasons for reduction division'!B67,'reductions data'!A:A,$J$25)</f>
        <v>0</v>
      </c>
      <c r="K67" s="66">
        <f>COUNTIFS('reductions data'!G:G,'reasons for reduction division'!B67,'reductions data'!A:A,$K$25)</f>
        <v>0</v>
      </c>
      <c r="L67" s="66">
        <f>COUNTIFS('reductions data'!G:G,'reasons for reduction division'!B67,'reductions data'!A:A,$L$25)</f>
        <v>0</v>
      </c>
      <c r="M67" s="66">
        <f>COUNTIFS('reductions data'!G:G,'reasons for reduction division'!B67,'reductions data'!A:A,$M$25)</f>
        <v>0</v>
      </c>
      <c r="N67" s="66">
        <f>COUNTIFS('reductions data'!G:G,'reasons for reduction division'!B67,'reductions data'!A:A,$N$25)</f>
        <v>0</v>
      </c>
      <c r="O67" s="109">
        <f>COUNTIF('reductions data'!G:G,'reasons for reduction division'!B67)</f>
        <v>0</v>
      </c>
    </row>
    <row r="68" spans="2:15" x14ac:dyDescent="0.15">
      <c r="B68" s="117" t="s">
        <v>1087</v>
      </c>
      <c r="C68" s="66">
        <f>COUNTIFS('reductions data'!G:G,'reasons for reduction division'!B68,'reductions data'!A:A,$C$25)</f>
        <v>0</v>
      </c>
      <c r="D68" s="66">
        <f>COUNTIFS('reductions data'!G:G,'reasons for reduction division'!B68,'reductions data'!A:A,$D$25)</f>
        <v>0</v>
      </c>
      <c r="E68" s="66">
        <f>COUNTIFS('reductions data'!G:G,'reasons for reduction division'!B68,'reductions data'!A:A,$E$25)</f>
        <v>0</v>
      </c>
      <c r="F68" s="66">
        <f>COUNTIFS('reductions data'!G:G,'reasons for reduction division'!B68,'reductions data'!A:A,$F$25)</f>
        <v>0</v>
      </c>
      <c r="G68" s="66">
        <f>COUNTIFS('reductions data'!G:G,'reasons for reduction division'!B68,'reductions data'!A:A,$G$25)</f>
        <v>0</v>
      </c>
      <c r="H68" s="66">
        <f>COUNTIFS('reductions data'!G:G,'reasons for reduction division'!B68,'reductions data'!A:A,$H$25)</f>
        <v>0</v>
      </c>
      <c r="I68" s="66">
        <f>COUNTIFS('reductions data'!G:G,'reasons for reduction division'!B68,'reductions data'!A:A,$I$25)</f>
        <v>0</v>
      </c>
      <c r="J68" s="66">
        <f>COUNTIFS('reductions data'!G:G,'reasons for reduction division'!B68,'reductions data'!A:A,$J$25)</f>
        <v>0</v>
      </c>
      <c r="K68" s="66">
        <f>COUNTIFS('reductions data'!G:G,'reasons for reduction division'!B68,'reductions data'!A:A,$K$25)</f>
        <v>0</v>
      </c>
      <c r="L68" s="66">
        <f>COUNTIFS('reductions data'!G:G,'reasons for reduction division'!B68,'reductions data'!A:A,$L$25)</f>
        <v>0</v>
      </c>
      <c r="M68" s="66">
        <f>COUNTIFS('reductions data'!G:G,'reasons for reduction division'!B68,'reductions data'!A:A,$M$25)</f>
        <v>0</v>
      </c>
      <c r="N68" s="66">
        <f>COUNTIFS('reductions data'!G:G,'reasons for reduction division'!B68,'reductions data'!A:A,$N$25)</f>
        <v>0</v>
      </c>
      <c r="O68" s="109">
        <f>COUNTIF('reductions data'!G:G,'reasons for reduction division'!B68)</f>
        <v>0</v>
      </c>
    </row>
    <row r="69" spans="2:15" x14ac:dyDescent="0.15">
      <c r="B69" s="117" t="s">
        <v>1074</v>
      </c>
      <c r="C69" s="66">
        <f>COUNTIFS('reductions data'!G:G,'reasons for reduction division'!B69,'reductions data'!A:A,$C$25)</f>
        <v>0</v>
      </c>
      <c r="D69" s="66">
        <f>COUNTIFS('reductions data'!G:G,'reasons for reduction division'!B69,'reductions data'!A:A,$D$25)</f>
        <v>0</v>
      </c>
      <c r="E69" s="66">
        <f>COUNTIFS('reductions data'!G:G,'reasons for reduction division'!B69,'reductions data'!A:A,$E$25)</f>
        <v>0</v>
      </c>
      <c r="F69" s="66">
        <f>COUNTIFS('reductions data'!G:G,'reasons for reduction division'!B69,'reductions data'!A:A,$F$25)</f>
        <v>0</v>
      </c>
      <c r="G69" s="66">
        <f>COUNTIFS('reductions data'!G:G,'reasons for reduction division'!B69,'reductions data'!A:A,$G$25)</f>
        <v>0</v>
      </c>
      <c r="H69" s="66">
        <f>COUNTIFS('reductions data'!G:G,'reasons for reduction division'!B69,'reductions data'!A:A,$H$25)</f>
        <v>0</v>
      </c>
      <c r="I69" s="66">
        <f>COUNTIFS('reductions data'!G:G,'reasons for reduction division'!B69,'reductions data'!A:A,$I$25)</f>
        <v>0</v>
      </c>
      <c r="J69" s="66">
        <f>COUNTIFS('reductions data'!G:G,'reasons for reduction division'!B69,'reductions data'!A:A,$J$25)</f>
        <v>0</v>
      </c>
      <c r="K69" s="66">
        <f>COUNTIFS('reductions data'!G:G,'reasons for reduction division'!B69,'reductions data'!A:A,$K$25)</f>
        <v>0</v>
      </c>
      <c r="L69" s="66">
        <f>COUNTIFS('reductions data'!G:G,'reasons for reduction division'!B69,'reductions data'!A:A,$L$25)</f>
        <v>0</v>
      </c>
      <c r="M69" s="66">
        <f>COUNTIFS('reductions data'!G:G,'reasons for reduction division'!B69,'reductions data'!A:A,$M$25)</f>
        <v>0</v>
      </c>
      <c r="N69" s="66">
        <f>COUNTIFS('reductions data'!G:G,'reasons for reduction division'!B69,'reductions data'!A:A,$N$25)</f>
        <v>0</v>
      </c>
      <c r="O69" s="109">
        <f>COUNTIF('reductions data'!G:G,'reasons for reduction division'!B69)</f>
        <v>0</v>
      </c>
    </row>
    <row r="70" spans="2:15" x14ac:dyDescent="0.15">
      <c r="B70" s="117" t="s">
        <v>1091</v>
      </c>
      <c r="C70" s="66">
        <f>COUNTIFS('reductions data'!G:G,'reasons for reduction division'!B70,'reductions data'!A:A,$C$25)</f>
        <v>0</v>
      </c>
      <c r="D70" s="66">
        <f>COUNTIFS('reductions data'!G:G,'reasons for reduction division'!B70,'reductions data'!A:A,$D$25)</f>
        <v>0</v>
      </c>
      <c r="E70" s="66">
        <f>COUNTIFS('reductions data'!G:G,'reasons for reduction division'!B70,'reductions data'!A:A,$E$25)</f>
        <v>0</v>
      </c>
      <c r="F70" s="66">
        <f>COUNTIFS('reductions data'!G:G,'reasons for reduction division'!B70,'reductions data'!A:A,$F$25)</f>
        <v>0</v>
      </c>
      <c r="G70" s="66">
        <f>COUNTIFS('reductions data'!G:G,'reasons for reduction division'!B70,'reductions data'!A:A,$G$25)</f>
        <v>0</v>
      </c>
      <c r="H70" s="66">
        <f>COUNTIFS('reductions data'!G:G,'reasons for reduction division'!B70,'reductions data'!A:A,$H$25)</f>
        <v>0</v>
      </c>
      <c r="I70" s="66">
        <f>COUNTIFS('reductions data'!G:G,'reasons for reduction division'!B70,'reductions data'!A:A,$I$25)</f>
        <v>0</v>
      </c>
      <c r="J70" s="66">
        <f>COUNTIFS('reductions data'!G:G,'reasons for reduction division'!B70,'reductions data'!A:A,$J$25)</f>
        <v>0</v>
      </c>
      <c r="K70" s="66">
        <f>COUNTIFS('reductions data'!G:G,'reasons for reduction division'!B70,'reductions data'!A:A,$K$25)</f>
        <v>0</v>
      </c>
      <c r="L70" s="66">
        <f>COUNTIFS('reductions data'!G:G,'reasons for reduction division'!B70,'reductions data'!A:A,$L$25)</f>
        <v>0</v>
      </c>
      <c r="M70" s="66">
        <f>COUNTIFS('reductions data'!G:G,'reasons for reduction division'!B70,'reductions data'!A:A,$M$25)</f>
        <v>0</v>
      </c>
      <c r="N70" s="66">
        <f>COUNTIFS('reductions data'!G:G,'reasons for reduction division'!B70,'reductions data'!A:A,$N$25)</f>
        <v>0</v>
      </c>
      <c r="O70" s="109">
        <f>COUNTIF('reductions data'!G:G,'reasons for reduction division'!B70)</f>
        <v>0</v>
      </c>
    </row>
    <row r="71" spans="2:15" x14ac:dyDescent="0.15">
      <c r="B71" s="342" t="s">
        <v>1441</v>
      </c>
      <c r="C71" s="349">
        <f>COUNTIFS('reductions data'!G:G,'reasons for reduction division'!B71,'reductions data'!A:A,$C$25)</f>
        <v>0</v>
      </c>
      <c r="D71" s="66">
        <f>COUNTIFS('reductions data'!G:G,'reasons for reduction division'!B71,'reductions data'!A:A,$D$25)</f>
        <v>0</v>
      </c>
      <c r="E71" s="66">
        <f>COUNTIFS('reductions data'!G:G,'reasons for reduction division'!B71,'reductions data'!A:A,$E$25)</f>
        <v>0</v>
      </c>
      <c r="F71" s="66">
        <f>COUNTIFS('reductions data'!G:G,'reasons for reduction division'!B71,'reductions data'!A:A,$F$25)</f>
        <v>0</v>
      </c>
      <c r="G71" s="66">
        <f>COUNTIFS('reductions data'!G:G,'reasons for reduction division'!B71,'reductions data'!A:A,$G$25)</f>
        <v>0</v>
      </c>
      <c r="H71" s="66">
        <f>COUNTIFS('reductions data'!G:G,'reasons for reduction division'!B71,'reductions data'!A:A,$H$25)</f>
        <v>0</v>
      </c>
      <c r="I71" s="66">
        <f>COUNTIFS('reductions data'!G:G,'reasons for reduction division'!B71,'reductions data'!A:A,$I$25)</f>
        <v>0</v>
      </c>
      <c r="J71" s="66">
        <f>COUNTIFS('reductions data'!G:G,'reasons for reduction division'!B71,'reductions data'!A:A,$J$25)</f>
        <v>0</v>
      </c>
      <c r="K71" s="66">
        <f>COUNTIFS('reductions data'!G:G,'reasons for reduction division'!B71,'reductions data'!A:A,$K$25)</f>
        <v>0</v>
      </c>
      <c r="L71" s="66">
        <f>COUNTIFS('reductions data'!G:G,'reasons for reduction division'!B71,'reductions data'!A:A,$L$25)</f>
        <v>0</v>
      </c>
      <c r="M71" s="66">
        <f>COUNTIFS('reductions data'!G:G,'reasons for reduction division'!B71,'reductions data'!A:A,$M$25)</f>
        <v>0</v>
      </c>
      <c r="N71" s="66">
        <f>COUNTIFS('reductions data'!G:G,'reasons for reduction division'!B71,'reductions data'!A:A,$N$25)</f>
        <v>0</v>
      </c>
      <c r="O71" s="109">
        <f>COUNTIF('reductions data'!G:G,'reasons for reduction division'!B71)</f>
        <v>0</v>
      </c>
    </row>
    <row r="72" spans="2:15" x14ac:dyDescent="0.15">
      <c r="B72" s="342" t="s">
        <v>1442</v>
      </c>
      <c r="C72" s="349">
        <f>COUNTIFS('reductions data'!G:G,'reasons for reduction division'!B72,'reductions data'!A:A,$C$25)</f>
        <v>0</v>
      </c>
      <c r="D72" s="66">
        <f>COUNTIFS('reductions data'!G:G,'reasons for reduction division'!B72,'reductions data'!A:A,$D$25)</f>
        <v>0</v>
      </c>
      <c r="E72" s="66">
        <f>COUNTIFS('reductions data'!G:G,'reasons for reduction division'!B72,'reductions data'!A:A,$E$25)</f>
        <v>0</v>
      </c>
      <c r="F72" s="66">
        <f>COUNTIFS('reductions data'!G:G,'reasons for reduction division'!B72,'reductions data'!A:A,$F$25)</f>
        <v>0</v>
      </c>
      <c r="G72" s="66">
        <f>COUNTIFS('reductions data'!G:G,'reasons for reduction division'!B72,'reductions data'!A:A,$G$25)</f>
        <v>0</v>
      </c>
      <c r="H72" s="66">
        <f>COUNTIFS('reductions data'!G:G,'reasons for reduction division'!B72,'reductions data'!A:A,$H$25)</f>
        <v>0</v>
      </c>
      <c r="I72" s="66">
        <f>COUNTIFS('reductions data'!G:G,'reasons for reduction division'!B72,'reductions data'!A:A,$I$25)</f>
        <v>0</v>
      </c>
      <c r="J72" s="66">
        <f>COUNTIFS('reductions data'!G:G,'reasons for reduction division'!B72,'reductions data'!A:A,$J$25)</f>
        <v>0</v>
      </c>
      <c r="K72" s="66">
        <f>COUNTIFS('reductions data'!G:G,'reasons for reduction division'!B72,'reductions data'!A:A,$K$25)</f>
        <v>0</v>
      </c>
      <c r="L72" s="66">
        <f>COUNTIFS('reductions data'!G:G,'reasons for reduction division'!B72,'reductions data'!A:A,$L$25)</f>
        <v>0</v>
      </c>
      <c r="M72" s="66">
        <f>COUNTIFS('reductions data'!G:G,'reasons for reduction division'!B72,'reductions data'!A:A,$M$25)</f>
        <v>0</v>
      </c>
      <c r="N72" s="66">
        <f>COUNTIFS('reductions data'!G:G,'reasons for reduction division'!B72,'reductions data'!A:A,$N$25)</f>
        <v>0</v>
      </c>
      <c r="O72" s="109">
        <f>COUNTIF('reductions data'!G:G,'reasons for reduction division'!B72)</f>
        <v>0</v>
      </c>
    </row>
    <row r="73" spans="2:15" x14ac:dyDescent="0.15">
      <c r="B73" s="342" t="s">
        <v>1446</v>
      </c>
      <c r="C73" s="349">
        <f>COUNTIFS('reductions data'!G:G,'reasons for reduction division'!B73,'reductions data'!A:A,$C$25)</f>
        <v>0</v>
      </c>
      <c r="D73" s="66">
        <f>COUNTIFS('reductions data'!G:G,'reasons for reduction division'!B73,'reductions data'!A:A,$D$25)</f>
        <v>0</v>
      </c>
      <c r="E73" s="66">
        <f>COUNTIFS('reductions data'!G:G,'reasons for reduction division'!B73,'reductions data'!A:A,$E$25)</f>
        <v>0</v>
      </c>
      <c r="F73" s="66">
        <f>COUNTIFS('reductions data'!G:G,'reasons for reduction division'!B73,'reductions data'!A:A,$F$25)</f>
        <v>0</v>
      </c>
      <c r="G73" s="66">
        <f>COUNTIFS('reductions data'!G:G,'reasons for reduction division'!B73,'reductions data'!A:A,$G$25)</f>
        <v>0</v>
      </c>
      <c r="H73" s="66">
        <f>COUNTIFS('reductions data'!G:G,'reasons for reduction division'!B73,'reductions data'!A:A,$H$25)</f>
        <v>0</v>
      </c>
      <c r="I73" s="66">
        <f>COUNTIFS('reductions data'!G:G,'reasons for reduction division'!B73,'reductions data'!A:A,$I$25)</f>
        <v>0</v>
      </c>
      <c r="J73" s="66">
        <f>COUNTIFS('reductions data'!G:G,'reasons for reduction division'!B73,'reductions data'!A:A,$J$25)</f>
        <v>0</v>
      </c>
      <c r="K73" s="66">
        <f>COUNTIFS('reductions data'!G:G,'reasons for reduction division'!B73,'reductions data'!A:A,$K$25)</f>
        <v>0</v>
      </c>
      <c r="L73" s="66">
        <f>COUNTIFS('reductions data'!G:G,'reasons for reduction division'!B73,'reductions data'!A:A,$L$25)</f>
        <v>0</v>
      </c>
      <c r="M73" s="66">
        <f>COUNTIFS('reductions data'!G:G,'reasons for reduction division'!B73,'reductions data'!A:A,$M$25)</f>
        <v>0</v>
      </c>
      <c r="N73" s="66">
        <f>COUNTIFS('reductions data'!G:G,'reasons for reduction division'!B73,'reductions data'!A:A,$N$25)</f>
        <v>0</v>
      </c>
      <c r="O73" s="109">
        <f>COUNTIF('reductions data'!G:G,'reasons for reduction division'!B73)</f>
        <v>0</v>
      </c>
    </row>
    <row r="74" spans="2:15" x14ac:dyDescent="0.15">
      <c r="B74" s="116" t="s">
        <v>1092</v>
      </c>
      <c r="C74" s="66">
        <f>COUNTIFS('reductions data'!G:G,'reasons for reduction division'!B74,'reductions data'!A:A,$C$25)</f>
        <v>0</v>
      </c>
      <c r="D74" s="66">
        <f>COUNTIFS('reductions data'!G:G,'reasons for reduction division'!B74,'reductions data'!A:A,$D$25)</f>
        <v>0</v>
      </c>
      <c r="E74" s="66">
        <f>COUNTIFS('reductions data'!G:G,'reasons for reduction division'!B74,'reductions data'!A:A,$E$25)</f>
        <v>0</v>
      </c>
      <c r="F74" s="66">
        <f>COUNTIFS('reductions data'!G:G,'reasons for reduction division'!B74,'reductions data'!A:A,$F$25)</f>
        <v>0</v>
      </c>
      <c r="G74" s="66">
        <f>COUNTIFS('reductions data'!G:G,'reasons for reduction division'!B74,'reductions data'!A:A,$G$25)</f>
        <v>0</v>
      </c>
      <c r="H74" s="66">
        <f>COUNTIFS('reductions data'!G:G,'reasons for reduction division'!B74,'reductions data'!A:A,$H$25)</f>
        <v>0</v>
      </c>
      <c r="I74" s="66">
        <f>COUNTIFS('reductions data'!G:G,'reasons for reduction division'!B74,'reductions data'!A:A,$I$25)</f>
        <v>0</v>
      </c>
      <c r="J74" s="66">
        <f>COUNTIFS('reductions data'!G:G,'reasons for reduction division'!B74,'reductions data'!A:A,$J$25)</f>
        <v>0</v>
      </c>
      <c r="K74" s="66">
        <f>COUNTIFS('reductions data'!G:G,'reasons for reduction division'!B74,'reductions data'!A:A,$K$25)</f>
        <v>0</v>
      </c>
      <c r="L74" s="66">
        <f>COUNTIFS('reductions data'!G:G,'reasons for reduction division'!B74,'reductions data'!A:A,$L$25)</f>
        <v>0</v>
      </c>
      <c r="M74" s="66">
        <f>COUNTIFS('reductions data'!G:G,'reasons for reduction division'!B74,'reductions data'!A:A,$M$25)</f>
        <v>0</v>
      </c>
      <c r="N74" s="66">
        <f>COUNTIFS('reductions data'!G:G,'reasons for reduction division'!B74,'reductions data'!A:A,$N$25)</f>
        <v>0</v>
      </c>
      <c r="O74" s="109">
        <f>COUNTIF('reductions data'!G:G,'reasons for reduction division'!B74)</f>
        <v>0</v>
      </c>
    </row>
    <row r="75" spans="2:15" x14ac:dyDescent="0.15">
      <c r="B75" s="117" t="s">
        <v>1093</v>
      </c>
      <c r="C75" s="66">
        <f>COUNTIFS('reductions data'!G:G,'reasons for reduction division'!B75,'reductions data'!A:A,$C$25)</f>
        <v>0</v>
      </c>
      <c r="D75" s="66">
        <f>COUNTIFS('reductions data'!G:G,'reasons for reduction division'!B75,'reductions data'!A:A,$D$25)</f>
        <v>0</v>
      </c>
      <c r="E75" s="66">
        <f>COUNTIFS('reductions data'!G:G,'reasons for reduction division'!B75,'reductions data'!A:A,$E$25)</f>
        <v>0</v>
      </c>
      <c r="F75" s="66">
        <f>COUNTIFS('reductions data'!G:G,'reasons for reduction division'!B75,'reductions data'!A:A,$F$25)</f>
        <v>0</v>
      </c>
      <c r="G75" s="66">
        <f>COUNTIFS('reductions data'!G:G,'reasons for reduction division'!B75,'reductions data'!A:A,$G$25)</f>
        <v>0</v>
      </c>
      <c r="H75" s="66">
        <f>COUNTIFS('reductions data'!G:G,'reasons for reduction division'!B75,'reductions data'!A:A,$H$25)</f>
        <v>0</v>
      </c>
      <c r="I75" s="66">
        <f>COUNTIFS('reductions data'!G:G,'reasons for reduction division'!B75,'reductions data'!A:A,$I$25)</f>
        <v>0</v>
      </c>
      <c r="J75" s="66">
        <f>COUNTIFS('reductions data'!G:G,'reasons for reduction division'!B75,'reductions data'!A:A,$J$25)</f>
        <v>0</v>
      </c>
      <c r="K75" s="66">
        <f>COUNTIFS('reductions data'!G:G,'reasons for reduction division'!B75,'reductions data'!A:A,$K$25)</f>
        <v>0</v>
      </c>
      <c r="L75" s="66">
        <f>COUNTIFS('reductions data'!G:G,'reasons for reduction division'!B75,'reductions data'!A:A,$L$25)</f>
        <v>0</v>
      </c>
      <c r="M75" s="66">
        <f>COUNTIFS('reductions data'!G:G,'reasons for reduction division'!B75,'reductions data'!A:A,$M$25)</f>
        <v>0</v>
      </c>
      <c r="N75" s="66">
        <f>COUNTIFS('reductions data'!G:G,'reasons for reduction division'!B75,'reductions data'!A:A,$N$25)</f>
        <v>0</v>
      </c>
      <c r="O75" s="109">
        <f>COUNTIF('reductions data'!G:G,'reasons for reduction division'!B75)</f>
        <v>0</v>
      </c>
    </row>
    <row r="76" spans="2:15" x14ac:dyDescent="0.15">
      <c r="B76" s="117" t="s">
        <v>1094</v>
      </c>
      <c r="C76" s="66">
        <f>COUNTIFS('reductions data'!G:G,'reasons for reduction division'!B76,'reductions data'!A:A,$C$25)</f>
        <v>0</v>
      </c>
      <c r="D76" s="66">
        <f>COUNTIFS('reductions data'!G:G,'reasons for reduction division'!B76,'reductions data'!A:A,$D$25)</f>
        <v>0</v>
      </c>
      <c r="E76" s="66">
        <f>COUNTIFS('reductions data'!G:G,'reasons for reduction division'!B76,'reductions data'!A:A,$E$25)</f>
        <v>0</v>
      </c>
      <c r="F76" s="66">
        <f>COUNTIFS('reductions data'!G:G,'reasons for reduction division'!B76,'reductions data'!A:A,$F$25)</f>
        <v>0</v>
      </c>
      <c r="G76" s="66">
        <f>COUNTIFS('reductions data'!G:G,'reasons for reduction division'!B76,'reductions data'!A:A,$G$25)</f>
        <v>0</v>
      </c>
      <c r="H76" s="66">
        <f>COUNTIFS('reductions data'!G:G,'reasons for reduction division'!B76,'reductions data'!A:A,$H$25)</f>
        <v>0</v>
      </c>
      <c r="I76" s="66">
        <f>COUNTIFS('reductions data'!G:G,'reasons for reduction division'!B76,'reductions data'!A:A,$I$25)</f>
        <v>0</v>
      </c>
      <c r="J76" s="66">
        <f>COUNTIFS('reductions data'!G:G,'reasons for reduction division'!B76,'reductions data'!A:A,$J$25)</f>
        <v>0</v>
      </c>
      <c r="K76" s="66">
        <f>COUNTIFS('reductions data'!G:G,'reasons for reduction division'!B76,'reductions data'!A:A,$K$25)</f>
        <v>0</v>
      </c>
      <c r="L76" s="66">
        <f>COUNTIFS('reductions data'!G:G,'reasons for reduction division'!B76,'reductions data'!A:A,$L$25)</f>
        <v>0</v>
      </c>
      <c r="M76" s="66">
        <f>COUNTIFS('reductions data'!G:G,'reasons for reduction division'!B76,'reductions data'!A:A,$M$25)</f>
        <v>0</v>
      </c>
      <c r="N76" s="66">
        <f>COUNTIFS('reductions data'!G:G,'reasons for reduction division'!B76,'reductions data'!A:A,$N$25)</f>
        <v>0</v>
      </c>
      <c r="O76" s="109">
        <f>COUNTIF('reductions data'!G:G,'reasons for reduction division'!B76)</f>
        <v>0</v>
      </c>
    </row>
    <row r="77" spans="2:15" x14ac:dyDescent="0.15">
      <c r="B77" s="117" t="s">
        <v>1095</v>
      </c>
      <c r="C77" s="66">
        <f>COUNTIFS('reductions data'!G:G,'reasons for reduction division'!B77,'reductions data'!A:A,$C$25)</f>
        <v>0</v>
      </c>
      <c r="D77" s="66">
        <f>COUNTIFS('reductions data'!G:G,'reasons for reduction division'!B77,'reductions data'!A:A,$D$25)</f>
        <v>0</v>
      </c>
      <c r="E77" s="66">
        <f>COUNTIFS('reductions data'!G:G,'reasons for reduction division'!B77,'reductions data'!A:A,$E$25)</f>
        <v>0</v>
      </c>
      <c r="F77" s="66">
        <f>COUNTIFS('reductions data'!G:G,'reasons for reduction division'!B77,'reductions data'!A:A,$F$25)</f>
        <v>0</v>
      </c>
      <c r="G77" s="66">
        <f>COUNTIFS('reductions data'!G:G,'reasons for reduction division'!B77,'reductions data'!A:A,$G$25)</f>
        <v>0</v>
      </c>
      <c r="H77" s="66">
        <f>COUNTIFS('reductions data'!G:G,'reasons for reduction division'!B77,'reductions data'!A:A,$H$25)</f>
        <v>0</v>
      </c>
      <c r="I77" s="66">
        <f>COUNTIFS('reductions data'!G:G,'reasons for reduction division'!B77,'reductions data'!A:A,$I$25)</f>
        <v>0</v>
      </c>
      <c r="J77" s="66">
        <f>COUNTIFS('reductions data'!G:G,'reasons for reduction division'!B77,'reductions data'!A:A,$J$25)</f>
        <v>0</v>
      </c>
      <c r="K77" s="66">
        <f>COUNTIFS('reductions data'!G:G,'reasons for reduction division'!B77,'reductions data'!A:A,$K$25)</f>
        <v>0</v>
      </c>
      <c r="L77" s="66">
        <f>COUNTIFS('reductions data'!G:G,'reasons for reduction division'!B77,'reductions data'!A:A,$L$25)</f>
        <v>0</v>
      </c>
      <c r="M77" s="66">
        <f>COUNTIFS('reductions data'!G:G,'reasons for reduction division'!B77,'reductions data'!A:A,$M$25)</f>
        <v>0</v>
      </c>
      <c r="N77" s="66">
        <f>COUNTIFS('reductions data'!G:G,'reasons for reduction division'!B77,'reductions data'!A:A,$N$25)</f>
        <v>0</v>
      </c>
      <c r="O77" s="109">
        <f>COUNTIF('reductions data'!G:G,'reasons for reduction division'!B77)</f>
        <v>0</v>
      </c>
    </row>
    <row r="78" spans="2:15" x14ac:dyDescent="0.15">
      <c r="B78" s="117" t="s">
        <v>1096</v>
      </c>
      <c r="C78" s="66">
        <f>COUNTIFS('reductions data'!G:G,'reasons for reduction division'!B78,'reductions data'!A:A,$C$25)</f>
        <v>0</v>
      </c>
      <c r="D78" s="66">
        <f>COUNTIFS('reductions data'!G:G,'reasons for reduction division'!B78,'reductions data'!A:A,$D$25)</f>
        <v>0</v>
      </c>
      <c r="E78" s="66">
        <f>COUNTIFS('reductions data'!G:G,'reasons for reduction division'!B78,'reductions data'!A:A,$E$25)</f>
        <v>0</v>
      </c>
      <c r="F78" s="66">
        <f>COUNTIFS('reductions data'!G:G,'reasons for reduction division'!B78,'reductions data'!A:A,$F$25)</f>
        <v>0</v>
      </c>
      <c r="G78" s="66">
        <f>COUNTIFS('reductions data'!G:G,'reasons for reduction division'!B78,'reductions data'!A:A,$G$25)</f>
        <v>0</v>
      </c>
      <c r="H78" s="66">
        <f>COUNTIFS('reductions data'!G:G,'reasons for reduction division'!B78,'reductions data'!A:A,$H$25)</f>
        <v>0</v>
      </c>
      <c r="I78" s="66">
        <f>COUNTIFS('reductions data'!G:G,'reasons for reduction division'!B78,'reductions data'!A:A,$I$25)</f>
        <v>0</v>
      </c>
      <c r="J78" s="66">
        <f>COUNTIFS('reductions data'!G:G,'reasons for reduction division'!B78,'reductions data'!A:A,$J$25)</f>
        <v>0</v>
      </c>
      <c r="K78" s="66">
        <f>COUNTIFS('reductions data'!G:G,'reasons for reduction division'!B78,'reductions data'!A:A,$K$25)</f>
        <v>0</v>
      </c>
      <c r="L78" s="66">
        <f>COUNTIFS('reductions data'!G:G,'reasons for reduction division'!B78,'reductions data'!A:A,$L$25)</f>
        <v>0</v>
      </c>
      <c r="M78" s="66">
        <f>COUNTIFS('reductions data'!G:G,'reasons for reduction division'!B78,'reductions data'!A:A,$M$25)</f>
        <v>0</v>
      </c>
      <c r="N78" s="66">
        <f>COUNTIFS('reductions data'!G:G,'reasons for reduction division'!B78,'reductions data'!A:A,$N$25)</f>
        <v>0</v>
      </c>
      <c r="O78" s="109">
        <f>COUNTIF('reductions data'!G:G,'reasons for reduction division'!B78)</f>
        <v>0</v>
      </c>
    </row>
    <row r="79" spans="2:15" x14ac:dyDescent="0.15">
      <c r="B79" s="117" t="s">
        <v>1097</v>
      </c>
      <c r="C79" s="66">
        <f>COUNTIFS('reductions data'!G:G,'reasons for reduction division'!B79,'reductions data'!A:A,$C$25)</f>
        <v>0</v>
      </c>
      <c r="D79" s="66">
        <f>COUNTIFS('reductions data'!G:G,'reasons for reduction division'!B79,'reductions data'!A:A,$D$25)</f>
        <v>0</v>
      </c>
      <c r="E79" s="66">
        <f>COUNTIFS('reductions data'!G:G,'reasons for reduction division'!B79,'reductions data'!A:A,$E$25)</f>
        <v>0</v>
      </c>
      <c r="F79" s="66">
        <f>COUNTIFS('reductions data'!G:G,'reasons for reduction division'!B79,'reductions data'!A:A,$F$25)</f>
        <v>0</v>
      </c>
      <c r="G79" s="66">
        <f>COUNTIFS('reductions data'!G:G,'reasons for reduction division'!B79,'reductions data'!A:A,$G$25)</f>
        <v>0</v>
      </c>
      <c r="H79" s="66">
        <f>COUNTIFS('reductions data'!G:G,'reasons for reduction division'!B79,'reductions data'!A:A,$H$25)</f>
        <v>0</v>
      </c>
      <c r="I79" s="66">
        <f>COUNTIFS('reductions data'!G:G,'reasons for reduction division'!B79,'reductions data'!A:A,$I$25)</f>
        <v>0</v>
      </c>
      <c r="J79" s="66">
        <f>COUNTIFS('reductions data'!G:G,'reasons for reduction division'!B79,'reductions data'!A:A,$J$25)</f>
        <v>0</v>
      </c>
      <c r="K79" s="66">
        <f>COUNTIFS('reductions data'!G:G,'reasons for reduction division'!B79,'reductions data'!A:A,$K$25)</f>
        <v>0</v>
      </c>
      <c r="L79" s="66">
        <f>COUNTIFS('reductions data'!G:G,'reasons for reduction division'!B79,'reductions data'!A:A,$L$25)</f>
        <v>0</v>
      </c>
      <c r="M79" s="66">
        <f>COUNTIFS('reductions data'!G:G,'reasons for reduction division'!B79,'reductions data'!A:A,$M$25)</f>
        <v>0</v>
      </c>
      <c r="N79" s="66">
        <f>COUNTIFS('reductions data'!G:G,'reasons for reduction division'!B79,'reductions data'!A:A,$N$25)</f>
        <v>0</v>
      </c>
      <c r="O79" s="109">
        <f>COUNTIF('reductions data'!G:G,'reasons for reduction division'!B79)</f>
        <v>0</v>
      </c>
    </row>
    <row r="80" spans="2:15" x14ac:dyDescent="0.15">
      <c r="B80" s="117" t="s">
        <v>1098</v>
      </c>
      <c r="C80" s="66">
        <f>COUNTIFS('reductions data'!G:G,'reasons for reduction division'!B80,'reductions data'!A:A,$C$25)</f>
        <v>0</v>
      </c>
      <c r="D80" s="66">
        <f>COUNTIFS('reductions data'!G:G,'reasons for reduction division'!B80,'reductions data'!A:A,$D$25)</f>
        <v>0</v>
      </c>
      <c r="E80" s="66">
        <f>COUNTIFS('reductions data'!G:G,'reasons for reduction division'!B80,'reductions data'!A:A,$E$25)</f>
        <v>0</v>
      </c>
      <c r="F80" s="66">
        <f>COUNTIFS('reductions data'!G:G,'reasons for reduction division'!B80,'reductions data'!A:A,$F$25)</f>
        <v>0</v>
      </c>
      <c r="G80" s="66">
        <f>COUNTIFS('reductions data'!G:G,'reasons for reduction division'!B80,'reductions data'!A:A,$G$25)</f>
        <v>0</v>
      </c>
      <c r="H80" s="66">
        <f>COUNTIFS('reductions data'!G:G,'reasons for reduction division'!B80,'reductions data'!A:A,$H$25)</f>
        <v>0</v>
      </c>
      <c r="I80" s="66">
        <f>COUNTIFS('reductions data'!G:G,'reasons for reduction division'!B80,'reductions data'!A:A,$I$25)</f>
        <v>0</v>
      </c>
      <c r="J80" s="66">
        <f>COUNTIFS('reductions data'!G:G,'reasons for reduction division'!B80,'reductions data'!A:A,$J$25)</f>
        <v>0</v>
      </c>
      <c r="K80" s="66">
        <f>COUNTIFS('reductions data'!G:G,'reasons for reduction division'!B80,'reductions data'!A:A,$K$25)</f>
        <v>0</v>
      </c>
      <c r="L80" s="66">
        <f>COUNTIFS('reductions data'!G:G,'reasons for reduction division'!B80,'reductions data'!A:A,$L$25)</f>
        <v>0</v>
      </c>
      <c r="M80" s="66">
        <f>COUNTIFS('reductions data'!G:G,'reasons for reduction division'!B80,'reductions data'!A:A,$M$25)</f>
        <v>0</v>
      </c>
      <c r="N80" s="66">
        <f>COUNTIFS('reductions data'!G:G,'reasons for reduction division'!B80,'reductions data'!A:A,$N$25)</f>
        <v>0</v>
      </c>
      <c r="O80" s="109">
        <f>COUNTIF('reductions data'!G:G,'reasons for reduction division'!B80)</f>
        <v>0</v>
      </c>
    </row>
    <row r="81" spans="2:15" x14ac:dyDescent="0.15">
      <c r="B81" s="189" t="s">
        <v>1127</v>
      </c>
      <c r="C81" s="190">
        <f>COUNTIF('reductions data'!A:A,$C$25)</f>
        <v>0</v>
      </c>
      <c r="D81" s="190">
        <f>COUNTIF('reductions data'!A:A,$D$25)</f>
        <v>0</v>
      </c>
      <c r="E81" s="190">
        <f>COUNTIF('reductions data'!A:A,$E$25)</f>
        <v>0</v>
      </c>
      <c r="F81" s="190">
        <f>COUNTIF('reductions data'!A:A,$F$25)</f>
        <v>0</v>
      </c>
      <c r="G81" s="190">
        <f>COUNTIF('reductions data'!A:A,$G$25)</f>
        <v>0</v>
      </c>
      <c r="H81" s="190">
        <f>COUNTIF('reductions data'!A:A,$H$25)</f>
        <v>0</v>
      </c>
      <c r="I81" s="190">
        <f>COUNTIF('reductions data'!A:A,$I$25)</f>
        <v>0</v>
      </c>
      <c r="J81" s="190">
        <f>COUNTIF('reductions data'!A:A,$J$25)</f>
        <v>0</v>
      </c>
      <c r="K81" s="190">
        <f>COUNTIF('reductions data'!A:A,$K$25)</f>
        <v>0</v>
      </c>
      <c r="L81" s="190">
        <f>COUNTIF('reductions data'!A:A,$L$25)</f>
        <v>0</v>
      </c>
      <c r="M81" s="190">
        <f>COUNTIF('reductions data'!A:A,$M$25)</f>
        <v>0</v>
      </c>
      <c r="N81" s="190">
        <f>COUNTIF('reductions data'!$A:$A,N$25)</f>
        <v>0</v>
      </c>
      <c r="O81" s="109">
        <f>COUNTIF('reductions data'!K:K,"ACTIVE")</f>
        <v>0</v>
      </c>
    </row>
    <row r="82" spans="2:15" x14ac:dyDescent="0.15">
      <c r="B82" s="350"/>
    </row>
    <row r="84" spans="2:15" ht="20" x14ac:dyDescent="0.2">
      <c r="C84" s="523" t="s">
        <v>1361</v>
      </c>
      <c r="D84" s="523"/>
      <c r="E84" s="523"/>
      <c r="F84" s="523"/>
      <c r="G84" s="523"/>
      <c r="H84" s="523"/>
      <c r="I84" s="523"/>
      <c r="J84" s="523"/>
      <c r="K84" s="523"/>
      <c r="L84" s="523"/>
      <c r="M84" s="523"/>
      <c r="N84" s="523"/>
      <c r="O84" s="523"/>
    </row>
    <row r="85" spans="2:15" ht="34.5" customHeight="1" x14ac:dyDescent="0.15">
      <c r="B85" s="80" t="s">
        <v>1047</v>
      </c>
      <c r="C85" s="80" t="s">
        <v>23</v>
      </c>
      <c r="D85" s="80" t="s">
        <v>24</v>
      </c>
      <c r="E85" s="80" t="s">
        <v>25</v>
      </c>
      <c r="F85" s="80" t="s">
        <v>26</v>
      </c>
      <c r="G85" s="80" t="s">
        <v>27</v>
      </c>
      <c r="H85" s="80" t="s">
        <v>28</v>
      </c>
      <c r="I85" s="80" t="s">
        <v>29</v>
      </c>
      <c r="J85" s="80" t="s">
        <v>30</v>
      </c>
      <c r="K85" s="80" t="s">
        <v>31</v>
      </c>
      <c r="L85" s="80" t="s">
        <v>32</v>
      </c>
      <c r="M85" s="80" t="s">
        <v>33</v>
      </c>
      <c r="N85" s="80" t="s">
        <v>34</v>
      </c>
      <c r="O85" s="80" t="s">
        <v>1360</v>
      </c>
    </row>
    <row r="86" spans="2:15" x14ac:dyDescent="0.15">
      <c r="B86" s="116" t="s">
        <v>1050</v>
      </c>
      <c r="C86" s="66">
        <f>SUMIFS('reductions data'!H:H,'reductions data'!G:G,'reasons for reduction division'!B86,'reductions data'!A:A,$C$85)</f>
        <v>0</v>
      </c>
      <c r="D86" s="66">
        <f>SUMIFS('reductions data'!H:H,'reductions data'!G:G,'reasons for reduction division'!B86,'reductions data'!A:A,$D$85)</f>
        <v>0</v>
      </c>
      <c r="E86" s="66">
        <f>SUMIFS('reductions data'!H:H,'reductions data'!G:G,'reasons for reduction division'!B86,'reductions data'!A:A,$E$85)</f>
        <v>0</v>
      </c>
      <c r="F86" s="66">
        <f>SUMIFS('reductions data'!H:H,'reductions data'!G:G,'reasons for reduction division'!B86,'reductions data'!A:A,$F$85)</f>
        <v>0</v>
      </c>
      <c r="G86" s="66">
        <f>SUMIFS('reductions data'!H:H,'reductions data'!G:G,'reasons for reduction division'!B86,'reductions data'!A:A,$G$85)</f>
        <v>0</v>
      </c>
      <c r="H86" s="66">
        <f>SUMIFS('reductions data'!H:H,'reductions data'!G:G,'reasons for reduction division'!B86,'reductions data'!A:A,$H$85)</f>
        <v>0</v>
      </c>
      <c r="I86" s="66">
        <f>SUMIFS('reductions data'!H:H,'reductions data'!G:G,'reasons for reduction division'!B86,'reductions data'!A:A,$I$85)</f>
        <v>0</v>
      </c>
      <c r="J86" s="66">
        <f>SUMIFS('reductions data'!H:H,'reductions data'!G:G,'reasons for reduction division'!B86,'reductions data'!A:A,$J$85)</f>
        <v>0</v>
      </c>
      <c r="K86" s="66">
        <f>SUMIFS('reductions data'!H:H,'reductions data'!G:G,'reasons for reduction division'!B86,'reductions data'!A:A,$K$85)</f>
        <v>0</v>
      </c>
      <c r="L86" s="66">
        <f>SUMIFS('reductions data'!H:H,'reductions data'!G:G,'reasons for reduction division'!B86,'reductions data'!A:A,$L$85)</f>
        <v>0</v>
      </c>
      <c r="M86" s="66">
        <f>SUMIFS('reductions data'!H:H,'reductions data'!G:G,'reasons for reduction division'!B86,'reductions data'!A:A,$M$85)</f>
        <v>0</v>
      </c>
      <c r="N86" s="66">
        <f>SUMIFS('reductions data'!H:H,'reductions data'!G:G,'reasons for reduction division'!B86,'reductions data'!A:A,$N$85)</f>
        <v>0</v>
      </c>
      <c r="O86" s="109">
        <f>SUMIF('reductions data'!G:G,'reasons for reduction division'!B86,'reductions data'!H:H)</f>
        <v>0</v>
      </c>
    </row>
    <row r="87" spans="2:15" x14ac:dyDescent="0.15">
      <c r="B87" s="117" t="s">
        <v>1052</v>
      </c>
      <c r="C87" s="66">
        <f>SUMIFS('reductions data'!H:H,'reductions data'!G:G,'reasons for reduction division'!B87,'reductions data'!A:A,$C$85)</f>
        <v>0</v>
      </c>
      <c r="D87" s="66">
        <f>SUMIFS('reductions data'!H:H,'reductions data'!G:G,'reasons for reduction division'!B87,'reductions data'!A:A,$D$85)</f>
        <v>0</v>
      </c>
      <c r="E87" s="66">
        <f>SUMIFS('reductions data'!H:H,'reductions data'!G:G,'reasons for reduction division'!B87,'reductions data'!A:A,$E$85)</f>
        <v>0</v>
      </c>
      <c r="F87" s="66">
        <f>SUMIFS('reductions data'!H:H,'reductions data'!G:G,'reasons for reduction division'!B87,'reductions data'!A:A,$F$85)</f>
        <v>0</v>
      </c>
      <c r="G87" s="66">
        <f>SUMIFS('reductions data'!H:H,'reductions data'!G:G,'reasons for reduction division'!B87,'reductions data'!A:A,$G$85)</f>
        <v>0</v>
      </c>
      <c r="H87" s="66">
        <f>SUMIFS('reductions data'!H:H,'reductions data'!G:G,'reasons for reduction division'!B87,'reductions data'!A:A,$H$85)</f>
        <v>0</v>
      </c>
      <c r="I87" s="66">
        <f>SUMIFS('reductions data'!H:H,'reductions data'!G:G,'reasons for reduction division'!B87,'reductions data'!A:A,$I$85)</f>
        <v>0</v>
      </c>
      <c r="J87" s="66">
        <f>SUMIFS('reductions data'!H:H,'reductions data'!G:G,'reasons for reduction division'!B87,'reductions data'!A:A,$J$85)</f>
        <v>0</v>
      </c>
      <c r="K87" s="66">
        <f>SUMIFS('reductions data'!H:H,'reductions data'!G:G,'reasons for reduction division'!B87,'reductions data'!A:A,$K$85)</f>
        <v>0</v>
      </c>
      <c r="L87" s="66">
        <f>SUMIFS('reductions data'!H:H,'reductions data'!G:G,'reasons for reduction division'!B87,'reductions data'!A:A,$L$85)</f>
        <v>0</v>
      </c>
      <c r="M87" s="66">
        <f>SUMIFS('reductions data'!H:H,'reductions data'!G:G,'reasons for reduction division'!B87,'reductions data'!A:A,$M$85)</f>
        <v>0</v>
      </c>
      <c r="N87" s="66">
        <f>SUMIFS('reductions data'!H:H,'reductions data'!G:G,'reasons for reduction division'!B87,'reductions data'!A:A,$N$85)</f>
        <v>0</v>
      </c>
      <c r="O87" s="109">
        <f>SUMIF('reductions data'!G:G,'reasons for reduction division'!B87,'reductions data'!H:H)</f>
        <v>0</v>
      </c>
    </row>
    <row r="88" spans="2:15" x14ac:dyDescent="0.15">
      <c r="B88" s="117" t="s">
        <v>1051</v>
      </c>
      <c r="C88" s="66">
        <f>SUMIFS('reductions data'!H:H,'reductions data'!G:G,'reasons for reduction division'!B88,'reductions data'!A:A,$C$85)</f>
        <v>0</v>
      </c>
      <c r="D88" s="66">
        <f>SUMIFS('reductions data'!H:H,'reductions data'!G:G,'reasons for reduction division'!B88,'reductions data'!A:A,$D$85)</f>
        <v>0</v>
      </c>
      <c r="E88" s="66">
        <f>SUMIFS('reductions data'!H:H,'reductions data'!G:G,'reasons for reduction division'!B88,'reductions data'!A:A,$E$85)</f>
        <v>0</v>
      </c>
      <c r="F88" s="66">
        <f>SUMIFS('reductions data'!H:H,'reductions data'!G:G,'reasons for reduction division'!B88,'reductions data'!A:A,$F$85)</f>
        <v>0</v>
      </c>
      <c r="G88" s="66">
        <f>SUMIFS('reductions data'!H:H,'reductions data'!G:G,'reasons for reduction division'!B88,'reductions data'!A:A,$G$85)</f>
        <v>0</v>
      </c>
      <c r="H88" s="66">
        <f>SUMIFS('reductions data'!H:H,'reductions data'!G:G,'reasons for reduction division'!B88,'reductions data'!A:A,$H$85)</f>
        <v>0</v>
      </c>
      <c r="I88" s="66">
        <f>SUMIFS('reductions data'!H:H,'reductions data'!G:G,'reasons for reduction division'!B88,'reductions data'!A:A,$I$85)</f>
        <v>0</v>
      </c>
      <c r="J88" s="66">
        <f>SUMIFS('reductions data'!H:H,'reductions data'!G:G,'reasons for reduction division'!B88,'reductions data'!A:A,$J$85)</f>
        <v>0</v>
      </c>
      <c r="K88" s="66">
        <f>SUMIFS('reductions data'!H:H,'reductions data'!G:G,'reasons for reduction division'!B88,'reductions data'!A:A,$K$85)</f>
        <v>0</v>
      </c>
      <c r="L88" s="66">
        <f>SUMIFS('reductions data'!H:H,'reductions data'!G:G,'reasons for reduction division'!B88,'reductions data'!A:A,$L$85)</f>
        <v>0</v>
      </c>
      <c r="M88" s="66">
        <f>SUMIFS('reductions data'!H:H,'reductions data'!G:G,'reasons for reduction division'!B88,'reductions data'!A:A,$M$85)</f>
        <v>0</v>
      </c>
      <c r="N88" s="66">
        <f>SUMIFS('reductions data'!H:H,'reductions data'!G:G,'reasons for reduction division'!B88,'reductions data'!A:A,$N$85)</f>
        <v>0</v>
      </c>
      <c r="O88" s="109">
        <f>SUMIF('reductions data'!G:G,'reasons for reduction division'!B88,'reductions data'!H:H)</f>
        <v>0</v>
      </c>
    </row>
    <row r="89" spans="2:15" x14ac:dyDescent="0.15">
      <c r="B89" s="117" t="s">
        <v>1053</v>
      </c>
      <c r="C89" s="66">
        <f>SUMIFS('reductions data'!H:H,'reductions data'!G:G,'reasons for reduction division'!B89,'reductions data'!A:A,$C$85)</f>
        <v>0</v>
      </c>
      <c r="D89" s="66">
        <f>SUMIFS('reductions data'!H:H,'reductions data'!G:G,'reasons for reduction division'!B89,'reductions data'!A:A,$D$85)</f>
        <v>0</v>
      </c>
      <c r="E89" s="66">
        <f>SUMIFS('reductions data'!H:H,'reductions data'!G:G,'reasons for reduction division'!B89,'reductions data'!A:A,$E$85)</f>
        <v>0</v>
      </c>
      <c r="F89" s="66">
        <f>SUMIFS('reductions data'!H:H,'reductions data'!G:G,'reasons for reduction division'!B89,'reductions data'!A:A,$F$85)</f>
        <v>0</v>
      </c>
      <c r="G89" s="66">
        <f>SUMIFS('reductions data'!H:H,'reductions data'!G:G,'reasons for reduction division'!B89,'reductions data'!A:A,$G$85)</f>
        <v>0</v>
      </c>
      <c r="H89" s="66">
        <f>SUMIFS('reductions data'!H:H,'reductions data'!G:G,'reasons for reduction division'!B89,'reductions data'!A:A,$H$85)</f>
        <v>0</v>
      </c>
      <c r="I89" s="66">
        <f>SUMIFS('reductions data'!H:H,'reductions data'!G:G,'reasons for reduction division'!B89,'reductions data'!A:A,$I$85)</f>
        <v>0</v>
      </c>
      <c r="J89" s="66">
        <f>SUMIFS('reductions data'!H:H,'reductions data'!G:G,'reasons for reduction division'!B89,'reductions data'!A:A,$J$85)</f>
        <v>0</v>
      </c>
      <c r="K89" s="66">
        <f>SUMIFS('reductions data'!H:H,'reductions data'!G:G,'reasons for reduction division'!B89,'reductions data'!A:A,$K$85)</f>
        <v>0</v>
      </c>
      <c r="L89" s="66">
        <f>SUMIFS('reductions data'!H:H,'reductions data'!G:G,'reasons for reduction division'!B89,'reductions data'!A:A,$L$85)</f>
        <v>0</v>
      </c>
      <c r="M89" s="66">
        <f>SUMIFS('reductions data'!H:H,'reductions data'!G:G,'reasons for reduction division'!B89,'reductions data'!A:A,$M$85)</f>
        <v>0</v>
      </c>
      <c r="N89" s="66">
        <f>SUMIFS('reductions data'!H:H,'reductions data'!G:G,'reasons for reduction division'!B89,'reductions data'!A:A,$N$85)</f>
        <v>0</v>
      </c>
      <c r="O89" s="109">
        <f>SUMIF('reductions data'!G:G,'reasons for reduction division'!B89,'reductions data'!H:H)</f>
        <v>0</v>
      </c>
    </row>
    <row r="90" spans="2:15" x14ac:dyDescent="0.15">
      <c r="B90" s="117" t="s">
        <v>1054</v>
      </c>
      <c r="C90" s="66">
        <f>SUMIFS('reductions data'!H:H,'reductions data'!G:G,'reasons for reduction division'!B90,'reductions data'!A:A,$C$85)</f>
        <v>0</v>
      </c>
      <c r="D90" s="66">
        <f>SUMIFS('reductions data'!H:H,'reductions data'!G:G,'reasons for reduction division'!B90,'reductions data'!A:A,$D$85)</f>
        <v>0</v>
      </c>
      <c r="E90" s="66">
        <f>SUMIFS('reductions data'!H:H,'reductions data'!G:G,'reasons for reduction division'!B90,'reductions data'!A:A,$E$85)</f>
        <v>0</v>
      </c>
      <c r="F90" s="66">
        <f>SUMIFS('reductions data'!H:H,'reductions data'!G:G,'reasons for reduction division'!B90,'reductions data'!A:A,$F$85)</f>
        <v>0</v>
      </c>
      <c r="G90" s="66">
        <f>SUMIFS('reductions data'!H:H,'reductions data'!G:G,'reasons for reduction division'!B90,'reductions data'!A:A,$G$85)</f>
        <v>0</v>
      </c>
      <c r="H90" s="66">
        <f>SUMIFS('reductions data'!H:H,'reductions data'!G:G,'reasons for reduction division'!B90,'reductions data'!A:A,$H$85)</f>
        <v>0</v>
      </c>
      <c r="I90" s="66">
        <f>SUMIFS('reductions data'!H:H,'reductions data'!G:G,'reasons for reduction division'!B90,'reductions data'!A:A,$I$85)</f>
        <v>0</v>
      </c>
      <c r="J90" s="66">
        <f>SUMIFS('reductions data'!H:H,'reductions data'!G:G,'reasons for reduction division'!B90,'reductions data'!A:A,$J$85)</f>
        <v>0</v>
      </c>
      <c r="K90" s="66">
        <f>SUMIFS('reductions data'!H:H,'reductions data'!G:G,'reasons for reduction division'!B90,'reductions data'!A:A,$K$85)</f>
        <v>0</v>
      </c>
      <c r="L90" s="66">
        <f>SUMIFS('reductions data'!H:H,'reductions data'!G:G,'reasons for reduction division'!B90,'reductions data'!A:A,$L$85)</f>
        <v>0</v>
      </c>
      <c r="M90" s="66">
        <f>SUMIFS('reductions data'!H:H,'reductions data'!G:G,'reasons for reduction division'!B90,'reductions data'!A:A,$M$85)</f>
        <v>0</v>
      </c>
      <c r="N90" s="66">
        <f>SUMIFS('reductions data'!H:H,'reductions data'!G:G,'reasons for reduction division'!B90,'reductions data'!A:A,$N$85)</f>
        <v>0</v>
      </c>
      <c r="O90" s="109">
        <f>SUMIF('reductions data'!G:G,'reasons for reduction division'!B90,'reductions data'!H:H)</f>
        <v>0</v>
      </c>
    </row>
    <row r="91" spans="2:15" x14ac:dyDescent="0.15">
      <c r="B91" s="117" t="s">
        <v>1055</v>
      </c>
      <c r="C91" s="66">
        <f>SUMIFS('reductions data'!H:H,'reductions data'!G:G,'reasons for reduction division'!B91,'reductions data'!A:A,$C$85)</f>
        <v>0</v>
      </c>
      <c r="D91" s="66">
        <f>SUMIFS('reductions data'!H:H,'reductions data'!G:G,'reasons for reduction division'!B91,'reductions data'!A:A,$D$85)</f>
        <v>0</v>
      </c>
      <c r="E91" s="66">
        <f>SUMIFS('reductions data'!H:H,'reductions data'!G:G,'reasons for reduction division'!B91,'reductions data'!A:A,$E$85)</f>
        <v>0</v>
      </c>
      <c r="F91" s="66">
        <f>SUMIFS('reductions data'!H:H,'reductions data'!G:G,'reasons for reduction division'!B91,'reductions data'!A:A,$F$85)</f>
        <v>0</v>
      </c>
      <c r="G91" s="66">
        <f>SUMIFS('reductions data'!H:H,'reductions data'!G:G,'reasons for reduction division'!B91,'reductions data'!A:A,$G$85)</f>
        <v>0</v>
      </c>
      <c r="H91" s="66">
        <f>SUMIFS('reductions data'!H:H,'reductions data'!G:G,'reasons for reduction division'!B91,'reductions data'!A:A,$H$85)</f>
        <v>0</v>
      </c>
      <c r="I91" s="66">
        <f>SUMIFS('reductions data'!H:H,'reductions data'!G:G,'reasons for reduction division'!B91,'reductions data'!A:A,$I$85)</f>
        <v>0</v>
      </c>
      <c r="J91" s="66">
        <f>SUMIFS('reductions data'!H:H,'reductions data'!G:G,'reasons for reduction division'!B91,'reductions data'!A:A,$J$85)</f>
        <v>0</v>
      </c>
      <c r="K91" s="66">
        <f>SUMIFS('reductions data'!H:H,'reductions data'!G:G,'reasons for reduction division'!B91,'reductions data'!A:A,$K$85)</f>
        <v>0</v>
      </c>
      <c r="L91" s="66">
        <f>SUMIFS('reductions data'!H:H,'reductions data'!G:G,'reasons for reduction division'!B91,'reductions data'!A:A,$L$85)</f>
        <v>0</v>
      </c>
      <c r="M91" s="66">
        <f>SUMIFS('reductions data'!H:H,'reductions data'!G:G,'reasons for reduction division'!B91,'reductions data'!A:A,$M$85)</f>
        <v>0</v>
      </c>
      <c r="N91" s="66">
        <f>SUMIFS('reductions data'!H:H,'reductions data'!G:G,'reasons for reduction division'!B91,'reductions data'!A:A,$N$85)</f>
        <v>0</v>
      </c>
      <c r="O91" s="109">
        <f>SUMIF('reductions data'!G:G,'reasons for reduction division'!B91,'reductions data'!H:H)</f>
        <v>0</v>
      </c>
    </row>
    <row r="92" spans="2:15" x14ac:dyDescent="0.15">
      <c r="B92" s="117" t="s">
        <v>1056</v>
      </c>
      <c r="C92" s="66">
        <f>SUMIFS('reductions data'!H:H,'reductions data'!G:G,'reasons for reduction division'!B92,'reductions data'!A:A,$C$85)</f>
        <v>0</v>
      </c>
      <c r="D92" s="66">
        <f>SUMIFS('reductions data'!H:H,'reductions data'!G:G,'reasons for reduction division'!B92,'reductions data'!A:A,$D$85)</f>
        <v>0</v>
      </c>
      <c r="E92" s="66">
        <f>SUMIFS('reductions data'!H:H,'reductions data'!G:G,'reasons for reduction division'!B92,'reductions data'!A:A,$E$85)</f>
        <v>0</v>
      </c>
      <c r="F92" s="66">
        <f>SUMIFS('reductions data'!H:H,'reductions data'!G:G,'reasons for reduction division'!B92,'reductions data'!A:A,$F$85)</f>
        <v>0</v>
      </c>
      <c r="G92" s="66">
        <f>SUMIFS('reductions data'!H:H,'reductions data'!G:G,'reasons for reduction division'!B92,'reductions data'!A:A,$G$85)</f>
        <v>0</v>
      </c>
      <c r="H92" s="66">
        <f>SUMIFS('reductions data'!H:H,'reductions data'!G:G,'reasons for reduction division'!B92,'reductions data'!A:A,$H$85)</f>
        <v>0</v>
      </c>
      <c r="I92" s="66">
        <f>SUMIFS('reductions data'!H:H,'reductions data'!G:G,'reasons for reduction division'!B92,'reductions data'!A:A,$I$85)</f>
        <v>0</v>
      </c>
      <c r="J92" s="66">
        <f>SUMIFS('reductions data'!H:H,'reductions data'!G:G,'reasons for reduction division'!B92,'reductions data'!A:A,$J$85)</f>
        <v>0</v>
      </c>
      <c r="K92" s="66">
        <f>SUMIFS('reductions data'!H:H,'reductions data'!G:G,'reasons for reduction division'!B92,'reductions data'!A:A,$K$85)</f>
        <v>0</v>
      </c>
      <c r="L92" s="66">
        <f>SUMIFS('reductions data'!H:H,'reductions data'!G:G,'reasons for reduction division'!B92,'reductions data'!A:A,$L$85)</f>
        <v>0</v>
      </c>
      <c r="M92" s="66">
        <f>SUMIFS('reductions data'!H:H,'reductions data'!G:G,'reasons for reduction division'!B92,'reductions data'!A:A,$M$85)</f>
        <v>0</v>
      </c>
      <c r="N92" s="66">
        <f>SUMIFS('reductions data'!H:H,'reductions data'!G:G,'reasons for reduction division'!B92,'reductions data'!A:A,$N$85)</f>
        <v>0</v>
      </c>
      <c r="O92" s="109">
        <f>SUMIF('reductions data'!G:G,'reasons for reduction division'!B92,'reductions data'!H:H)</f>
        <v>0</v>
      </c>
    </row>
    <row r="93" spans="2:15" x14ac:dyDescent="0.15">
      <c r="B93" s="117" t="s">
        <v>1057</v>
      </c>
      <c r="C93" s="66">
        <f>SUMIFS('reductions data'!H:H,'reductions data'!G:G,'reasons for reduction division'!B93,'reductions data'!A:A,$C$85)</f>
        <v>0</v>
      </c>
      <c r="D93" s="66">
        <f>SUMIFS('reductions data'!H:H,'reductions data'!G:G,'reasons for reduction division'!B93,'reductions data'!A:A,$D$85)</f>
        <v>0</v>
      </c>
      <c r="E93" s="66">
        <f>SUMIFS('reductions data'!H:H,'reductions data'!G:G,'reasons for reduction division'!B93,'reductions data'!A:A,$E$85)</f>
        <v>0</v>
      </c>
      <c r="F93" s="66">
        <f>SUMIFS('reductions data'!H:H,'reductions data'!G:G,'reasons for reduction division'!B93,'reductions data'!A:A,$F$85)</f>
        <v>0</v>
      </c>
      <c r="G93" s="66">
        <f>SUMIFS('reductions data'!H:H,'reductions data'!G:G,'reasons for reduction division'!B93,'reductions data'!A:A,$G$85)</f>
        <v>0</v>
      </c>
      <c r="H93" s="66">
        <f>SUMIFS('reductions data'!H:H,'reductions data'!G:G,'reasons for reduction division'!B93,'reductions data'!A:A,$H$85)</f>
        <v>0</v>
      </c>
      <c r="I93" s="66">
        <f>SUMIFS('reductions data'!H:H,'reductions data'!G:G,'reasons for reduction division'!B93,'reductions data'!A:A,$I$85)</f>
        <v>0</v>
      </c>
      <c r="J93" s="66">
        <f>SUMIFS('reductions data'!H:H,'reductions data'!G:G,'reasons for reduction division'!B93,'reductions data'!A:A,$J$85)</f>
        <v>0</v>
      </c>
      <c r="K93" s="66">
        <f>SUMIFS('reductions data'!H:H,'reductions data'!G:G,'reasons for reduction division'!B93,'reductions data'!A:A,$K$85)</f>
        <v>0</v>
      </c>
      <c r="L93" s="66">
        <f>SUMIFS('reductions data'!H:H,'reductions data'!G:G,'reasons for reduction division'!B93,'reductions data'!A:A,$L$85)</f>
        <v>0</v>
      </c>
      <c r="M93" s="66">
        <f>SUMIFS('reductions data'!H:H,'reductions data'!G:G,'reasons for reduction division'!B93,'reductions data'!A:A,$M$85)</f>
        <v>0</v>
      </c>
      <c r="N93" s="66">
        <f>SUMIFS('reductions data'!H:H,'reductions data'!G:G,'reasons for reduction division'!B93,'reductions data'!A:A,$N$85)</f>
        <v>0</v>
      </c>
      <c r="O93" s="109">
        <f>SUMIF('reductions data'!G:G,'reasons for reduction division'!B93,'reductions data'!H:H)</f>
        <v>0</v>
      </c>
    </row>
    <row r="94" spans="2:15" x14ac:dyDescent="0.15">
      <c r="B94" s="117" t="s">
        <v>1058</v>
      </c>
      <c r="C94" s="66">
        <f>SUMIFS('reductions data'!H:H,'reductions data'!G:G,'reasons for reduction division'!B94,'reductions data'!A:A,$C$85)</f>
        <v>0</v>
      </c>
      <c r="D94" s="66">
        <f>SUMIFS('reductions data'!H:H,'reductions data'!G:G,'reasons for reduction division'!B94,'reductions data'!A:A,$D$85)</f>
        <v>0</v>
      </c>
      <c r="E94" s="66">
        <f>SUMIFS('reductions data'!H:H,'reductions data'!G:G,'reasons for reduction division'!B94,'reductions data'!A:A,$E$85)</f>
        <v>0</v>
      </c>
      <c r="F94" s="66">
        <f>SUMIFS('reductions data'!H:H,'reductions data'!G:G,'reasons for reduction division'!B94,'reductions data'!A:A,$F$85)</f>
        <v>0</v>
      </c>
      <c r="G94" s="66">
        <f>SUMIFS('reductions data'!H:H,'reductions data'!G:G,'reasons for reduction division'!B94,'reductions data'!A:A,$G$85)</f>
        <v>0</v>
      </c>
      <c r="H94" s="66">
        <f>SUMIFS('reductions data'!H:H,'reductions data'!G:G,'reasons for reduction division'!B94,'reductions data'!A:A,$H$85)</f>
        <v>0</v>
      </c>
      <c r="I94" s="66">
        <f>SUMIFS('reductions data'!H:H,'reductions data'!G:G,'reasons for reduction division'!B94,'reductions data'!A:A,$I$85)</f>
        <v>0</v>
      </c>
      <c r="J94" s="66">
        <f>SUMIFS('reductions data'!H:H,'reductions data'!G:G,'reasons for reduction division'!B94,'reductions data'!A:A,$J$85)</f>
        <v>0</v>
      </c>
      <c r="K94" s="66">
        <f>SUMIFS('reductions data'!H:H,'reductions data'!G:G,'reasons for reduction division'!B94,'reductions data'!A:A,$K$85)</f>
        <v>0</v>
      </c>
      <c r="L94" s="66">
        <f>SUMIFS('reductions data'!H:H,'reductions data'!G:G,'reasons for reduction division'!B94,'reductions data'!A:A,$L$85)</f>
        <v>0</v>
      </c>
      <c r="M94" s="66">
        <f>SUMIFS('reductions data'!H:H,'reductions data'!G:G,'reasons for reduction division'!B94,'reductions data'!A:A,$M$85)</f>
        <v>0</v>
      </c>
      <c r="N94" s="66">
        <f>SUMIFS('reductions data'!H:H,'reductions data'!G:G,'reasons for reduction division'!B94,'reductions data'!A:A,$N$85)</f>
        <v>0</v>
      </c>
      <c r="O94" s="109">
        <f>SUMIF('reductions data'!G:G,'reasons for reduction division'!B94,'reductions data'!H:H)</f>
        <v>0</v>
      </c>
    </row>
    <row r="95" spans="2:15" x14ac:dyDescent="0.15">
      <c r="B95" s="117" t="s">
        <v>1059</v>
      </c>
      <c r="C95" s="66">
        <f>SUMIFS('reductions data'!H:H,'reductions data'!G:G,'reasons for reduction division'!B95,'reductions data'!A:A,$C$85)</f>
        <v>0</v>
      </c>
      <c r="D95" s="66">
        <f>SUMIFS('reductions data'!H:H,'reductions data'!G:G,'reasons for reduction division'!B95,'reductions data'!A:A,$D$85)</f>
        <v>0</v>
      </c>
      <c r="E95" s="66">
        <f>SUMIFS('reductions data'!H:H,'reductions data'!G:G,'reasons for reduction division'!B95,'reductions data'!A:A,$E$85)</f>
        <v>0</v>
      </c>
      <c r="F95" s="66">
        <f>SUMIFS('reductions data'!H:H,'reductions data'!G:G,'reasons for reduction division'!B95,'reductions data'!A:A,$F$85)</f>
        <v>0</v>
      </c>
      <c r="G95" s="66">
        <f>SUMIFS('reductions data'!H:H,'reductions data'!G:G,'reasons for reduction division'!B95,'reductions data'!A:A,$G$85)</f>
        <v>0</v>
      </c>
      <c r="H95" s="66">
        <f>SUMIFS('reductions data'!H:H,'reductions data'!G:G,'reasons for reduction division'!B95,'reductions data'!A:A,$H$85)</f>
        <v>0</v>
      </c>
      <c r="I95" s="66">
        <f>SUMIFS('reductions data'!H:H,'reductions data'!G:G,'reasons for reduction division'!B95,'reductions data'!A:A,$I$85)</f>
        <v>0</v>
      </c>
      <c r="J95" s="66">
        <f>SUMIFS('reductions data'!H:H,'reductions data'!G:G,'reasons for reduction division'!B95,'reductions data'!A:A,$J$85)</f>
        <v>0</v>
      </c>
      <c r="K95" s="66">
        <f>SUMIFS('reductions data'!H:H,'reductions data'!G:G,'reasons for reduction division'!B95,'reductions data'!A:A,$K$85)</f>
        <v>0</v>
      </c>
      <c r="L95" s="66">
        <f>SUMIFS('reductions data'!H:H,'reductions data'!G:G,'reasons for reduction division'!B95,'reductions data'!A:A,$L$85)</f>
        <v>0</v>
      </c>
      <c r="M95" s="66">
        <f>SUMIFS('reductions data'!H:H,'reductions data'!G:G,'reasons for reduction division'!B95,'reductions data'!A:A,$M$85)</f>
        <v>0</v>
      </c>
      <c r="N95" s="66">
        <f>SUMIFS('reductions data'!H:H,'reductions data'!G:G,'reasons for reduction division'!B95,'reductions data'!A:A,$N$85)</f>
        <v>0</v>
      </c>
      <c r="O95" s="109">
        <f>SUMIF('reductions data'!G:G,'reasons for reduction division'!B95,'reductions data'!H:H)</f>
        <v>0</v>
      </c>
    </row>
    <row r="96" spans="2:15" x14ac:dyDescent="0.15">
      <c r="B96" s="117" t="s">
        <v>1060</v>
      </c>
      <c r="C96" s="66">
        <f>SUMIFS('reductions data'!H:H,'reductions data'!G:G,'reasons for reduction division'!B96,'reductions data'!A:A,$C$85)</f>
        <v>0</v>
      </c>
      <c r="D96" s="66">
        <f>SUMIFS('reductions data'!H:H,'reductions data'!G:G,'reasons for reduction division'!B96,'reductions data'!A:A,$D$85)</f>
        <v>0</v>
      </c>
      <c r="E96" s="66">
        <f>SUMIFS('reductions data'!H:H,'reductions data'!G:G,'reasons for reduction division'!B96,'reductions data'!A:A,$E$85)</f>
        <v>0</v>
      </c>
      <c r="F96" s="66">
        <f>SUMIFS('reductions data'!H:H,'reductions data'!G:G,'reasons for reduction division'!B96,'reductions data'!A:A,$F$85)</f>
        <v>0</v>
      </c>
      <c r="G96" s="66">
        <f>SUMIFS('reductions data'!H:H,'reductions data'!G:G,'reasons for reduction division'!B96,'reductions data'!A:A,$G$85)</f>
        <v>0</v>
      </c>
      <c r="H96" s="66">
        <f>SUMIFS('reductions data'!H:H,'reductions data'!G:G,'reasons for reduction division'!B96,'reductions data'!A:A,$H$85)</f>
        <v>0</v>
      </c>
      <c r="I96" s="66">
        <f>SUMIFS('reductions data'!H:H,'reductions data'!G:G,'reasons for reduction division'!B96,'reductions data'!A:A,$I$85)</f>
        <v>0</v>
      </c>
      <c r="J96" s="66">
        <f>SUMIFS('reductions data'!H:H,'reductions data'!G:G,'reasons for reduction division'!B96,'reductions data'!A:A,$J$85)</f>
        <v>0</v>
      </c>
      <c r="K96" s="66">
        <f>SUMIFS('reductions data'!H:H,'reductions data'!G:G,'reasons for reduction division'!B96,'reductions data'!A:A,$K$85)</f>
        <v>0</v>
      </c>
      <c r="L96" s="66">
        <f>SUMIFS('reductions data'!H:H,'reductions data'!G:G,'reasons for reduction division'!B96,'reductions data'!A:A,$L$85)</f>
        <v>0</v>
      </c>
      <c r="M96" s="66">
        <f>SUMIFS('reductions data'!H:H,'reductions data'!G:G,'reasons for reduction division'!B96,'reductions data'!A:A,$M$85)</f>
        <v>0</v>
      </c>
      <c r="N96" s="66">
        <f>SUMIFS('reductions data'!H:H,'reductions data'!G:G,'reasons for reduction division'!B96,'reductions data'!A:A,$N$85)</f>
        <v>0</v>
      </c>
      <c r="O96" s="109">
        <f>SUMIF('reductions data'!G:G,'reasons for reduction division'!B96,'reductions data'!H:H)</f>
        <v>0</v>
      </c>
    </row>
    <row r="97" spans="2:15" x14ac:dyDescent="0.15">
      <c r="B97" s="117" t="s">
        <v>1061</v>
      </c>
      <c r="C97" s="66">
        <f>SUMIFS('reductions data'!H:H,'reductions data'!G:G,'reasons for reduction division'!B97,'reductions data'!A:A,$C$85)</f>
        <v>0</v>
      </c>
      <c r="D97" s="66">
        <f>SUMIFS('reductions data'!H:H,'reductions data'!G:G,'reasons for reduction division'!B97,'reductions data'!A:A,$D$85)</f>
        <v>0</v>
      </c>
      <c r="E97" s="66">
        <f>SUMIFS('reductions data'!H:H,'reductions data'!G:G,'reasons for reduction division'!B97,'reductions data'!A:A,$E$85)</f>
        <v>0</v>
      </c>
      <c r="F97" s="66">
        <f>SUMIFS('reductions data'!H:H,'reductions data'!G:G,'reasons for reduction division'!B97,'reductions data'!A:A,$F$85)</f>
        <v>0</v>
      </c>
      <c r="G97" s="66">
        <f>SUMIFS('reductions data'!H:H,'reductions data'!G:G,'reasons for reduction division'!B97,'reductions data'!A:A,$G$85)</f>
        <v>0</v>
      </c>
      <c r="H97" s="66">
        <f>SUMIFS('reductions data'!H:H,'reductions data'!G:G,'reasons for reduction division'!B97,'reductions data'!A:A,$H$85)</f>
        <v>0</v>
      </c>
      <c r="I97" s="66">
        <f>SUMIFS('reductions data'!H:H,'reductions data'!G:G,'reasons for reduction division'!B97,'reductions data'!A:A,$I$85)</f>
        <v>0</v>
      </c>
      <c r="J97" s="66">
        <f>SUMIFS('reductions data'!H:H,'reductions data'!G:G,'reasons for reduction division'!B97,'reductions data'!A:A,$J$85)</f>
        <v>0</v>
      </c>
      <c r="K97" s="66">
        <f>SUMIFS('reductions data'!H:H,'reductions data'!G:G,'reasons for reduction division'!B97,'reductions data'!A:A,$K$85)</f>
        <v>0</v>
      </c>
      <c r="L97" s="66">
        <f>SUMIFS('reductions data'!H:H,'reductions data'!G:G,'reasons for reduction division'!B97,'reductions data'!A:A,$L$85)</f>
        <v>0</v>
      </c>
      <c r="M97" s="66">
        <f>SUMIFS('reductions data'!H:H,'reductions data'!G:G,'reasons for reduction division'!B97,'reductions data'!A:A,$M$85)</f>
        <v>0</v>
      </c>
      <c r="N97" s="66">
        <f>SUMIFS('reductions data'!H:H,'reductions data'!G:G,'reasons for reduction division'!B97,'reductions data'!A:A,$N$85)</f>
        <v>0</v>
      </c>
      <c r="O97" s="109">
        <f>SUMIF('reductions data'!G:G,'reasons for reduction division'!B97,'reductions data'!H:H)</f>
        <v>0</v>
      </c>
    </row>
    <row r="98" spans="2:15" x14ac:dyDescent="0.15">
      <c r="B98" s="117" t="s">
        <v>1063</v>
      </c>
      <c r="C98" s="66">
        <f>SUMIFS('reductions data'!H:H,'reductions data'!G:G,'reasons for reduction division'!B98,'reductions data'!A:A,$C$85)</f>
        <v>0</v>
      </c>
      <c r="D98" s="66">
        <f>SUMIFS('reductions data'!H:H,'reductions data'!G:G,'reasons for reduction division'!B98,'reductions data'!A:A,$D$85)</f>
        <v>0</v>
      </c>
      <c r="E98" s="66">
        <f>SUMIFS('reductions data'!H:H,'reductions data'!G:G,'reasons for reduction division'!B98,'reductions data'!A:A,$E$85)</f>
        <v>0</v>
      </c>
      <c r="F98" s="66">
        <f>SUMIFS('reductions data'!H:H,'reductions data'!G:G,'reasons for reduction division'!B98,'reductions data'!A:A,$F$85)</f>
        <v>0</v>
      </c>
      <c r="G98" s="66">
        <f>SUMIFS('reductions data'!H:H,'reductions data'!G:G,'reasons for reduction division'!B98,'reductions data'!A:A,$G$85)</f>
        <v>0</v>
      </c>
      <c r="H98" s="66">
        <f>SUMIFS('reductions data'!H:H,'reductions data'!G:G,'reasons for reduction division'!B98,'reductions data'!A:A,$H$85)</f>
        <v>0</v>
      </c>
      <c r="I98" s="66">
        <f>SUMIFS('reductions data'!H:H,'reductions data'!G:G,'reasons for reduction division'!B98,'reductions data'!A:A,$I$85)</f>
        <v>0</v>
      </c>
      <c r="J98" s="66">
        <f>SUMIFS('reductions data'!H:H,'reductions data'!G:G,'reasons for reduction division'!B98,'reductions data'!A:A,$J$85)</f>
        <v>0</v>
      </c>
      <c r="K98" s="66">
        <f>SUMIFS('reductions data'!H:H,'reductions data'!G:G,'reasons for reduction division'!B98,'reductions data'!A:A,$K$85)</f>
        <v>0</v>
      </c>
      <c r="L98" s="66">
        <f>SUMIFS('reductions data'!H:H,'reductions data'!G:G,'reasons for reduction division'!B98,'reductions data'!A:A,$L$85)</f>
        <v>0</v>
      </c>
      <c r="M98" s="66">
        <f>SUMIFS('reductions data'!H:H,'reductions data'!G:G,'reasons for reduction division'!B98,'reductions data'!A:A,$M$85)</f>
        <v>0</v>
      </c>
      <c r="N98" s="66">
        <f>SUMIFS('reductions data'!H:H,'reductions data'!G:G,'reasons for reduction division'!B98,'reductions data'!A:A,$N$85)</f>
        <v>0</v>
      </c>
      <c r="O98" s="109">
        <f>SUMIF('reductions data'!G:G,'reasons for reduction division'!B98,'reductions data'!H:H)</f>
        <v>0</v>
      </c>
    </row>
    <row r="99" spans="2:15" x14ac:dyDescent="0.15">
      <c r="B99" s="117" t="s">
        <v>1066</v>
      </c>
      <c r="C99" s="66">
        <f>SUMIFS('reductions data'!H:H,'reductions data'!G:G,'reasons for reduction division'!B99,'reductions data'!A:A,$C$85)</f>
        <v>0</v>
      </c>
      <c r="D99" s="66">
        <f>SUMIFS('reductions data'!H:H,'reductions data'!G:G,'reasons for reduction division'!B99,'reductions data'!A:A,$D$85)</f>
        <v>0</v>
      </c>
      <c r="E99" s="66">
        <f>SUMIFS('reductions data'!H:H,'reductions data'!G:G,'reasons for reduction division'!B99,'reductions data'!A:A,$E$85)</f>
        <v>0</v>
      </c>
      <c r="F99" s="66">
        <f>SUMIFS('reductions data'!H:H,'reductions data'!G:G,'reasons for reduction division'!B99,'reductions data'!A:A,$F$85)</f>
        <v>0</v>
      </c>
      <c r="G99" s="66">
        <f>SUMIFS('reductions data'!H:H,'reductions data'!G:G,'reasons for reduction division'!B99,'reductions data'!A:A,$G$85)</f>
        <v>0</v>
      </c>
      <c r="H99" s="66">
        <f>SUMIFS('reductions data'!H:H,'reductions data'!G:G,'reasons for reduction division'!B99,'reductions data'!A:A,$H$85)</f>
        <v>0</v>
      </c>
      <c r="I99" s="66">
        <f>SUMIFS('reductions data'!H:H,'reductions data'!G:G,'reasons for reduction division'!B99,'reductions data'!A:A,$I$85)</f>
        <v>0</v>
      </c>
      <c r="J99" s="66">
        <f>SUMIFS('reductions data'!H:H,'reductions data'!G:G,'reasons for reduction division'!B99,'reductions data'!A:A,$J$85)</f>
        <v>0</v>
      </c>
      <c r="K99" s="66">
        <f>SUMIFS('reductions data'!H:H,'reductions data'!G:G,'reasons for reduction division'!B99,'reductions data'!A:A,$K$85)</f>
        <v>0</v>
      </c>
      <c r="L99" s="66">
        <f>SUMIFS('reductions data'!H:H,'reductions data'!G:G,'reasons for reduction division'!B99,'reductions data'!A:A,$L$85)</f>
        <v>0</v>
      </c>
      <c r="M99" s="66">
        <f>SUMIFS('reductions data'!H:H,'reductions data'!G:G,'reasons for reduction division'!B99,'reductions data'!A:A,$M$85)</f>
        <v>0</v>
      </c>
      <c r="N99" s="66">
        <f>SUMIFS('reductions data'!H:H,'reductions data'!G:G,'reasons for reduction division'!B99,'reductions data'!A:A,$N$85)</f>
        <v>0</v>
      </c>
      <c r="O99" s="109">
        <f>SUMIF('reductions data'!G:G,'reasons for reduction division'!B99,'reductions data'!H:H)</f>
        <v>0</v>
      </c>
    </row>
    <row r="100" spans="2:15" x14ac:dyDescent="0.15">
      <c r="B100" s="117" t="s">
        <v>1062</v>
      </c>
      <c r="C100" s="66">
        <f>SUMIFS('reductions data'!H:H,'reductions data'!G:G,'reasons for reduction division'!B100,'reductions data'!A:A,$C$85)</f>
        <v>0</v>
      </c>
      <c r="D100" s="66">
        <f>SUMIFS('reductions data'!H:H,'reductions data'!G:G,'reasons for reduction division'!B100,'reductions data'!A:A,$D$85)</f>
        <v>0</v>
      </c>
      <c r="E100" s="66">
        <f>SUMIFS('reductions data'!H:H,'reductions data'!G:G,'reasons for reduction division'!B100,'reductions data'!A:A,$E$85)</f>
        <v>0</v>
      </c>
      <c r="F100" s="66">
        <f>SUMIFS('reductions data'!H:H,'reductions data'!G:G,'reasons for reduction division'!B100,'reductions data'!A:A,$F$85)</f>
        <v>0</v>
      </c>
      <c r="G100" s="66">
        <f>SUMIFS('reductions data'!H:H,'reductions data'!G:G,'reasons for reduction division'!B100,'reductions data'!A:A,$G$85)</f>
        <v>0</v>
      </c>
      <c r="H100" s="66">
        <f>SUMIFS('reductions data'!H:H,'reductions data'!G:G,'reasons for reduction division'!B100,'reductions data'!A:A,$H$85)</f>
        <v>0</v>
      </c>
      <c r="I100" s="66">
        <f>SUMIFS('reductions data'!H:H,'reductions data'!G:G,'reasons for reduction division'!B100,'reductions data'!A:A,$I$85)</f>
        <v>0</v>
      </c>
      <c r="J100" s="66">
        <f>SUMIFS('reductions data'!H:H,'reductions data'!G:G,'reasons for reduction division'!B100,'reductions data'!A:A,$J$85)</f>
        <v>0</v>
      </c>
      <c r="K100" s="66">
        <f>SUMIFS('reductions data'!H:H,'reductions data'!G:G,'reasons for reduction division'!B100,'reductions data'!A:A,$K$85)</f>
        <v>0</v>
      </c>
      <c r="L100" s="66">
        <f>SUMIFS('reductions data'!H:H,'reductions data'!G:G,'reasons for reduction division'!B100,'reductions data'!A:A,$L$85)</f>
        <v>0</v>
      </c>
      <c r="M100" s="66">
        <f>SUMIFS('reductions data'!H:H,'reductions data'!G:G,'reasons for reduction division'!B100,'reductions data'!A:A,$M$85)</f>
        <v>0</v>
      </c>
      <c r="N100" s="66">
        <f>SUMIFS('reductions data'!H:H,'reductions data'!G:G,'reasons for reduction division'!B100,'reductions data'!A:A,$N$85)</f>
        <v>0</v>
      </c>
      <c r="O100" s="109">
        <f>SUMIF('reductions data'!G:G,'reasons for reduction division'!B100,'reductions data'!H:H)</f>
        <v>0</v>
      </c>
    </row>
    <row r="101" spans="2:15" x14ac:dyDescent="0.15">
      <c r="B101" s="117" t="s">
        <v>1157</v>
      </c>
      <c r="C101" s="66">
        <f>SUMIFS('reductions data'!H:H,'reductions data'!G:G,'reasons for reduction division'!B101,'reductions data'!A:A,$C$85)</f>
        <v>0</v>
      </c>
      <c r="D101" s="66">
        <f>SUMIFS('reductions data'!H:H,'reductions data'!G:G,'reasons for reduction division'!B101,'reductions data'!A:A,$D$85)</f>
        <v>0</v>
      </c>
      <c r="E101" s="66">
        <f>SUMIFS('reductions data'!H:H,'reductions data'!G:G,'reasons for reduction division'!B101,'reductions data'!A:A,$E$85)</f>
        <v>0</v>
      </c>
      <c r="F101" s="66">
        <f>SUMIFS('reductions data'!H:H,'reductions data'!G:G,'reasons for reduction division'!B101,'reductions data'!A:A,$F$85)</f>
        <v>0</v>
      </c>
      <c r="G101" s="66">
        <f>SUMIFS('reductions data'!H:H,'reductions data'!G:G,'reasons for reduction division'!B101,'reductions data'!A:A,$G$85)</f>
        <v>0</v>
      </c>
      <c r="H101" s="66">
        <f>SUMIFS('reductions data'!H:H,'reductions data'!G:G,'reasons for reduction division'!B101,'reductions data'!A:A,$H$85)</f>
        <v>0</v>
      </c>
      <c r="I101" s="66">
        <f>SUMIFS('reductions data'!H:H,'reductions data'!G:G,'reasons for reduction division'!B101,'reductions data'!A:A,$I$85)</f>
        <v>0</v>
      </c>
      <c r="J101" s="66">
        <f>SUMIFS('reductions data'!H:H,'reductions data'!G:G,'reasons for reduction division'!B101,'reductions data'!A:A,$J$85)</f>
        <v>0</v>
      </c>
      <c r="K101" s="66">
        <f>SUMIFS('reductions data'!H:H,'reductions data'!G:G,'reasons for reduction division'!B101,'reductions data'!A:A,$K$85)</f>
        <v>0</v>
      </c>
      <c r="L101" s="66">
        <f>SUMIFS('reductions data'!H:H,'reductions data'!G:G,'reasons for reduction division'!B101,'reductions data'!A:A,$L$85)</f>
        <v>0</v>
      </c>
      <c r="M101" s="66">
        <f>SUMIFS('reductions data'!H:H,'reductions data'!G:G,'reasons for reduction division'!B101,'reductions data'!A:A,$M$85)</f>
        <v>0</v>
      </c>
      <c r="N101" s="66">
        <f>SUMIFS('reductions data'!H:H,'reductions data'!G:G,'reasons for reduction division'!B101,'reductions data'!A:A,$N$85)</f>
        <v>0</v>
      </c>
      <c r="O101" s="109">
        <f>SUMIF('reductions data'!G:G,'reasons for reduction division'!B101,'reductions data'!H:H)</f>
        <v>0</v>
      </c>
    </row>
    <row r="102" spans="2:15" x14ac:dyDescent="0.15">
      <c r="B102" s="117" t="s">
        <v>1067</v>
      </c>
      <c r="C102" s="66">
        <f>SUMIFS('reductions data'!H:H,'reductions data'!G:G,'reasons for reduction division'!B102,'reductions data'!A:A,$C$85)</f>
        <v>0</v>
      </c>
      <c r="D102" s="66">
        <f>SUMIFS('reductions data'!H:H,'reductions data'!G:G,'reasons for reduction division'!B102,'reductions data'!A:A,$D$85)</f>
        <v>0</v>
      </c>
      <c r="E102" s="66">
        <f>SUMIFS('reductions data'!H:H,'reductions data'!G:G,'reasons for reduction division'!B102,'reductions data'!A:A,$E$85)</f>
        <v>0</v>
      </c>
      <c r="F102" s="66">
        <f>SUMIFS('reductions data'!H:H,'reductions data'!G:G,'reasons for reduction division'!B102,'reductions data'!A:A,$F$85)</f>
        <v>0</v>
      </c>
      <c r="G102" s="66">
        <f>SUMIFS('reductions data'!H:H,'reductions data'!G:G,'reasons for reduction division'!B102,'reductions data'!A:A,$G$85)</f>
        <v>0</v>
      </c>
      <c r="H102" s="66">
        <f>SUMIFS('reductions data'!H:H,'reductions data'!G:G,'reasons for reduction division'!B102,'reductions data'!A:A,$H$85)</f>
        <v>0</v>
      </c>
      <c r="I102" s="66">
        <f>SUMIFS('reductions data'!H:H,'reductions data'!G:G,'reasons for reduction division'!B102,'reductions data'!A:A,$I$85)</f>
        <v>0</v>
      </c>
      <c r="J102" s="66">
        <f>SUMIFS('reductions data'!H:H,'reductions data'!G:G,'reasons for reduction division'!B102,'reductions data'!A:A,$J$85)</f>
        <v>0</v>
      </c>
      <c r="K102" s="66">
        <f>SUMIFS('reductions data'!H:H,'reductions data'!G:G,'reasons for reduction division'!B102,'reductions data'!A:A,$K$85)</f>
        <v>0</v>
      </c>
      <c r="L102" s="66">
        <f>SUMIFS('reductions data'!H:H,'reductions data'!G:G,'reasons for reduction division'!B102,'reductions data'!A:A,$L$85)</f>
        <v>0</v>
      </c>
      <c r="M102" s="66">
        <f>SUMIFS('reductions data'!H:H,'reductions data'!G:G,'reasons for reduction division'!B102,'reductions data'!A:A,$M$85)</f>
        <v>0</v>
      </c>
      <c r="N102" s="66">
        <f>SUMIFS('reductions data'!H:H,'reductions data'!G:G,'reasons for reduction division'!B102,'reductions data'!A:A,$N$85)</f>
        <v>0</v>
      </c>
      <c r="O102" s="109">
        <f>SUMIF('reductions data'!G:G,'reasons for reduction division'!B102,'reductions data'!H:H)</f>
        <v>0</v>
      </c>
    </row>
    <row r="103" spans="2:15" x14ac:dyDescent="0.15">
      <c r="B103" s="117" t="s">
        <v>1068</v>
      </c>
      <c r="C103" s="66">
        <f>SUMIFS('reductions data'!H:H,'reductions data'!G:G,'reasons for reduction division'!B103,'reductions data'!A:A,$C$85)</f>
        <v>0</v>
      </c>
      <c r="D103" s="66">
        <f>SUMIFS('reductions data'!H:H,'reductions data'!G:G,'reasons for reduction division'!B103,'reductions data'!A:A,$D$85)</f>
        <v>0</v>
      </c>
      <c r="E103" s="66">
        <f>SUMIFS('reductions data'!H:H,'reductions data'!G:G,'reasons for reduction division'!B103,'reductions data'!A:A,$E$85)</f>
        <v>0</v>
      </c>
      <c r="F103" s="66">
        <f>SUMIFS('reductions data'!H:H,'reductions data'!G:G,'reasons for reduction division'!B103,'reductions data'!A:A,$F$85)</f>
        <v>0</v>
      </c>
      <c r="G103" s="66">
        <f>SUMIFS('reductions data'!H:H,'reductions data'!G:G,'reasons for reduction division'!B103,'reductions data'!A:A,$G$85)</f>
        <v>0</v>
      </c>
      <c r="H103" s="66">
        <f>SUMIFS('reductions data'!H:H,'reductions data'!G:G,'reasons for reduction division'!B103,'reductions data'!A:A,$H$85)</f>
        <v>0</v>
      </c>
      <c r="I103" s="66">
        <f>SUMIFS('reductions data'!H:H,'reductions data'!G:G,'reasons for reduction division'!B103,'reductions data'!A:A,$I$85)</f>
        <v>0</v>
      </c>
      <c r="J103" s="66">
        <f>SUMIFS('reductions data'!H:H,'reductions data'!G:G,'reasons for reduction division'!B103,'reductions data'!A:A,$J$85)</f>
        <v>0</v>
      </c>
      <c r="K103" s="66">
        <f>SUMIFS('reductions data'!H:H,'reductions data'!G:G,'reasons for reduction division'!B103,'reductions data'!A:A,$K$85)</f>
        <v>0</v>
      </c>
      <c r="L103" s="66">
        <f>SUMIFS('reductions data'!H:H,'reductions data'!G:G,'reasons for reduction division'!B103,'reductions data'!A:A,$L$85)</f>
        <v>0</v>
      </c>
      <c r="M103" s="66">
        <f>SUMIFS('reductions data'!H:H,'reductions data'!G:G,'reasons for reduction division'!B103,'reductions data'!A:A,$M$85)</f>
        <v>0</v>
      </c>
      <c r="N103" s="66">
        <f>SUMIFS('reductions data'!H:H,'reductions data'!G:G,'reasons for reduction division'!B103,'reductions data'!A:A,$N$85)</f>
        <v>0</v>
      </c>
      <c r="O103" s="109">
        <f>SUMIF('reductions data'!G:G,'reasons for reduction division'!B103,'reductions data'!H:H)</f>
        <v>0</v>
      </c>
    </row>
    <row r="104" spans="2:15" x14ac:dyDescent="0.15">
      <c r="B104" s="117" t="s">
        <v>1069</v>
      </c>
      <c r="C104" s="66">
        <f>SUMIFS('reductions data'!H:H,'reductions data'!G:G,'reasons for reduction division'!B104,'reductions data'!A:A,$C$85)</f>
        <v>0</v>
      </c>
      <c r="D104" s="66">
        <f>SUMIFS('reductions data'!H:H,'reductions data'!G:G,'reasons for reduction division'!B104,'reductions data'!A:A,$D$85)</f>
        <v>0</v>
      </c>
      <c r="E104" s="66">
        <f>SUMIFS('reductions data'!H:H,'reductions data'!G:G,'reasons for reduction division'!B104,'reductions data'!A:A,$E$85)</f>
        <v>0</v>
      </c>
      <c r="F104" s="66">
        <f>SUMIFS('reductions data'!H:H,'reductions data'!G:G,'reasons for reduction division'!B104,'reductions data'!A:A,$F$85)</f>
        <v>0</v>
      </c>
      <c r="G104" s="66">
        <f>SUMIFS('reductions data'!H:H,'reductions data'!G:G,'reasons for reduction division'!B104,'reductions data'!A:A,$G$85)</f>
        <v>0</v>
      </c>
      <c r="H104" s="66">
        <f>SUMIFS('reductions data'!H:H,'reductions data'!G:G,'reasons for reduction division'!B104,'reductions data'!A:A,$H$85)</f>
        <v>0</v>
      </c>
      <c r="I104" s="66">
        <f>SUMIFS('reductions data'!H:H,'reductions data'!G:G,'reasons for reduction division'!B104,'reductions data'!A:A,$I$85)</f>
        <v>0</v>
      </c>
      <c r="J104" s="66">
        <f>SUMIFS('reductions data'!H:H,'reductions data'!G:G,'reasons for reduction division'!B104,'reductions data'!A:A,$J$85)</f>
        <v>0</v>
      </c>
      <c r="K104" s="66">
        <f>SUMIFS('reductions data'!H:H,'reductions data'!G:G,'reasons for reduction division'!B104,'reductions data'!A:A,$K$85)</f>
        <v>0</v>
      </c>
      <c r="L104" s="66">
        <f>SUMIFS('reductions data'!H:H,'reductions data'!G:G,'reasons for reduction division'!B104,'reductions data'!A:A,$L$85)</f>
        <v>0</v>
      </c>
      <c r="M104" s="66">
        <f>SUMIFS('reductions data'!H:H,'reductions data'!G:G,'reasons for reduction division'!B104,'reductions data'!A:A,$M$85)</f>
        <v>0</v>
      </c>
      <c r="N104" s="66">
        <f>SUMIFS('reductions data'!H:H,'reductions data'!G:G,'reasons for reduction division'!B104,'reductions data'!A:A,$N$85)</f>
        <v>0</v>
      </c>
      <c r="O104" s="109">
        <f>SUMIF('reductions data'!G:G,'reasons for reduction division'!B104,'reductions data'!H:H)</f>
        <v>0</v>
      </c>
    </row>
    <row r="105" spans="2:15" x14ac:dyDescent="0.15">
      <c r="B105" s="117" t="s">
        <v>1070</v>
      </c>
      <c r="C105" s="66">
        <f>SUMIFS('reductions data'!H:H,'reductions data'!G:G,'reasons for reduction division'!B105,'reductions data'!A:A,$C$85)</f>
        <v>0</v>
      </c>
      <c r="D105" s="66">
        <f>SUMIFS('reductions data'!H:H,'reductions data'!G:G,'reasons for reduction division'!B105,'reductions data'!A:A,$D$85)</f>
        <v>0</v>
      </c>
      <c r="E105" s="66">
        <f>SUMIFS('reductions data'!H:H,'reductions data'!G:G,'reasons for reduction division'!B105,'reductions data'!A:A,$E$85)</f>
        <v>0</v>
      </c>
      <c r="F105" s="66">
        <f>SUMIFS('reductions data'!H:H,'reductions data'!G:G,'reasons for reduction division'!B105,'reductions data'!A:A,$F$85)</f>
        <v>0</v>
      </c>
      <c r="G105" s="66">
        <f>SUMIFS('reductions data'!H:H,'reductions data'!G:G,'reasons for reduction division'!B105,'reductions data'!A:A,$G$85)</f>
        <v>0</v>
      </c>
      <c r="H105" s="66">
        <f>SUMIFS('reductions data'!H:H,'reductions data'!G:G,'reasons for reduction division'!B105,'reductions data'!A:A,$H$85)</f>
        <v>0</v>
      </c>
      <c r="I105" s="66">
        <f>SUMIFS('reductions data'!H:H,'reductions data'!G:G,'reasons for reduction division'!B105,'reductions data'!A:A,$I$85)</f>
        <v>0</v>
      </c>
      <c r="J105" s="66">
        <f>SUMIFS('reductions data'!H:H,'reductions data'!G:G,'reasons for reduction division'!B105,'reductions data'!A:A,$J$85)</f>
        <v>0</v>
      </c>
      <c r="K105" s="66">
        <f>SUMIFS('reductions data'!H:H,'reductions data'!G:G,'reasons for reduction division'!B105,'reductions data'!A:A,$K$85)</f>
        <v>0</v>
      </c>
      <c r="L105" s="66">
        <f>SUMIFS('reductions data'!H:H,'reductions data'!G:G,'reasons for reduction division'!B105,'reductions data'!A:A,$L$85)</f>
        <v>0</v>
      </c>
      <c r="M105" s="66">
        <f>SUMIFS('reductions data'!H:H,'reductions data'!G:G,'reasons for reduction division'!B105,'reductions data'!A:A,$M$85)</f>
        <v>0</v>
      </c>
      <c r="N105" s="66">
        <f>SUMIFS('reductions data'!H:H,'reductions data'!G:G,'reasons for reduction division'!B105,'reductions data'!A:A,$N$85)</f>
        <v>0</v>
      </c>
      <c r="O105" s="109">
        <f>SUMIF('reductions data'!G:G,'reasons for reduction division'!B105,'reductions data'!H:H)</f>
        <v>0</v>
      </c>
    </row>
    <row r="106" spans="2:15" x14ac:dyDescent="0.15">
      <c r="B106" s="117" t="s">
        <v>1071</v>
      </c>
      <c r="C106" s="66">
        <f>SUMIFS('reductions data'!H:H,'reductions data'!G:G,'reasons for reduction division'!B106,'reductions data'!A:A,$C$85)</f>
        <v>0</v>
      </c>
      <c r="D106" s="66">
        <f>SUMIFS('reductions data'!H:H,'reductions data'!G:G,'reasons for reduction division'!B106,'reductions data'!A:A,$D$85)</f>
        <v>0</v>
      </c>
      <c r="E106" s="66">
        <f>SUMIFS('reductions data'!H:H,'reductions data'!G:G,'reasons for reduction division'!B106,'reductions data'!A:A,$E$85)</f>
        <v>0</v>
      </c>
      <c r="F106" s="66">
        <f>SUMIFS('reductions data'!H:H,'reductions data'!G:G,'reasons for reduction division'!B106,'reductions data'!A:A,$F$85)</f>
        <v>0</v>
      </c>
      <c r="G106" s="66">
        <f>SUMIFS('reductions data'!H:H,'reductions data'!G:G,'reasons for reduction division'!B106,'reductions data'!A:A,$G$85)</f>
        <v>0</v>
      </c>
      <c r="H106" s="66">
        <f>SUMIFS('reductions data'!H:H,'reductions data'!G:G,'reasons for reduction division'!B106,'reductions data'!A:A,$H$85)</f>
        <v>0</v>
      </c>
      <c r="I106" s="66">
        <f>SUMIFS('reductions data'!H:H,'reductions data'!G:G,'reasons for reduction division'!B106,'reductions data'!A:A,$I$85)</f>
        <v>0</v>
      </c>
      <c r="J106" s="66">
        <f>SUMIFS('reductions data'!H:H,'reductions data'!G:G,'reasons for reduction division'!B106,'reductions data'!A:A,$J$85)</f>
        <v>0</v>
      </c>
      <c r="K106" s="66">
        <f>SUMIFS('reductions data'!H:H,'reductions data'!G:G,'reasons for reduction division'!B106,'reductions data'!A:A,$K$85)</f>
        <v>0</v>
      </c>
      <c r="L106" s="66">
        <f>SUMIFS('reductions data'!H:H,'reductions data'!G:G,'reasons for reduction division'!B106,'reductions data'!A:A,$L$85)</f>
        <v>0</v>
      </c>
      <c r="M106" s="66">
        <f>SUMIFS('reductions data'!H:H,'reductions data'!G:G,'reasons for reduction division'!B106,'reductions data'!A:A,$M$85)</f>
        <v>0</v>
      </c>
      <c r="N106" s="66">
        <f>SUMIFS('reductions data'!H:H,'reductions data'!G:G,'reasons for reduction division'!B106,'reductions data'!A:A,$N$85)</f>
        <v>0</v>
      </c>
      <c r="O106" s="109">
        <f>SUMIF('reductions data'!G:G,'reasons for reduction division'!B106,'reductions data'!H:H)</f>
        <v>0</v>
      </c>
    </row>
    <row r="107" spans="2:15" x14ac:dyDescent="0.15">
      <c r="B107" s="117" t="s">
        <v>1072</v>
      </c>
      <c r="C107" s="66">
        <f>SUMIFS('reductions data'!H:H,'reductions data'!G:G,'reasons for reduction division'!B107,'reductions data'!A:A,$C$85)</f>
        <v>0</v>
      </c>
      <c r="D107" s="66">
        <f>SUMIFS('reductions data'!H:H,'reductions data'!G:G,'reasons for reduction division'!B107,'reductions data'!A:A,$D$85)</f>
        <v>0</v>
      </c>
      <c r="E107" s="66">
        <f>SUMIFS('reductions data'!H:H,'reductions data'!G:G,'reasons for reduction division'!B107,'reductions data'!A:A,$E$85)</f>
        <v>0</v>
      </c>
      <c r="F107" s="66">
        <f>SUMIFS('reductions data'!H:H,'reductions data'!G:G,'reasons for reduction division'!B107,'reductions data'!A:A,$F$85)</f>
        <v>0</v>
      </c>
      <c r="G107" s="66">
        <f>SUMIFS('reductions data'!H:H,'reductions data'!G:G,'reasons for reduction division'!B107,'reductions data'!A:A,$G$85)</f>
        <v>0</v>
      </c>
      <c r="H107" s="66">
        <f>SUMIFS('reductions data'!H:H,'reductions data'!G:G,'reasons for reduction division'!B107,'reductions data'!A:A,$H$85)</f>
        <v>0</v>
      </c>
      <c r="I107" s="66">
        <f>SUMIFS('reductions data'!H:H,'reductions data'!G:G,'reasons for reduction division'!B107,'reductions data'!A:A,$I$85)</f>
        <v>0</v>
      </c>
      <c r="J107" s="66">
        <f>SUMIFS('reductions data'!H:H,'reductions data'!G:G,'reasons for reduction division'!B107,'reductions data'!A:A,$J$85)</f>
        <v>0</v>
      </c>
      <c r="K107" s="66">
        <f>SUMIFS('reductions data'!H:H,'reductions data'!G:G,'reasons for reduction division'!B107,'reductions data'!A:A,$K$85)</f>
        <v>0</v>
      </c>
      <c r="L107" s="66">
        <f>SUMIFS('reductions data'!H:H,'reductions data'!G:G,'reasons for reduction division'!B107,'reductions data'!A:A,$L$85)</f>
        <v>0</v>
      </c>
      <c r="M107" s="66">
        <f>SUMIFS('reductions data'!H:H,'reductions data'!G:G,'reasons for reduction division'!B107,'reductions data'!A:A,$M$85)</f>
        <v>0</v>
      </c>
      <c r="N107" s="66">
        <f>SUMIFS('reductions data'!H:H,'reductions data'!G:G,'reasons for reduction division'!B107,'reductions data'!A:A,$N$85)</f>
        <v>0</v>
      </c>
      <c r="O107" s="109">
        <f>SUMIF('reductions data'!G:G,'reasons for reduction division'!B107,'reductions data'!H:H)</f>
        <v>0</v>
      </c>
    </row>
    <row r="108" spans="2:15" x14ac:dyDescent="0.15">
      <c r="B108" s="117" t="s">
        <v>1073</v>
      </c>
      <c r="C108" s="66">
        <f>SUMIFS('reductions data'!H:H,'reductions data'!G:G,'reasons for reduction division'!B108,'reductions data'!A:A,$C$85)</f>
        <v>0</v>
      </c>
      <c r="D108" s="66">
        <f>SUMIFS('reductions data'!H:H,'reductions data'!G:G,'reasons for reduction division'!B108,'reductions data'!A:A,$D$85)</f>
        <v>0</v>
      </c>
      <c r="E108" s="66">
        <f>SUMIFS('reductions data'!H:H,'reductions data'!G:G,'reasons for reduction division'!B108,'reductions data'!A:A,$E$85)</f>
        <v>0</v>
      </c>
      <c r="F108" s="66">
        <f>SUMIFS('reductions data'!H:H,'reductions data'!G:G,'reasons for reduction division'!B108,'reductions data'!A:A,$F$85)</f>
        <v>0</v>
      </c>
      <c r="G108" s="66">
        <f>SUMIFS('reductions data'!H:H,'reductions data'!G:G,'reasons for reduction division'!B108,'reductions data'!A:A,$G$85)</f>
        <v>0</v>
      </c>
      <c r="H108" s="66">
        <f>SUMIFS('reductions data'!H:H,'reductions data'!G:G,'reasons for reduction division'!B108,'reductions data'!A:A,$H$85)</f>
        <v>0</v>
      </c>
      <c r="I108" s="66">
        <f>SUMIFS('reductions data'!H:H,'reductions data'!G:G,'reasons for reduction division'!B108,'reductions data'!A:A,$I$85)</f>
        <v>0</v>
      </c>
      <c r="J108" s="66">
        <f>SUMIFS('reductions data'!H:H,'reductions data'!G:G,'reasons for reduction division'!B108,'reductions data'!A:A,$J$85)</f>
        <v>0</v>
      </c>
      <c r="K108" s="66">
        <f>SUMIFS('reductions data'!H:H,'reductions data'!G:G,'reasons for reduction division'!B108,'reductions data'!A:A,$K$85)</f>
        <v>0</v>
      </c>
      <c r="L108" s="66">
        <f>SUMIFS('reductions data'!H:H,'reductions data'!G:G,'reasons for reduction division'!B108,'reductions data'!A:A,$L$85)</f>
        <v>0</v>
      </c>
      <c r="M108" s="66">
        <f>SUMIFS('reductions data'!H:H,'reductions data'!G:G,'reasons for reduction division'!B108,'reductions data'!A:A,$M$85)</f>
        <v>0</v>
      </c>
      <c r="N108" s="66">
        <f>SUMIFS('reductions data'!H:H,'reductions data'!G:G,'reasons for reduction division'!B108,'reductions data'!A:A,$N$85)</f>
        <v>0</v>
      </c>
      <c r="O108" s="109">
        <f>SUMIF('reductions data'!G:G,'reasons for reduction division'!B108,'reductions data'!H:H)</f>
        <v>0</v>
      </c>
    </row>
    <row r="109" spans="2:15" ht="15.75" customHeight="1" x14ac:dyDescent="0.15">
      <c r="B109" s="117" t="s">
        <v>1075</v>
      </c>
      <c r="C109" s="66">
        <f>SUMIFS('reductions data'!H:H,'reductions data'!G:G,'reasons for reduction division'!B109,'reductions data'!A:A,$C$85)</f>
        <v>0</v>
      </c>
      <c r="D109" s="66">
        <f>SUMIFS('reductions data'!H:H,'reductions data'!G:G,'reasons for reduction division'!B109,'reductions data'!A:A,$D$85)</f>
        <v>0</v>
      </c>
      <c r="E109" s="66">
        <f>SUMIFS('reductions data'!H:H,'reductions data'!G:G,'reasons for reduction division'!B109,'reductions data'!A:A,$E$85)</f>
        <v>0</v>
      </c>
      <c r="F109" s="66">
        <f>SUMIFS('reductions data'!H:H,'reductions data'!G:G,'reasons for reduction division'!B109,'reductions data'!A:A,$F$85)</f>
        <v>0</v>
      </c>
      <c r="G109" s="66">
        <f>SUMIFS('reductions data'!H:H,'reductions data'!G:G,'reasons for reduction division'!B109,'reductions data'!A:A,$G$85)</f>
        <v>0</v>
      </c>
      <c r="H109" s="66">
        <f>SUMIFS('reductions data'!H:H,'reductions data'!G:G,'reasons for reduction division'!B109,'reductions data'!A:A,$H$85)</f>
        <v>0</v>
      </c>
      <c r="I109" s="66">
        <f>SUMIFS('reductions data'!H:H,'reductions data'!G:G,'reasons for reduction division'!B109,'reductions data'!A:A,$I$85)</f>
        <v>0</v>
      </c>
      <c r="J109" s="66">
        <f>SUMIFS('reductions data'!H:H,'reductions data'!G:G,'reasons for reduction division'!B109,'reductions data'!A:A,$J$85)</f>
        <v>0</v>
      </c>
      <c r="K109" s="66">
        <f>SUMIFS('reductions data'!H:H,'reductions data'!G:G,'reasons for reduction division'!B109,'reductions data'!A:A,$K$85)</f>
        <v>0</v>
      </c>
      <c r="L109" s="66">
        <f>SUMIFS('reductions data'!H:H,'reductions data'!G:G,'reasons for reduction division'!B109,'reductions data'!A:A,$L$85)</f>
        <v>0</v>
      </c>
      <c r="M109" s="66">
        <f>SUMIFS('reductions data'!H:H,'reductions data'!G:G,'reasons for reduction division'!B109,'reductions data'!A:A,$M$85)</f>
        <v>0</v>
      </c>
      <c r="N109" s="66">
        <f>SUMIFS('reductions data'!H:H,'reductions data'!G:G,'reasons for reduction division'!B109,'reductions data'!A:A,$N$85)</f>
        <v>0</v>
      </c>
      <c r="O109" s="109">
        <f>SUMIF('reductions data'!G:G,'reasons for reduction division'!B109,'reductions data'!H:H)</f>
        <v>0</v>
      </c>
    </row>
    <row r="110" spans="2:15" x14ac:dyDescent="0.15">
      <c r="B110" s="117" t="s">
        <v>1077</v>
      </c>
      <c r="C110" s="66">
        <f>SUMIFS('reductions data'!H:H,'reductions data'!G:G,'reasons for reduction division'!B110,'reductions data'!A:A,$C$85)</f>
        <v>0</v>
      </c>
      <c r="D110" s="66">
        <f>SUMIFS('reductions data'!H:H,'reductions data'!G:G,'reasons for reduction division'!B110,'reductions data'!A:A,$D$85)</f>
        <v>0</v>
      </c>
      <c r="E110" s="66">
        <f>SUMIFS('reductions data'!H:H,'reductions data'!G:G,'reasons for reduction division'!B110,'reductions data'!A:A,$E$85)</f>
        <v>0</v>
      </c>
      <c r="F110" s="66">
        <f>SUMIFS('reductions data'!H:H,'reductions data'!G:G,'reasons for reduction division'!B110,'reductions data'!A:A,$F$85)</f>
        <v>0</v>
      </c>
      <c r="G110" s="66">
        <f>SUMIFS('reductions data'!H:H,'reductions data'!G:G,'reasons for reduction division'!B110,'reductions data'!A:A,$G$85)</f>
        <v>0</v>
      </c>
      <c r="H110" s="66">
        <f>SUMIFS('reductions data'!H:H,'reductions data'!G:G,'reasons for reduction division'!B110,'reductions data'!A:A,$H$85)</f>
        <v>0</v>
      </c>
      <c r="I110" s="66">
        <f>SUMIFS('reductions data'!H:H,'reductions data'!G:G,'reasons for reduction division'!B110,'reductions data'!A:A,$I$85)</f>
        <v>0</v>
      </c>
      <c r="J110" s="66">
        <f>SUMIFS('reductions data'!H:H,'reductions data'!G:G,'reasons for reduction division'!B110,'reductions data'!A:A,$J$85)</f>
        <v>0</v>
      </c>
      <c r="K110" s="66">
        <f>SUMIFS('reductions data'!H:H,'reductions data'!G:G,'reasons for reduction division'!B110,'reductions data'!A:A,$K$85)</f>
        <v>0</v>
      </c>
      <c r="L110" s="66">
        <f>SUMIFS('reductions data'!H:H,'reductions data'!G:G,'reasons for reduction division'!B110,'reductions data'!A:A,$L$85)</f>
        <v>0</v>
      </c>
      <c r="M110" s="66">
        <f>SUMIFS('reductions data'!H:H,'reductions data'!G:G,'reasons for reduction division'!B110,'reductions data'!A:A,$M$85)</f>
        <v>0</v>
      </c>
      <c r="N110" s="66">
        <f>SUMIFS('reductions data'!H:H,'reductions data'!G:G,'reasons for reduction division'!B110,'reductions data'!A:A,$N$85)</f>
        <v>0</v>
      </c>
      <c r="O110" s="109">
        <f>SUMIF('reductions data'!G:G,'reasons for reduction division'!B110,'reductions data'!H:H)</f>
        <v>0</v>
      </c>
    </row>
    <row r="111" spans="2:15" x14ac:dyDescent="0.15">
      <c r="B111" s="117" t="s">
        <v>1079</v>
      </c>
      <c r="C111" s="66">
        <f>SUMIFS('reductions data'!H:H,'reductions data'!G:G,'reasons for reduction division'!B111,'reductions data'!A:A,$C$85)</f>
        <v>0</v>
      </c>
      <c r="D111" s="66">
        <f>SUMIFS('reductions data'!H:H,'reductions data'!G:G,'reasons for reduction division'!B111,'reductions data'!A:A,$D$85)</f>
        <v>0</v>
      </c>
      <c r="E111" s="66">
        <f>SUMIFS('reductions data'!H:H,'reductions data'!G:G,'reasons for reduction division'!B111,'reductions data'!A:A,$E$85)</f>
        <v>0</v>
      </c>
      <c r="F111" s="66">
        <f>SUMIFS('reductions data'!H:H,'reductions data'!G:G,'reasons for reduction division'!B111,'reductions data'!A:A,$F$85)</f>
        <v>0</v>
      </c>
      <c r="G111" s="66">
        <f>SUMIFS('reductions data'!H:H,'reductions data'!G:G,'reasons for reduction division'!B111,'reductions data'!A:A,$G$85)</f>
        <v>0</v>
      </c>
      <c r="H111" s="66">
        <f>SUMIFS('reductions data'!H:H,'reductions data'!G:G,'reasons for reduction division'!B111,'reductions data'!A:A,$H$85)</f>
        <v>0</v>
      </c>
      <c r="I111" s="66">
        <f>SUMIFS('reductions data'!H:H,'reductions data'!G:G,'reasons for reduction division'!B111,'reductions data'!A:A,$I$85)</f>
        <v>0</v>
      </c>
      <c r="J111" s="66">
        <f>SUMIFS('reductions data'!H:H,'reductions data'!G:G,'reasons for reduction division'!B111,'reductions data'!A:A,$J$85)</f>
        <v>0</v>
      </c>
      <c r="K111" s="66">
        <f>SUMIFS('reductions data'!H:H,'reductions data'!G:G,'reasons for reduction division'!B111,'reductions data'!A:A,$K$85)</f>
        <v>0</v>
      </c>
      <c r="L111" s="66">
        <f>SUMIFS('reductions data'!H:H,'reductions data'!G:G,'reasons for reduction division'!B111,'reductions data'!A:A,$L$85)</f>
        <v>0</v>
      </c>
      <c r="M111" s="66">
        <f>SUMIFS('reductions data'!H:H,'reductions data'!G:G,'reasons for reduction division'!B111,'reductions data'!A:A,$M$85)</f>
        <v>0</v>
      </c>
      <c r="N111" s="66">
        <f>SUMIFS('reductions data'!H:H,'reductions data'!G:G,'reasons for reduction division'!B111,'reductions data'!A:A,$N$85)</f>
        <v>0</v>
      </c>
      <c r="O111" s="109">
        <f>SUMIF('reductions data'!G:G,'reasons for reduction division'!B111,'reductions data'!H:H)</f>
        <v>0</v>
      </c>
    </row>
    <row r="112" spans="2:15" x14ac:dyDescent="0.15">
      <c r="B112" s="117" t="s">
        <v>1437</v>
      </c>
      <c r="C112" s="66">
        <f>SUMIFS('reductions data'!H:H,'reductions data'!G:G,'reasons for reduction division'!B112,'reductions data'!A:A,$C$85)</f>
        <v>0</v>
      </c>
      <c r="D112" s="66">
        <f>SUMIFS('reductions data'!H:H,'reductions data'!G:G,'reasons for reduction division'!B112,'reductions data'!A:A,$D$85)</f>
        <v>0</v>
      </c>
      <c r="E112" s="66">
        <f>SUMIFS('reductions data'!H:H,'reductions data'!G:G,'reasons for reduction division'!B112,'reductions data'!A:A,$E$85)</f>
        <v>0</v>
      </c>
      <c r="F112" s="66">
        <f>SUMIFS('reductions data'!H:H,'reductions data'!G:G,'reasons for reduction division'!B112,'reductions data'!A:A,$F$85)</f>
        <v>0</v>
      </c>
      <c r="G112" s="66">
        <f>SUMIFS('reductions data'!H:H,'reductions data'!G:G,'reasons for reduction division'!B112,'reductions data'!A:A,$G$85)</f>
        <v>0</v>
      </c>
      <c r="H112" s="66">
        <f>SUMIFS('reductions data'!H:H,'reductions data'!G:G,'reasons for reduction division'!B112,'reductions data'!A:A,$H$85)</f>
        <v>0</v>
      </c>
      <c r="I112" s="66">
        <f>SUMIFS('reductions data'!H:H,'reductions data'!G:G,'reasons for reduction division'!B112,'reductions data'!A:A,$I$85)</f>
        <v>0</v>
      </c>
      <c r="J112" s="66">
        <f>SUMIFS('reductions data'!H:H,'reductions data'!G:G,'reasons for reduction division'!B112,'reductions data'!A:A,$J$85)</f>
        <v>0</v>
      </c>
      <c r="K112" s="66">
        <f>SUMIFS('reductions data'!H:H,'reductions data'!G:G,'reasons for reduction division'!B112,'reductions data'!A:A,$K$85)</f>
        <v>0</v>
      </c>
      <c r="L112" s="66">
        <f>SUMIFS('reductions data'!H:H,'reductions data'!G:G,'reasons for reduction division'!B112,'reductions data'!A:A,$L$85)</f>
        <v>0</v>
      </c>
      <c r="M112" s="66">
        <f>SUMIFS('reductions data'!H:H,'reductions data'!G:G,'reasons for reduction division'!B112,'reductions data'!A:A,$M$85)</f>
        <v>0</v>
      </c>
      <c r="N112" s="66">
        <f>SUMIFS('reductions data'!H:H,'reductions data'!G:G,'reasons for reduction division'!B112,'reductions data'!A:A,$N$85)</f>
        <v>0</v>
      </c>
      <c r="O112" s="109">
        <f>SUMIF('reductions data'!G:G,'reasons for reduction division'!B112,'reductions data'!H:H)</f>
        <v>0</v>
      </c>
    </row>
    <row r="113" spans="2:15" x14ac:dyDescent="0.15">
      <c r="B113" s="117" t="s">
        <v>1438</v>
      </c>
      <c r="C113" s="66">
        <f>SUMIFS('reductions data'!H:H,'reductions data'!G:G,'reasons for reduction division'!B113,'reductions data'!A:A,$C$85)</f>
        <v>0</v>
      </c>
      <c r="D113" s="66">
        <f>SUMIFS('reductions data'!H:H,'reductions data'!G:G,'reasons for reduction division'!B113,'reductions data'!A:A,$D$85)</f>
        <v>0</v>
      </c>
      <c r="E113" s="66">
        <f>SUMIFS('reductions data'!H:H,'reductions data'!G:G,'reasons for reduction division'!B113,'reductions data'!A:A,$E$85)</f>
        <v>0</v>
      </c>
      <c r="F113" s="66">
        <f>SUMIFS('reductions data'!H:H,'reductions data'!G:G,'reasons for reduction division'!B113,'reductions data'!A:A,$F$85)</f>
        <v>0</v>
      </c>
      <c r="G113" s="66">
        <f>SUMIFS('reductions data'!H:H,'reductions data'!G:G,'reasons for reduction division'!B113,'reductions data'!A:A,$G$85)</f>
        <v>0</v>
      </c>
      <c r="H113" s="66">
        <f>SUMIFS('reductions data'!H:H,'reductions data'!G:G,'reasons for reduction division'!B113,'reductions data'!A:A,$H$85)</f>
        <v>0</v>
      </c>
      <c r="I113" s="66">
        <f>SUMIFS('reductions data'!H:H,'reductions data'!G:G,'reasons for reduction division'!B113,'reductions data'!A:A,$I$85)</f>
        <v>0</v>
      </c>
      <c r="J113" s="66">
        <f>SUMIFS('reductions data'!H:H,'reductions data'!G:G,'reasons for reduction division'!B113,'reductions data'!A:A,$J$85)</f>
        <v>0</v>
      </c>
      <c r="K113" s="66">
        <f>SUMIFS('reductions data'!H:H,'reductions data'!G:G,'reasons for reduction division'!B113,'reductions data'!A:A,$K$85)</f>
        <v>0</v>
      </c>
      <c r="L113" s="66">
        <f>SUMIFS('reductions data'!H:H,'reductions data'!G:G,'reasons for reduction division'!B113,'reductions data'!A:A,$L$85)</f>
        <v>0</v>
      </c>
      <c r="M113" s="66">
        <f>SUMIFS('reductions data'!H:H,'reductions data'!G:G,'reasons for reduction division'!B113,'reductions data'!A:A,$M$85)</f>
        <v>0</v>
      </c>
      <c r="N113" s="66">
        <f>SUMIFS('reductions data'!H:H,'reductions data'!G:G,'reasons for reduction division'!B113,'reductions data'!A:A,$N$85)</f>
        <v>0</v>
      </c>
      <c r="O113" s="109">
        <f>SUMIF('reductions data'!G:G,'reasons for reduction division'!B113,'reductions data'!H:H)</f>
        <v>0</v>
      </c>
    </row>
    <row r="114" spans="2:15" x14ac:dyDescent="0.15">
      <c r="B114" s="342" t="s">
        <v>1434</v>
      </c>
      <c r="C114" s="66">
        <f>SUMIFS('reductions data'!H:H,'reductions data'!G:G,'reasons for reduction division'!B114,'reductions data'!A:A,$C$85)</f>
        <v>0</v>
      </c>
      <c r="D114" s="66">
        <f>SUMIFS('reductions data'!H:H,'reductions data'!G:G,'reasons for reduction division'!B114,'reductions data'!A:A,$D$85)</f>
        <v>0</v>
      </c>
      <c r="E114" s="66">
        <f>SUMIFS('reductions data'!H:H,'reductions data'!G:G,'reasons for reduction division'!B114,'reductions data'!A:A,$E$85)</f>
        <v>0</v>
      </c>
      <c r="F114" s="66">
        <f>SUMIFS('reductions data'!H:H,'reductions data'!G:G,'reasons for reduction division'!B114,'reductions data'!A:A,$F$85)</f>
        <v>0</v>
      </c>
      <c r="G114" s="66">
        <f>SUMIFS('reductions data'!H:H,'reductions data'!G:G,'reasons for reduction division'!B114,'reductions data'!A:A,$G$85)</f>
        <v>0</v>
      </c>
      <c r="H114" s="66">
        <f>SUMIFS('reductions data'!H:H,'reductions data'!G:G,'reasons for reduction division'!B114,'reductions data'!A:A,$H$85)</f>
        <v>0</v>
      </c>
      <c r="I114" s="66">
        <f>SUMIFS('reductions data'!H:H,'reductions data'!G:G,'reasons for reduction division'!B114,'reductions data'!A:A,$I$85)</f>
        <v>0</v>
      </c>
      <c r="J114" s="66">
        <f>SUMIFS('reductions data'!H:H,'reductions data'!G:G,'reasons for reduction division'!B114,'reductions data'!A:A,$J$85)</f>
        <v>0</v>
      </c>
      <c r="K114" s="66">
        <f>SUMIFS('reductions data'!H:H,'reductions data'!G:G,'reasons for reduction division'!B114,'reductions data'!A:A,$K$85)</f>
        <v>0</v>
      </c>
      <c r="L114" s="66">
        <f>SUMIFS('reductions data'!H:H,'reductions data'!G:G,'reasons for reduction division'!B114,'reductions data'!A:A,$L$85)</f>
        <v>0</v>
      </c>
      <c r="M114" s="66">
        <f>SUMIFS('reductions data'!H:H,'reductions data'!G:G,'reasons for reduction division'!B114,'reductions data'!A:A,$M$85)</f>
        <v>0</v>
      </c>
      <c r="N114" s="66">
        <f>SUMIFS('reductions data'!H:H,'reductions data'!G:G,'reasons for reduction division'!B114,'reductions data'!A:A,$N$85)</f>
        <v>0</v>
      </c>
      <c r="O114" s="109">
        <f>SUMIF('reductions data'!G:G,'reasons for reduction division'!B114,'reductions data'!H:H)</f>
        <v>0</v>
      </c>
    </row>
    <row r="115" spans="2:15" x14ac:dyDescent="0.15">
      <c r="B115" s="342" t="s">
        <v>1435</v>
      </c>
      <c r="C115" s="66">
        <f>SUMIFS('reductions data'!H:H,'reductions data'!G:G,'reasons for reduction division'!B115,'reductions data'!A:A,$C$85)</f>
        <v>0</v>
      </c>
      <c r="D115" s="66">
        <f>SUMIFS('reductions data'!H:H,'reductions data'!G:G,'reasons for reduction division'!B115,'reductions data'!A:A,$D$85)</f>
        <v>0</v>
      </c>
      <c r="E115" s="66">
        <f>SUMIFS('reductions data'!H:H,'reductions data'!G:G,'reasons for reduction division'!B115,'reductions data'!A:A,$E$85)</f>
        <v>0</v>
      </c>
      <c r="F115" s="66">
        <f>SUMIFS('reductions data'!H:H,'reductions data'!G:G,'reasons for reduction division'!B115,'reductions data'!A:A,$F$85)</f>
        <v>0</v>
      </c>
      <c r="G115" s="66">
        <f>SUMIFS('reductions data'!H:H,'reductions data'!G:G,'reasons for reduction division'!B115,'reductions data'!A:A,$G$85)</f>
        <v>0</v>
      </c>
      <c r="H115" s="66">
        <f>SUMIFS('reductions data'!H:H,'reductions data'!G:G,'reasons for reduction division'!B115,'reductions data'!A:A,$H$85)</f>
        <v>0</v>
      </c>
      <c r="I115" s="66">
        <f>SUMIFS('reductions data'!H:H,'reductions data'!G:G,'reasons for reduction division'!B115,'reductions data'!A:A,$I$85)</f>
        <v>0</v>
      </c>
      <c r="J115" s="66">
        <f>SUMIFS('reductions data'!H:H,'reductions data'!G:G,'reasons for reduction division'!B115,'reductions data'!A:A,$J$85)</f>
        <v>0</v>
      </c>
      <c r="K115" s="66">
        <f>SUMIFS('reductions data'!H:H,'reductions data'!G:G,'reasons for reduction division'!B115,'reductions data'!A:A,$K$85)</f>
        <v>0</v>
      </c>
      <c r="L115" s="66">
        <f>SUMIFS('reductions data'!H:H,'reductions data'!G:G,'reasons for reduction division'!B115,'reductions data'!A:A,$L$85)</f>
        <v>0</v>
      </c>
      <c r="M115" s="66">
        <f>SUMIFS('reductions data'!H:H,'reductions data'!G:G,'reasons for reduction division'!B115,'reductions data'!A:A,$M$85)</f>
        <v>0</v>
      </c>
      <c r="N115" s="66">
        <f>SUMIFS('reductions data'!H:H,'reductions data'!G:G,'reasons for reduction division'!B115,'reductions data'!A:A,$N$85)</f>
        <v>0</v>
      </c>
      <c r="O115" s="109">
        <f>SUMIF('reductions data'!G:G,'reasons for reduction division'!B115,'reductions data'!H:H)</f>
        <v>0</v>
      </c>
    </row>
    <row r="116" spans="2:15" x14ac:dyDescent="0.15">
      <c r="B116" s="342" t="s">
        <v>1436</v>
      </c>
      <c r="C116" s="66">
        <f>SUMIFS('reductions data'!H:H,'reductions data'!G:G,'reasons for reduction division'!B116,'reductions data'!A:A,$C$85)</f>
        <v>0</v>
      </c>
      <c r="D116" s="66">
        <f>SUMIFS('reductions data'!H:H,'reductions data'!G:G,'reasons for reduction division'!B116,'reductions data'!A:A,$D$85)</f>
        <v>0</v>
      </c>
      <c r="E116" s="66">
        <f>SUMIFS('reductions data'!H:H,'reductions data'!G:G,'reasons for reduction division'!B116,'reductions data'!A:A,$E$85)</f>
        <v>0</v>
      </c>
      <c r="F116" s="66">
        <f>SUMIFS('reductions data'!H:H,'reductions data'!G:G,'reasons for reduction division'!B116,'reductions data'!A:A,$F$85)</f>
        <v>0</v>
      </c>
      <c r="G116" s="66">
        <f>SUMIFS('reductions data'!H:H,'reductions data'!G:G,'reasons for reduction division'!B116,'reductions data'!A:A,$G$85)</f>
        <v>0</v>
      </c>
      <c r="H116" s="66">
        <f>SUMIFS('reductions data'!H:H,'reductions data'!G:G,'reasons for reduction division'!B116,'reductions data'!A:A,$H$85)</f>
        <v>0</v>
      </c>
      <c r="I116" s="66">
        <f>SUMIFS('reductions data'!H:H,'reductions data'!G:G,'reasons for reduction division'!B116,'reductions data'!A:A,$I$85)</f>
        <v>0</v>
      </c>
      <c r="J116" s="66">
        <f>SUMIFS('reductions data'!H:H,'reductions data'!G:G,'reasons for reduction division'!B116,'reductions data'!A:A,$J$85)</f>
        <v>0</v>
      </c>
      <c r="K116" s="66">
        <f>SUMIFS('reductions data'!H:H,'reductions data'!G:G,'reasons for reduction division'!B116,'reductions data'!A:A,$K$85)</f>
        <v>0</v>
      </c>
      <c r="L116" s="66">
        <f>SUMIFS('reductions data'!H:H,'reductions data'!G:G,'reasons for reduction division'!B116,'reductions data'!A:A,$L$85)</f>
        <v>0</v>
      </c>
      <c r="M116" s="66">
        <f>SUMIFS('reductions data'!H:H,'reductions data'!G:G,'reasons for reduction division'!B116,'reductions data'!A:A,$M$85)</f>
        <v>0</v>
      </c>
      <c r="N116" s="66">
        <f>SUMIFS('reductions data'!H:H,'reductions data'!G:G,'reasons for reduction division'!B116,'reductions data'!A:A,$N$85)</f>
        <v>0</v>
      </c>
      <c r="O116" s="109">
        <f>SUMIF('reductions data'!G:G,'reasons for reduction division'!B116,'reductions data'!H:H)</f>
        <v>0</v>
      </c>
    </row>
    <row r="117" spans="2:15" x14ac:dyDescent="0.15">
      <c r="B117" s="117" t="s">
        <v>1076</v>
      </c>
      <c r="C117" s="66">
        <f>SUMIFS('reductions data'!H:H,'reductions data'!G:G,'reasons for reduction division'!B117,'reductions data'!A:A,$C$85)</f>
        <v>0</v>
      </c>
      <c r="D117" s="66">
        <f>SUMIFS('reductions data'!H:H,'reductions data'!G:G,'reasons for reduction division'!B117,'reductions data'!A:A,$D$85)</f>
        <v>0</v>
      </c>
      <c r="E117" s="66">
        <f>SUMIFS('reductions data'!H:H,'reductions data'!G:G,'reasons for reduction division'!B117,'reductions data'!A:A,$E$85)</f>
        <v>0</v>
      </c>
      <c r="F117" s="66">
        <f>SUMIFS('reductions data'!H:H,'reductions data'!G:G,'reasons for reduction division'!B117,'reductions data'!A:A,$F$85)</f>
        <v>0</v>
      </c>
      <c r="G117" s="66">
        <f>SUMIFS('reductions data'!H:H,'reductions data'!G:G,'reasons for reduction division'!B117,'reductions data'!A:A,$G$85)</f>
        <v>0</v>
      </c>
      <c r="H117" s="66">
        <f>SUMIFS('reductions data'!H:H,'reductions data'!G:G,'reasons for reduction division'!B117,'reductions data'!A:A,$H$85)</f>
        <v>0</v>
      </c>
      <c r="I117" s="66">
        <f>SUMIFS('reductions data'!H:H,'reductions data'!G:G,'reasons for reduction division'!B117,'reductions data'!A:A,$I$85)</f>
        <v>0</v>
      </c>
      <c r="J117" s="66">
        <f>SUMIFS('reductions data'!H:H,'reductions data'!G:G,'reasons for reduction division'!B117,'reductions data'!A:A,$J$85)</f>
        <v>0</v>
      </c>
      <c r="K117" s="66">
        <f>SUMIFS('reductions data'!H:H,'reductions data'!G:G,'reasons for reduction division'!B117,'reductions data'!A:A,$K$85)</f>
        <v>0</v>
      </c>
      <c r="L117" s="66">
        <f>SUMIFS('reductions data'!H:H,'reductions data'!G:G,'reasons for reduction division'!B117,'reductions data'!A:A,$L$85)</f>
        <v>0</v>
      </c>
      <c r="M117" s="66">
        <f>SUMIFS('reductions data'!H:H,'reductions data'!G:G,'reasons for reduction division'!B117,'reductions data'!A:A,$M$85)</f>
        <v>0</v>
      </c>
      <c r="N117" s="66">
        <f>SUMIFS('reductions data'!H:H,'reductions data'!G:G,'reasons for reduction division'!B117,'reductions data'!A:A,$N$85)</f>
        <v>0</v>
      </c>
      <c r="O117" s="109">
        <f>SUMIF('reductions data'!G:G,'reasons for reduction division'!B117,'reductions data'!H:H)</f>
        <v>0</v>
      </c>
    </row>
    <row r="118" spans="2:15" x14ac:dyDescent="0.15">
      <c r="B118" s="117" t="s">
        <v>1081</v>
      </c>
      <c r="C118" s="66">
        <f>SUMIFS('reductions data'!H:H,'reductions data'!G:G,'reasons for reduction division'!B118,'reductions data'!A:A,$C$85)</f>
        <v>0</v>
      </c>
      <c r="D118" s="66">
        <f>SUMIFS('reductions data'!H:H,'reductions data'!G:G,'reasons for reduction division'!B118,'reductions data'!A:A,$D$85)</f>
        <v>0</v>
      </c>
      <c r="E118" s="66">
        <f>SUMIFS('reductions data'!H:H,'reductions data'!G:G,'reasons for reduction division'!B118,'reductions data'!A:A,$E$85)</f>
        <v>0</v>
      </c>
      <c r="F118" s="66">
        <f>SUMIFS('reductions data'!H:H,'reductions data'!G:G,'reasons for reduction division'!B118,'reductions data'!A:A,$F$85)</f>
        <v>0</v>
      </c>
      <c r="G118" s="66">
        <f>SUMIFS('reductions data'!H:H,'reductions data'!G:G,'reasons for reduction division'!B118,'reductions data'!A:A,$G$85)</f>
        <v>0</v>
      </c>
      <c r="H118" s="66">
        <f>SUMIFS('reductions data'!H:H,'reductions data'!G:G,'reasons for reduction division'!B118,'reductions data'!A:A,$H$85)</f>
        <v>0</v>
      </c>
      <c r="I118" s="66">
        <f>SUMIFS('reductions data'!H:H,'reductions data'!G:G,'reasons for reduction division'!B118,'reductions data'!A:A,$I$85)</f>
        <v>0</v>
      </c>
      <c r="J118" s="66">
        <f>SUMIFS('reductions data'!H:H,'reductions data'!G:G,'reasons for reduction division'!B118,'reductions data'!A:A,$J$85)</f>
        <v>0</v>
      </c>
      <c r="K118" s="66">
        <f>SUMIFS('reductions data'!H:H,'reductions data'!G:G,'reasons for reduction division'!B118,'reductions data'!A:A,$K$85)</f>
        <v>0</v>
      </c>
      <c r="L118" s="66">
        <f>SUMIFS('reductions data'!H:H,'reductions data'!G:G,'reasons for reduction division'!B118,'reductions data'!A:A,$L$85)</f>
        <v>0</v>
      </c>
      <c r="M118" s="66">
        <f>SUMIFS('reductions data'!H:H,'reductions data'!G:G,'reasons for reduction division'!B118,'reductions data'!A:A,$M$85)</f>
        <v>0</v>
      </c>
      <c r="N118" s="66">
        <f>SUMIFS('reductions data'!H:H,'reductions data'!G:G,'reasons for reduction division'!B118,'reductions data'!A:A,$N$85)</f>
        <v>0</v>
      </c>
      <c r="O118" s="109">
        <f>SUMIF('reductions data'!G:G,'reasons for reduction division'!B118,'reductions data'!H:H)</f>
        <v>0</v>
      </c>
    </row>
    <row r="119" spans="2:15" x14ac:dyDescent="0.15">
      <c r="B119" s="117" t="s">
        <v>1078</v>
      </c>
      <c r="C119" s="66">
        <f>SUMIFS('reductions data'!H:H,'reductions data'!G:G,'reasons for reduction division'!B119,'reductions data'!A:A,$C$85)</f>
        <v>0</v>
      </c>
      <c r="D119" s="66">
        <f>SUMIFS('reductions data'!H:H,'reductions data'!G:G,'reasons for reduction division'!B119,'reductions data'!A:A,$D$85)</f>
        <v>0</v>
      </c>
      <c r="E119" s="66">
        <f>SUMIFS('reductions data'!H:H,'reductions data'!G:G,'reasons for reduction division'!B119,'reductions data'!A:A,$E$85)</f>
        <v>0</v>
      </c>
      <c r="F119" s="66">
        <f>SUMIFS('reductions data'!H:H,'reductions data'!G:G,'reasons for reduction division'!B119,'reductions data'!A:A,$F$85)</f>
        <v>0</v>
      </c>
      <c r="G119" s="66">
        <f>SUMIFS('reductions data'!H:H,'reductions data'!G:G,'reasons for reduction division'!B119,'reductions data'!A:A,$G$85)</f>
        <v>0</v>
      </c>
      <c r="H119" s="66">
        <f>SUMIFS('reductions data'!H:H,'reductions data'!G:G,'reasons for reduction division'!B119,'reductions data'!A:A,$H$85)</f>
        <v>0</v>
      </c>
      <c r="I119" s="66">
        <f>SUMIFS('reductions data'!H:H,'reductions data'!G:G,'reasons for reduction division'!B119,'reductions data'!A:A,$I$85)</f>
        <v>0</v>
      </c>
      <c r="J119" s="66">
        <f>SUMIFS('reductions data'!H:H,'reductions data'!G:G,'reasons for reduction division'!B119,'reductions data'!A:A,$J$85)</f>
        <v>0</v>
      </c>
      <c r="K119" s="66">
        <f>SUMIFS('reductions data'!H:H,'reductions data'!G:G,'reasons for reduction division'!B119,'reductions data'!A:A,$K$85)</f>
        <v>0</v>
      </c>
      <c r="L119" s="66">
        <f>SUMIFS('reductions data'!H:H,'reductions data'!G:G,'reasons for reduction division'!B119,'reductions data'!A:A,$L$85)</f>
        <v>0</v>
      </c>
      <c r="M119" s="66">
        <f>SUMIFS('reductions data'!H:H,'reductions data'!G:G,'reasons for reduction division'!B119,'reductions data'!A:A,$M$85)</f>
        <v>0</v>
      </c>
      <c r="N119" s="66">
        <f>SUMIFS('reductions data'!H:H,'reductions data'!G:G,'reasons for reduction division'!B119,'reductions data'!A:A,$N$85)</f>
        <v>0</v>
      </c>
      <c r="O119" s="109">
        <f>SUMIF('reductions data'!G:G,'reasons for reduction division'!B119,'reductions data'!H:H)</f>
        <v>0</v>
      </c>
    </row>
    <row r="120" spans="2:15" x14ac:dyDescent="0.15">
      <c r="B120" s="116" t="s">
        <v>1439</v>
      </c>
      <c r="C120" s="66">
        <f>SUMIFS('reductions data'!H:H,'reductions data'!G:G,'reasons for reduction division'!B120,'reductions data'!A:A,$C$85)</f>
        <v>0</v>
      </c>
      <c r="D120" s="66">
        <f>SUMIFS('reductions data'!H:H,'reductions data'!G:G,'reasons for reduction division'!B120,'reductions data'!A:A,$D$85)</f>
        <v>0</v>
      </c>
      <c r="E120" s="66">
        <f>SUMIFS('reductions data'!H:H,'reductions data'!G:G,'reasons for reduction division'!B120,'reductions data'!A:A,$E$85)</f>
        <v>0</v>
      </c>
      <c r="F120" s="66">
        <f>SUMIFS('reductions data'!H:H,'reductions data'!G:G,'reasons for reduction division'!B120,'reductions data'!A:A,$F$85)</f>
        <v>0</v>
      </c>
      <c r="G120" s="66">
        <f>SUMIFS('reductions data'!H:H,'reductions data'!G:G,'reasons for reduction division'!B120,'reductions data'!A:A,$G$85)</f>
        <v>0</v>
      </c>
      <c r="H120" s="66">
        <f>SUMIFS('reductions data'!H:H,'reductions data'!G:G,'reasons for reduction division'!B120,'reductions data'!A:A,$H$85)</f>
        <v>0</v>
      </c>
      <c r="I120" s="66">
        <f>SUMIFS('reductions data'!H:H,'reductions data'!G:G,'reasons for reduction division'!B120,'reductions data'!A:A,$I$85)</f>
        <v>0</v>
      </c>
      <c r="J120" s="66">
        <f>SUMIFS('reductions data'!H:H,'reductions data'!G:G,'reasons for reduction division'!B120,'reductions data'!A:A,$J$85)</f>
        <v>0</v>
      </c>
      <c r="K120" s="66">
        <f>SUMIFS('reductions data'!H:H,'reductions data'!G:G,'reasons for reduction division'!B120,'reductions data'!A:A,$K$85)</f>
        <v>0</v>
      </c>
      <c r="L120" s="66">
        <f>SUMIFS('reductions data'!H:H,'reductions data'!G:G,'reasons for reduction division'!B120,'reductions data'!A:A,$L$85)</f>
        <v>0</v>
      </c>
      <c r="M120" s="66">
        <f>SUMIFS('reductions data'!H:H,'reductions data'!G:G,'reasons for reduction division'!B120,'reductions data'!A:A,$M$85)</f>
        <v>0</v>
      </c>
      <c r="N120" s="66">
        <f>SUMIFS('reductions data'!H:H,'reductions data'!G:G,'reasons for reduction division'!B120,'reductions data'!A:A,$N$85)</f>
        <v>0</v>
      </c>
      <c r="O120" s="109">
        <f>SUMIF('reductions data'!G:G,'reasons for reduction division'!B120,'reductions data'!H:H)</f>
        <v>0</v>
      </c>
    </row>
    <row r="121" spans="2:15" x14ac:dyDescent="0.15">
      <c r="B121" s="117" t="s">
        <v>1440</v>
      </c>
      <c r="C121" s="66">
        <f>SUMIFS('reductions data'!H:H,'reductions data'!G:G,'reasons for reduction division'!B121,'reductions data'!A:A,$C$85)</f>
        <v>0</v>
      </c>
      <c r="D121" s="66">
        <f>SUMIFS('reductions data'!H:H,'reductions data'!G:G,'reasons for reduction division'!B121,'reductions data'!A:A,$D$85)</f>
        <v>0</v>
      </c>
      <c r="E121" s="66">
        <f>SUMIFS('reductions data'!H:H,'reductions data'!G:G,'reasons for reduction division'!B121,'reductions data'!A:A,$E$85)</f>
        <v>0</v>
      </c>
      <c r="F121" s="66">
        <f>SUMIFS('reductions data'!H:H,'reductions data'!G:G,'reasons for reduction division'!B121,'reductions data'!A:A,$F$85)</f>
        <v>0</v>
      </c>
      <c r="G121" s="66">
        <f>SUMIFS('reductions data'!H:H,'reductions data'!G:G,'reasons for reduction division'!B121,'reductions data'!A:A,$G$85)</f>
        <v>0</v>
      </c>
      <c r="H121" s="66">
        <f>SUMIFS('reductions data'!H:H,'reductions data'!G:G,'reasons for reduction division'!B121,'reductions data'!A:A,$H$85)</f>
        <v>0</v>
      </c>
      <c r="I121" s="66">
        <f>SUMIFS('reductions data'!H:H,'reductions data'!G:G,'reasons for reduction division'!B121,'reductions data'!A:A,$I$85)</f>
        <v>0</v>
      </c>
      <c r="J121" s="66">
        <f>SUMIFS('reductions data'!H:H,'reductions data'!G:G,'reasons for reduction division'!B121,'reductions data'!A:A,$J$85)</f>
        <v>0</v>
      </c>
      <c r="K121" s="66">
        <f>SUMIFS('reductions data'!H:H,'reductions data'!G:G,'reasons for reduction division'!B121,'reductions data'!A:A,$K$85)</f>
        <v>0</v>
      </c>
      <c r="L121" s="66">
        <f>SUMIFS('reductions data'!H:H,'reductions data'!G:G,'reasons for reduction division'!B121,'reductions data'!A:A,$L$85)</f>
        <v>0</v>
      </c>
      <c r="M121" s="66">
        <f>SUMIFS('reductions data'!H:H,'reductions data'!G:G,'reasons for reduction division'!B121,'reductions data'!A:A,$M$85)</f>
        <v>0</v>
      </c>
      <c r="N121" s="66">
        <f>SUMIFS('reductions data'!H:H,'reductions data'!G:G,'reasons for reduction division'!B121,'reductions data'!A:A,$N$85)</f>
        <v>0</v>
      </c>
      <c r="O121" s="109">
        <f>SUMIF('reductions data'!G:G,'reasons for reduction division'!B121,'reductions data'!H:H)</f>
        <v>0</v>
      </c>
    </row>
    <row r="122" spans="2:15" x14ac:dyDescent="0.15">
      <c r="B122" s="117" t="s">
        <v>1082</v>
      </c>
      <c r="C122" s="66">
        <f>SUMIFS('reductions data'!H:H,'reductions data'!G:G,'reasons for reduction division'!B122,'reductions data'!A:A,$C$85)</f>
        <v>0</v>
      </c>
      <c r="D122" s="66">
        <f>SUMIFS('reductions data'!H:H,'reductions data'!G:G,'reasons for reduction division'!B122,'reductions data'!A:A,$D$85)</f>
        <v>0</v>
      </c>
      <c r="E122" s="66">
        <f>SUMIFS('reductions data'!H:H,'reductions data'!G:G,'reasons for reduction division'!B122,'reductions data'!A:A,$E$85)</f>
        <v>0</v>
      </c>
      <c r="F122" s="66">
        <f>SUMIFS('reductions data'!H:H,'reductions data'!G:G,'reasons for reduction division'!B122,'reductions data'!A:A,$F$85)</f>
        <v>0</v>
      </c>
      <c r="G122" s="66">
        <f>SUMIFS('reductions data'!H:H,'reductions data'!G:G,'reasons for reduction division'!B122,'reductions data'!A:A,$G$85)</f>
        <v>0</v>
      </c>
      <c r="H122" s="66">
        <f>SUMIFS('reductions data'!H:H,'reductions data'!G:G,'reasons for reduction division'!B122,'reductions data'!A:A,$H$85)</f>
        <v>0</v>
      </c>
      <c r="I122" s="66">
        <f>SUMIFS('reductions data'!H:H,'reductions data'!G:G,'reasons for reduction division'!B122,'reductions data'!A:A,$I$85)</f>
        <v>0</v>
      </c>
      <c r="J122" s="66">
        <f>SUMIFS('reductions data'!H:H,'reductions data'!G:G,'reasons for reduction division'!B122,'reductions data'!A:A,$J$85)</f>
        <v>0</v>
      </c>
      <c r="K122" s="66">
        <f>SUMIFS('reductions data'!H:H,'reductions data'!G:G,'reasons for reduction division'!B122,'reductions data'!A:A,$K$85)</f>
        <v>0</v>
      </c>
      <c r="L122" s="66">
        <f>SUMIFS('reductions data'!H:H,'reductions data'!G:G,'reasons for reduction division'!B122,'reductions data'!A:A,$L$85)</f>
        <v>0</v>
      </c>
      <c r="M122" s="66">
        <f>SUMIFS('reductions data'!H:H,'reductions data'!G:G,'reasons for reduction division'!B122,'reductions data'!A:A,$M$85)</f>
        <v>0</v>
      </c>
      <c r="N122" s="66">
        <f>SUMIFS('reductions data'!H:H,'reductions data'!G:G,'reasons for reduction division'!B122,'reductions data'!A:A,$N$85)</f>
        <v>0</v>
      </c>
      <c r="O122" s="109">
        <f>SUMIF('reductions data'!G:G,'reasons for reduction division'!B122,'reductions data'!H:H)</f>
        <v>0</v>
      </c>
    </row>
    <row r="123" spans="2:15" x14ac:dyDescent="0.15">
      <c r="B123" s="117" t="s">
        <v>1083</v>
      </c>
      <c r="C123" s="66">
        <f>SUMIFS('reductions data'!H:H,'reductions data'!G:G,'reasons for reduction division'!B123,'reductions data'!A:A,$C$85)</f>
        <v>0</v>
      </c>
      <c r="D123" s="66">
        <f>SUMIFS('reductions data'!H:H,'reductions data'!G:G,'reasons for reduction division'!B123,'reductions data'!A:A,$D$85)</f>
        <v>0</v>
      </c>
      <c r="E123" s="66">
        <f>SUMIFS('reductions data'!H:H,'reductions data'!G:G,'reasons for reduction division'!B123,'reductions data'!A:A,$E$85)</f>
        <v>0</v>
      </c>
      <c r="F123" s="66">
        <f>SUMIFS('reductions data'!H:H,'reductions data'!G:G,'reasons for reduction division'!B123,'reductions data'!A:A,$F$85)</f>
        <v>0</v>
      </c>
      <c r="G123" s="66">
        <f>SUMIFS('reductions data'!H:H,'reductions data'!G:G,'reasons for reduction division'!B123,'reductions data'!A:A,$G$85)</f>
        <v>0</v>
      </c>
      <c r="H123" s="66">
        <f>SUMIFS('reductions data'!H:H,'reductions data'!G:G,'reasons for reduction division'!B123,'reductions data'!A:A,$H$85)</f>
        <v>0</v>
      </c>
      <c r="I123" s="66">
        <f>SUMIFS('reductions data'!H:H,'reductions data'!G:G,'reasons for reduction division'!B123,'reductions data'!A:A,$I$85)</f>
        <v>0</v>
      </c>
      <c r="J123" s="66">
        <f>SUMIFS('reductions data'!H:H,'reductions data'!G:G,'reasons for reduction division'!B123,'reductions data'!A:A,$J$85)</f>
        <v>0</v>
      </c>
      <c r="K123" s="66">
        <f>SUMIFS('reductions data'!H:H,'reductions data'!G:G,'reasons for reduction division'!B123,'reductions data'!A:A,$K$85)</f>
        <v>0</v>
      </c>
      <c r="L123" s="66">
        <f>SUMIFS('reductions data'!H:H,'reductions data'!G:G,'reasons for reduction division'!B123,'reductions data'!A:A,$L$85)</f>
        <v>0</v>
      </c>
      <c r="M123" s="66">
        <f>SUMIFS('reductions data'!H:H,'reductions data'!G:G,'reasons for reduction division'!B123,'reductions data'!A:A,$M$85)</f>
        <v>0</v>
      </c>
      <c r="N123" s="66">
        <f>SUMIFS('reductions data'!H:H,'reductions data'!G:G,'reasons for reduction division'!B123,'reductions data'!A:A,$N$85)</f>
        <v>0</v>
      </c>
      <c r="O123" s="109">
        <f>SUMIF('reductions data'!G:G,'reasons for reduction division'!B123,'reductions data'!H:H)</f>
        <v>0</v>
      </c>
    </row>
    <row r="124" spans="2:15" x14ac:dyDescent="0.15">
      <c r="B124" s="117" t="s">
        <v>1084</v>
      </c>
      <c r="C124" s="66">
        <f>SUMIFS('reductions data'!H:H,'reductions data'!G:G,'reasons for reduction division'!B124,'reductions data'!A:A,$C$85)</f>
        <v>0</v>
      </c>
      <c r="D124" s="66">
        <f>SUMIFS('reductions data'!H:H,'reductions data'!G:G,'reasons for reduction division'!B124,'reductions data'!A:A,$D$85)</f>
        <v>0</v>
      </c>
      <c r="E124" s="66">
        <f>SUMIFS('reductions data'!H:H,'reductions data'!G:G,'reasons for reduction division'!B124,'reductions data'!A:A,$E$85)</f>
        <v>0</v>
      </c>
      <c r="F124" s="66">
        <f>SUMIFS('reductions data'!H:H,'reductions data'!G:G,'reasons for reduction division'!B124,'reductions data'!A:A,$F$85)</f>
        <v>0</v>
      </c>
      <c r="G124" s="66">
        <f>SUMIFS('reductions data'!H:H,'reductions data'!G:G,'reasons for reduction division'!B124,'reductions data'!A:A,$G$85)</f>
        <v>0</v>
      </c>
      <c r="H124" s="66">
        <f>SUMIFS('reductions data'!H:H,'reductions data'!G:G,'reasons for reduction division'!B124,'reductions data'!A:A,$H$85)</f>
        <v>0</v>
      </c>
      <c r="I124" s="66">
        <f>SUMIFS('reductions data'!H:H,'reductions data'!G:G,'reasons for reduction division'!B124,'reductions data'!A:A,$I$85)</f>
        <v>0</v>
      </c>
      <c r="J124" s="66">
        <f>SUMIFS('reductions data'!H:H,'reductions data'!G:G,'reasons for reduction division'!B124,'reductions data'!A:A,$J$85)</f>
        <v>0</v>
      </c>
      <c r="K124" s="66">
        <f>SUMIFS('reductions data'!H:H,'reductions data'!G:G,'reasons for reduction division'!B124,'reductions data'!A:A,$K$85)</f>
        <v>0</v>
      </c>
      <c r="L124" s="66">
        <f>SUMIFS('reductions data'!H:H,'reductions data'!G:G,'reasons for reduction division'!B124,'reductions data'!A:A,$L$85)</f>
        <v>0</v>
      </c>
      <c r="M124" s="66">
        <f>SUMIFS('reductions data'!H:H,'reductions data'!G:G,'reasons for reduction division'!B124,'reductions data'!A:A,$M$85)</f>
        <v>0</v>
      </c>
      <c r="N124" s="66">
        <f>SUMIFS('reductions data'!H:H,'reductions data'!G:G,'reasons for reduction division'!B124,'reductions data'!A:A,$N$85)</f>
        <v>0</v>
      </c>
      <c r="O124" s="109">
        <f>SUMIF('reductions data'!G:G,'reasons for reduction division'!B124,'reductions data'!H:H)</f>
        <v>0</v>
      </c>
    </row>
    <row r="125" spans="2:15" x14ac:dyDescent="0.15">
      <c r="B125" s="117" t="s">
        <v>1085</v>
      </c>
      <c r="C125" s="66">
        <f>SUMIFS('reductions data'!H:H,'reductions data'!G:G,'reasons for reduction division'!B125,'reductions data'!A:A,$C$85)</f>
        <v>0</v>
      </c>
      <c r="D125" s="66">
        <f>SUMIFS('reductions data'!H:H,'reductions data'!G:G,'reasons for reduction division'!B125,'reductions data'!A:A,$D$85)</f>
        <v>0</v>
      </c>
      <c r="E125" s="66">
        <f>SUMIFS('reductions data'!H:H,'reductions data'!G:G,'reasons for reduction division'!B125,'reductions data'!A:A,$E$85)</f>
        <v>0</v>
      </c>
      <c r="F125" s="66">
        <f>SUMIFS('reductions data'!H:H,'reductions data'!G:G,'reasons for reduction division'!B125,'reductions data'!A:A,$F$85)</f>
        <v>0</v>
      </c>
      <c r="G125" s="66">
        <f>SUMIFS('reductions data'!H:H,'reductions data'!G:G,'reasons for reduction division'!B125,'reductions data'!A:A,$G$85)</f>
        <v>0</v>
      </c>
      <c r="H125" s="66">
        <f>SUMIFS('reductions data'!H:H,'reductions data'!G:G,'reasons for reduction division'!B125,'reductions data'!A:A,$H$85)</f>
        <v>0</v>
      </c>
      <c r="I125" s="66">
        <f>SUMIFS('reductions data'!H:H,'reductions data'!G:G,'reasons for reduction division'!B125,'reductions data'!A:A,$I$85)</f>
        <v>0</v>
      </c>
      <c r="J125" s="66">
        <f>SUMIFS('reductions data'!H:H,'reductions data'!G:G,'reasons for reduction division'!B125,'reductions data'!A:A,$J$85)</f>
        <v>0</v>
      </c>
      <c r="K125" s="66">
        <f>SUMIFS('reductions data'!H:H,'reductions data'!G:G,'reasons for reduction division'!B125,'reductions data'!A:A,$K$85)</f>
        <v>0</v>
      </c>
      <c r="L125" s="66">
        <f>SUMIFS('reductions data'!H:H,'reductions data'!G:G,'reasons for reduction division'!B125,'reductions data'!A:A,$L$85)</f>
        <v>0</v>
      </c>
      <c r="M125" s="66">
        <f>SUMIFS('reductions data'!H:H,'reductions data'!G:G,'reasons for reduction division'!B125,'reductions data'!A:A,$M$85)</f>
        <v>0</v>
      </c>
      <c r="N125" s="66">
        <f>SUMIFS('reductions data'!H:H,'reductions data'!G:G,'reasons for reduction division'!B125,'reductions data'!A:A,$N$85)</f>
        <v>0</v>
      </c>
      <c r="O125" s="109">
        <f>SUMIF('reductions data'!G:G,'reasons for reduction division'!B125,'reductions data'!H:H)</f>
        <v>0</v>
      </c>
    </row>
    <row r="126" spans="2:15" x14ac:dyDescent="0.15">
      <c r="B126" s="117" t="s">
        <v>1086</v>
      </c>
      <c r="C126" s="66">
        <f>SUMIFS('reductions data'!H:H,'reductions data'!G:G,'reasons for reduction division'!B126,'reductions data'!A:A,$C$85)</f>
        <v>0</v>
      </c>
      <c r="D126" s="66">
        <f>SUMIFS('reductions data'!H:H,'reductions data'!G:G,'reasons for reduction division'!B126,'reductions data'!A:A,$D$85)</f>
        <v>0</v>
      </c>
      <c r="E126" s="66">
        <f>SUMIFS('reductions data'!H:H,'reductions data'!G:G,'reasons for reduction division'!B126,'reductions data'!A:A,$E$85)</f>
        <v>0</v>
      </c>
      <c r="F126" s="66">
        <f>SUMIFS('reductions data'!H:H,'reductions data'!G:G,'reasons for reduction division'!B126,'reductions data'!A:A,$F$85)</f>
        <v>0</v>
      </c>
      <c r="G126" s="66">
        <f>SUMIFS('reductions data'!H:H,'reductions data'!G:G,'reasons for reduction division'!B126,'reductions data'!A:A,$G$85)</f>
        <v>0</v>
      </c>
      <c r="H126" s="66">
        <f>SUMIFS('reductions data'!H:H,'reductions data'!G:G,'reasons for reduction division'!B126,'reductions data'!A:A,$H$85)</f>
        <v>0</v>
      </c>
      <c r="I126" s="66">
        <f>SUMIFS('reductions data'!H:H,'reductions data'!G:G,'reasons for reduction division'!B126,'reductions data'!A:A,$I$85)</f>
        <v>0</v>
      </c>
      <c r="J126" s="66">
        <f>SUMIFS('reductions data'!H:H,'reductions data'!G:G,'reasons for reduction division'!B126,'reductions data'!A:A,$J$85)</f>
        <v>0</v>
      </c>
      <c r="K126" s="66">
        <f>SUMIFS('reductions data'!H:H,'reductions data'!G:G,'reasons for reduction division'!B126,'reductions data'!A:A,$K$85)</f>
        <v>0</v>
      </c>
      <c r="L126" s="66">
        <f>SUMIFS('reductions data'!H:H,'reductions data'!G:G,'reasons for reduction division'!B126,'reductions data'!A:A,$L$85)</f>
        <v>0</v>
      </c>
      <c r="M126" s="66">
        <f>SUMIFS('reductions data'!H:H,'reductions data'!G:G,'reasons for reduction division'!B126,'reductions data'!A:A,$M$85)</f>
        <v>0</v>
      </c>
      <c r="N126" s="66">
        <f>SUMIFS('reductions data'!H:H,'reductions data'!G:G,'reasons for reduction division'!B126,'reductions data'!A:A,$N$85)</f>
        <v>0</v>
      </c>
      <c r="O126" s="109">
        <f>SUMIF('reductions data'!G:G,'reasons for reduction division'!B126,'reductions data'!H:H)</f>
        <v>0</v>
      </c>
    </row>
    <row r="127" spans="2:15" x14ac:dyDescent="0.15">
      <c r="B127" s="117" t="s">
        <v>1087</v>
      </c>
      <c r="C127" s="66">
        <f>SUMIFS('reductions data'!H:H,'reductions data'!G:G,'reasons for reduction division'!B127,'reductions data'!A:A,$C$85)</f>
        <v>0</v>
      </c>
      <c r="D127" s="66">
        <f>SUMIFS('reductions data'!H:H,'reductions data'!G:G,'reasons for reduction division'!B127,'reductions data'!A:A,$D$85)</f>
        <v>0</v>
      </c>
      <c r="E127" s="66">
        <f>SUMIFS('reductions data'!H:H,'reductions data'!G:G,'reasons for reduction division'!B127,'reductions data'!A:A,$E$85)</f>
        <v>0</v>
      </c>
      <c r="F127" s="66">
        <f>SUMIFS('reductions data'!H:H,'reductions data'!G:G,'reasons for reduction division'!B127,'reductions data'!A:A,$F$85)</f>
        <v>0</v>
      </c>
      <c r="G127" s="66">
        <f>SUMIFS('reductions data'!H:H,'reductions data'!G:G,'reasons for reduction division'!B127,'reductions data'!A:A,$G$85)</f>
        <v>0</v>
      </c>
      <c r="H127" s="66">
        <f>SUMIFS('reductions data'!H:H,'reductions data'!G:G,'reasons for reduction division'!B127,'reductions data'!A:A,$H$85)</f>
        <v>0</v>
      </c>
      <c r="I127" s="66">
        <f>SUMIFS('reductions data'!H:H,'reductions data'!G:G,'reasons for reduction division'!B127,'reductions data'!A:A,$I$85)</f>
        <v>0</v>
      </c>
      <c r="J127" s="66">
        <f>SUMIFS('reductions data'!H:H,'reductions data'!G:G,'reasons for reduction division'!B127,'reductions data'!A:A,$J$85)</f>
        <v>0</v>
      </c>
      <c r="K127" s="66">
        <f>SUMIFS('reductions data'!H:H,'reductions data'!G:G,'reasons for reduction division'!B127,'reductions data'!A:A,$K$85)</f>
        <v>0</v>
      </c>
      <c r="L127" s="66">
        <f>SUMIFS('reductions data'!H:H,'reductions data'!G:G,'reasons for reduction division'!B127,'reductions data'!A:A,$L$85)</f>
        <v>0</v>
      </c>
      <c r="M127" s="66">
        <f>SUMIFS('reductions data'!H:H,'reductions data'!G:G,'reasons for reduction division'!B127,'reductions data'!A:A,$M$85)</f>
        <v>0</v>
      </c>
      <c r="N127" s="66">
        <f>SUMIFS('reductions data'!H:H,'reductions data'!G:G,'reasons for reduction division'!B127,'reductions data'!A:A,$N$85)</f>
        <v>0</v>
      </c>
      <c r="O127" s="109">
        <f>SUMIF('reductions data'!G:G,'reasons for reduction division'!B127,'reductions data'!H:H)</f>
        <v>0</v>
      </c>
    </row>
    <row r="128" spans="2:15" x14ac:dyDescent="0.15">
      <c r="B128" s="117" t="s">
        <v>1074</v>
      </c>
      <c r="C128" s="66">
        <f>SUMIFS('reductions data'!H:H,'reductions data'!G:G,'reasons for reduction division'!B128,'reductions data'!A:A,$C$85)</f>
        <v>0</v>
      </c>
      <c r="D128" s="66">
        <f>SUMIFS('reductions data'!H:H,'reductions data'!G:G,'reasons for reduction division'!B128,'reductions data'!A:A,$D$85)</f>
        <v>0</v>
      </c>
      <c r="E128" s="66">
        <f>SUMIFS('reductions data'!H:H,'reductions data'!G:G,'reasons for reduction division'!B128,'reductions data'!A:A,$E$85)</f>
        <v>0</v>
      </c>
      <c r="F128" s="66">
        <f>SUMIFS('reductions data'!H:H,'reductions data'!G:G,'reasons for reduction division'!B128,'reductions data'!A:A,$F$85)</f>
        <v>0</v>
      </c>
      <c r="G128" s="66">
        <f>SUMIFS('reductions data'!H:H,'reductions data'!G:G,'reasons for reduction division'!B128,'reductions data'!A:A,$G$85)</f>
        <v>0</v>
      </c>
      <c r="H128" s="66">
        <f>SUMIFS('reductions data'!H:H,'reductions data'!G:G,'reasons for reduction division'!B128,'reductions data'!A:A,$H$85)</f>
        <v>0</v>
      </c>
      <c r="I128" s="66">
        <f>SUMIFS('reductions data'!H:H,'reductions data'!G:G,'reasons for reduction division'!B128,'reductions data'!A:A,$I$85)</f>
        <v>0</v>
      </c>
      <c r="J128" s="66">
        <f>SUMIFS('reductions data'!H:H,'reductions data'!G:G,'reasons for reduction division'!B128,'reductions data'!A:A,$J$85)</f>
        <v>0</v>
      </c>
      <c r="K128" s="66">
        <f>SUMIFS('reductions data'!H:H,'reductions data'!G:G,'reasons for reduction division'!B128,'reductions data'!A:A,$K$85)</f>
        <v>0</v>
      </c>
      <c r="L128" s="66">
        <f>SUMIFS('reductions data'!H:H,'reductions data'!G:G,'reasons for reduction division'!B128,'reductions data'!A:A,$L$85)</f>
        <v>0</v>
      </c>
      <c r="M128" s="66">
        <f>SUMIFS('reductions data'!H:H,'reductions data'!G:G,'reasons for reduction division'!B128,'reductions data'!A:A,$M$85)</f>
        <v>0</v>
      </c>
      <c r="N128" s="66">
        <f>SUMIFS('reductions data'!H:H,'reductions data'!G:G,'reasons for reduction division'!B128,'reductions data'!A:A,$N$85)</f>
        <v>0</v>
      </c>
      <c r="O128" s="109">
        <f>SUMIF('reductions data'!G:G,'reasons for reduction division'!B128,'reductions data'!H:H)</f>
        <v>0</v>
      </c>
    </row>
    <row r="129" spans="2:15" x14ac:dyDescent="0.15">
      <c r="B129" s="117" t="s">
        <v>1091</v>
      </c>
      <c r="C129" s="66">
        <f>SUMIFS('reductions data'!H:H,'reductions data'!G:G,'reasons for reduction division'!B129,'reductions data'!A:A,$C$85)</f>
        <v>0</v>
      </c>
      <c r="D129" s="66">
        <f>SUMIFS('reductions data'!H:H,'reductions data'!G:G,'reasons for reduction division'!B129,'reductions data'!A:A,$D$85)</f>
        <v>0</v>
      </c>
      <c r="E129" s="66">
        <f>SUMIFS('reductions data'!H:H,'reductions data'!G:G,'reasons for reduction division'!B129,'reductions data'!A:A,$E$85)</f>
        <v>0</v>
      </c>
      <c r="F129" s="66">
        <f>SUMIFS('reductions data'!H:H,'reductions data'!G:G,'reasons for reduction division'!B129,'reductions data'!A:A,$F$85)</f>
        <v>0</v>
      </c>
      <c r="G129" s="66">
        <f>SUMIFS('reductions data'!H:H,'reductions data'!G:G,'reasons for reduction division'!B129,'reductions data'!A:A,$G$85)</f>
        <v>0</v>
      </c>
      <c r="H129" s="66">
        <f>SUMIFS('reductions data'!H:H,'reductions data'!G:G,'reasons for reduction division'!B129,'reductions data'!A:A,$H$85)</f>
        <v>0</v>
      </c>
      <c r="I129" s="66">
        <f>SUMIFS('reductions data'!H:H,'reductions data'!G:G,'reasons for reduction division'!B129,'reductions data'!A:A,$I$85)</f>
        <v>0</v>
      </c>
      <c r="J129" s="66">
        <f>SUMIFS('reductions data'!H:H,'reductions data'!G:G,'reasons for reduction division'!B129,'reductions data'!A:A,$J$85)</f>
        <v>0</v>
      </c>
      <c r="K129" s="66">
        <f>SUMIFS('reductions data'!H:H,'reductions data'!G:G,'reasons for reduction division'!B129,'reductions data'!A:A,$K$85)</f>
        <v>0</v>
      </c>
      <c r="L129" s="66">
        <f>SUMIFS('reductions data'!H:H,'reductions data'!G:G,'reasons for reduction division'!B129,'reductions data'!A:A,$L$85)</f>
        <v>0</v>
      </c>
      <c r="M129" s="66">
        <f>SUMIFS('reductions data'!H:H,'reductions data'!G:G,'reasons for reduction division'!B129,'reductions data'!A:A,$M$85)</f>
        <v>0</v>
      </c>
      <c r="N129" s="66">
        <f>SUMIFS('reductions data'!H:H,'reductions data'!G:G,'reasons for reduction division'!B129,'reductions data'!A:A,$N$85)</f>
        <v>0</v>
      </c>
      <c r="O129" s="109">
        <f>SUMIF('reductions data'!G:G,'reasons for reduction division'!B129,'reductions data'!H:H)</f>
        <v>0</v>
      </c>
    </row>
    <row r="130" spans="2:15" x14ac:dyDescent="0.15">
      <c r="B130" s="117" t="s">
        <v>1092</v>
      </c>
      <c r="C130" s="66">
        <f>SUMIFS('reductions data'!H:H,'reductions data'!G:G,'reasons for reduction division'!B130,'reductions data'!A:A,$C$85)</f>
        <v>0</v>
      </c>
      <c r="D130" s="66">
        <f>SUMIFS('reductions data'!H:H,'reductions data'!G:G,'reasons for reduction division'!B130,'reductions data'!A:A,$D$85)</f>
        <v>0</v>
      </c>
      <c r="E130" s="66">
        <f>SUMIFS('reductions data'!H:H,'reductions data'!G:G,'reasons for reduction division'!B130,'reductions data'!A:A,$E$85)</f>
        <v>0</v>
      </c>
      <c r="F130" s="66">
        <f>SUMIFS('reductions data'!H:H,'reductions data'!G:G,'reasons for reduction division'!B130,'reductions data'!A:A,$F$85)</f>
        <v>0</v>
      </c>
      <c r="G130" s="66">
        <f>SUMIFS('reductions data'!H:H,'reductions data'!G:G,'reasons for reduction division'!B130,'reductions data'!A:A,$G$85)</f>
        <v>0</v>
      </c>
      <c r="H130" s="66">
        <f>SUMIFS('reductions data'!H:H,'reductions data'!G:G,'reasons for reduction division'!B130,'reductions data'!A:A,$H$85)</f>
        <v>0</v>
      </c>
      <c r="I130" s="66">
        <f>SUMIFS('reductions data'!H:H,'reductions data'!G:G,'reasons for reduction division'!B130,'reductions data'!A:A,$I$85)</f>
        <v>0</v>
      </c>
      <c r="J130" s="66">
        <f>SUMIFS('reductions data'!H:H,'reductions data'!G:G,'reasons for reduction division'!B130,'reductions data'!A:A,$J$85)</f>
        <v>0</v>
      </c>
      <c r="K130" s="66">
        <f>SUMIFS('reductions data'!H:H,'reductions data'!G:G,'reasons for reduction division'!B130,'reductions data'!A:A,$K$85)</f>
        <v>0</v>
      </c>
      <c r="L130" s="66">
        <f>SUMIFS('reductions data'!H:H,'reductions data'!G:G,'reasons for reduction division'!B130,'reductions data'!A:A,$L$85)</f>
        <v>0</v>
      </c>
      <c r="M130" s="66">
        <f>SUMIFS('reductions data'!H:H,'reductions data'!G:G,'reasons for reduction division'!B130,'reductions data'!A:A,$M$85)</f>
        <v>0</v>
      </c>
      <c r="N130" s="66">
        <f>SUMIFS('reductions data'!H:H,'reductions data'!G:G,'reasons for reduction division'!B130,'reductions data'!A:A,$N$85)</f>
        <v>0</v>
      </c>
      <c r="O130" s="109">
        <f>SUMIF('reductions data'!G:G,'reasons for reduction division'!B130,'reductions data'!H:H)</f>
        <v>0</v>
      </c>
    </row>
    <row r="131" spans="2:15" x14ac:dyDescent="0.15">
      <c r="B131" s="117" t="s">
        <v>1093</v>
      </c>
      <c r="C131" s="66">
        <f>SUMIFS('reductions data'!H:H,'reductions data'!G:G,'reasons for reduction division'!B131,'reductions data'!A:A,$C$85)</f>
        <v>0</v>
      </c>
      <c r="D131" s="66">
        <f>SUMIFS('reductions data'!H:H,'reductions data'!G:G,'reasons for reduction division'!B131,'reductions data'!A:A,$D$85)</f>
        <v>0</v>
      </c>
      <c r="E131" s="66">
        <f>SUMIFS('reductions data'!H:H,'reductions data'!G:G,'reasons for reduction division'!B131,'reductions data'!A:A,$E$85)</f>
        <v>0</v>
      </c>
      <c r="F131" s="66">
        <f>SUMIFS('reductions data'!H:H,'reductions data'!G:G,'reasons for reduction division'!B131,'reductions data'!A:A,$F$85)</f>
        <v>0</v>
      </c>
      <c r="G131" s="66">
        <f>SUMIFS('reductions data'!H:H,'reductions data'!G:G,'reasons for reduction division'!B131,'reductions data'!A:A,$G$85)</f>
        <v>0</v>
      </c>
      <c r="H131" s="66">
        <f>SUMIFS('reductions data'!H:H,'reductions data'!G:G,'reasons for reduction division'!B131,'reductions data'!A:A,$H$85)</f>
        <v>0</v>
      </c>
      <c r="I131" s="66">
        <f>SUMIFS('reductions data'!H:H,'reductions data'!G:G,'reasons for reduction division'!B131,'reductions data'!A:A,$I$85)</f>
        <v>0</v>
      </c>
      <c r="J131" s="66">
        <f>SUMIFS('reductions data'!H:H,'reductions data'!G:G,'reasons for reduction division'!B131,'reductions data'!A:A,$J$85)</f>
        <v>0</v>
      </c>
      <c r="K131" s="66">
        <f>SUMIFS('reductions data'!H:H,'reductions data'!G:G,'reasons for reduction division'!B131,'reductions data'!A:A,$K$85)</f>
        <v>0</v>
      </c>
      <c r="L131" s="66">
        <f>SUMIFS('reductions data'!H:H,'reductions data'!G:G,'reasons for reduction division'!B131,'reductions data'!A:A,$L$85)</f>
        <v>0</v>
      </c>
      <c r="M131" s="66">
        <f>SUMIFS('reductions data'!H:H,'reductions data'!G:G,'reasons for reduction division'!B131,'reductions data'!A:A,$M$85)</f>
        <v>0</v>
      </c>
      <c r="N131" s="66">
        <f>SUMIFS('reductions data'!H:H,'reductions data'!G:G,'reasons for reduction division'!B131,'reductions data'!A:A,$N$85)</f>
        <v>0</v>
      </c>
      <c r="O131" s="109">
        <f>SUMIF('reductions data'!G:G,'reasons for reduction division'!B131,'reductions data'!H:H)</f>
        <v>0</v>
      </c>
    </row>
    <row r="132" spans="2:15" x14ac:dyDescent="0.15">
      <c r="B132" s="117" t="s">
        <v>1094</v>
      </c>
      <c r="C132" s="66">
        <f>SUMIFS('reductions data'!H:H,'reductions data'!G:G,'reasons for reduction division'!B132,'reductions data'!A:A,$C$85)</f>
        <v>0</v>
      </c>
      <c r="D132" s="66">
        <f>SUMIFS('reductions data'!H:H,'reductions data'!G:G,'reasons for reduction division'!B132,'reductions data'!A:A,$D$85)</f>
        <v>0</v>
      </c>
      <c r="E132" s="66">
        <f>SUMIFS('reductions data'!H:H,'reductions data'!G:G,'reasons for reduction division'!B132,'reductions data'!A:A,$E$85)</f>
        <v>0</v>
      </c>
      <c r="F132" s="66">
        <f>SUMIFS('reductions data'!H:H,'reductions data'!G:G,'reasons for reduction division'!B132,'reductions data'!A:A,$F$85)</f>
        <v>0</v>
      </c>
      <c r="G132" s="66">
        <f>SUMIFS('reductions data'!H:H,'reductions data'!G:G,'reasons for reduction division'!B132,'reductions data'!A:A,$G$85)</f>
        <v>0</v>
      </c>
      <c r="H132" s="66">
        <f>SUMIFS('reductions data'!H:H,'reductions data'!G:G,'reasons for reduction division'!B132,'reductions data'!A:A,$H$85)</f>
        <v>0</v>
      </c>
      <c r="I132" s="66">
        <f>SUMIFS('reductions data'!H:H,'reductions data'!G:G,'reasons for reduction division'!B132,'reductions data'!A:A,$I$85)</f>
        <v>0</v>
      </c>
      <c r="J132" s="66">
        <f>SUMIFS('reductions data'!H:H,'reductions data'!G:G,'reasons for reduction division'!B132,'reductions data'!A:A,$J$85)</f>
        <v>0</v>
      </c>
      <c r="K132" s="66">
        <f>SUMIFS('reductions data'!H:H,'reductions data'!G:G,'reasons for reduction division'!B132,'reductions data'!A:A,$K$85)</f>
        <v>0</v>
      </c>
      <c r="L132" s="66">
        <f>SUMIFS('reductions data'!H:H,'reductions data'!G:G,'reasons for reduction division'!B132,'reductions data'!A:A,$L$85)</f>
        <v>0</v>
      </c>
      <c r="M132" s="66">
        <f>SUMIFS('reductions data'!H:H,'reductions data'!G:G,'reasons for reduction division'!B132,'reductions data'!A:A,$M$85)</f>
        <v>0</v>
      </c>
      <c r="N132" s="66">
        <f>SUMIFS('reductions data'!H:H,'reductions data'!G:G,'reasons for reduction division'!B132,'reductions data'!A:A,$N$85)</f>
        <v>0</v>
      </c>
      <c r="O132" s="109">
        <f>SUMIF('reductions data'!G:G,'reasons for reduction division'!B132,'reductions data'!H:H)</f>
        <v>0</v>
      </c>
    </row>
    <row r="133" spans="2:15" x14ac:dyDescent="0.15">
      <c r="B133" s="117" t="s">
        <v>1095</v>
      </c>
      <c r="C133" s="66">
        <f>SUMIFS('reductions data'!H:H,'reductions data'!G:G,'reasons for reduction division'!B133,'reductions data'!A:A,$C$85)</f>
        <v>0</v>
      </c>
      <c r="D133" s="66">
        <f>SUMIFS('reductions data'!H:H,'reductions data'!G:G,'reasons for reduction division'!B133,'reductions data'!A:A,$D$85)</f>
        <v>0</v>
      </c>
      <c r="E133" s="66">
        <f>SUMIFS('reductions data'!H:H,'reductions data'!G:G,'reasons for reduction division'!B133,'reductions data'!A:A,$E$85)</f>
        <v>0</v>
      </c>
      <c r="F133" s="66">
        <f>SUMIFS('reductions data'!H:H,'reductions data'!G:G,'reasons for reduction division'!B133,'reductions data'!A:A,$F$85)</f>
        <v>0</v>
      </c>
      <c r="G133" s="66">
        <f>SUMIFS('reductions data'!H:H,'reductions data'!G:G,'reasons for reduction division'!B133,'reductions data'!A:A,$G$85)</f>
        <v>0</v>
      </c>
      <c r="H133" s="66">
        <f>SUMIFS('reductions data'!H:H,'reductions data'!G:G,'reasons for reduction division'!B133,'reductions data'!A:A,$H$85)</f>
        <v>0</v>
      </c>
      <c r="I133" s="66">
        <f>SUMIFS('reductions data'!H:H,'reductions data'!G:G,'reasons for reduction division'!B133,'reductions data'!A:A,$I$85)</f>
        <v>0</v>
      </c>
      <c r="J133" s="66">
        <f>SUMIFS('reductions data'!H:H,'reductions data'!G:G,'reasons for reduction division'!B133,'reductions data'!A:A,$J$85)</f>
        <v>0</v>
      </c>
      <c r="K133" s="66">
        <f>SUMIFS('reductions data'!H:H,'reductions data'!G:G,'reasons for reduction division'!B133,'reductions data'!A:A,$K$85)</f>
        <v>0</v>
      </c>
      <c r="L133" s="66">
        <f>SUMIFS('reductions data'!H:H,'reductions data'!G:G,'reasons for reduction division'!B133,'reductions data'!A:A,$L$85)</f>
        <v>0</v>
      </c>
      <c r="M133" s="66">
        <f>SUMIFS('reductions data'!H:H,'reductions data'!G:G,'reasons for reduction division'!B133,'reductions data'!A:A,$M$85)</f>
        <v>0</v>
      </c>
      <c r="N133" s="66">
        <f>SUMIFS('reductions data'!H:H,'reductions data'!G:G,'reasons for reduction division'!B133,'reductions data'!A:A,$N$85)</f>
        <v>0</v>
      </c>
      <c r="O133" s="109">
        <f>SUMIF('reductions data'!G:G,'reasons for reduction division'!B133,'reductions data'!H:H)</f>
        <v>0</v>
      </c>
    </row>
    <row r="134" spans="2:15" x14ac:dyDescent="0.15">
      <c r="B134" s="117" t="s">
        <v>1096</v>
      </c>
      <c r="C134" s="66">
        <f>SUMIFS('reductions data'!H:H,'reductions data'!G:G,'reasons for reduction division'!B134,'reductions data'!A:A,$C$85)</f>
        <v>0</v>
      </c>
      <c r="D134" s="66">
        <f>SUMIFS('reductions data'!H:H,'reductions data'!G:G,'reasons for reduction division'!B134,'reductions data'!A:A,$D$85)</f>
        <v>0</v>
      </c>
      <c r="E134" s="66">
        <f>SUMIFS('reductions data'!H:H,'reductions data'!G:G,'reasons for reduction division'!B134,'reductions data'!A:A,$E$85)</f>
        <v>0</v>
      </c>
      <c r="F134" s="66">
        <f>SUMIFS('reductions data'!H:H,'reductions data'!G:G,'reasons for reduction division'!B134,'reductions data'!A:A,$F$85)</f>
        <v>0</v>
      </c>
      <c r="G134" s="66">
        <f>SUMIFS('reductions data'!H:H,'reductions data'!G:G,'reasons for reduction division'!B134,'reductions data'!A:A,$G$85)</f>
        <v>0</v>
      </c>
      <c r="H134" s="66">
        <f>SUMIFS('reductions data'!H:H,'reductions data'!G:G,'reasons for reduction division'!B134,'reductions data'!A:A,$H$85)</f>
        <v>0</v>
      </c>
      <c r="I134" s="66">
        <f>SUMIFS('reductions data'!H:H,'reductions data'!G:G,'reasons for reduction division'!B134,'reductions data'!A:A,$I$85)</f>
        <v>0</v>
      </c>
      <c r="J134" s="66">
        <f>SUMIFS('reductions data'!H:H,'reductions data'!G:G,'reasons for reduction division'!B134,'reductions data'!A:A,$J$85)</f>
        <v>0</v>
      </c>
      <c r="K134" s="66">
        <f>SUMIFS('reductions data'!H:H,'reductions data'!G:G,'reasons for reduction division'!B134,'reductions data'!A:A,$K$85)</f>
        <v>0</v>
      </c>
      <c r="L134" s="66">
        <f>SUMIFS('reductions data'!H:H,'reductions data'!G:G,'reasons for reduction division'!B134,'reductions data'!A:A,$L$85)</f>
        <v>0</v>
      </c>
      <c r="M134" s="66">
        <f>SUMIFS('reductions data'!H:H,'reductions data'!G:G,'reasons for reduction division'!B134,'reductions data'!A:A,$M$85)</f>
        <v>0</v>
      </c>
      <c r="N134" s="66">
        <f>SUMIFS('reductions data'!H:H,'reductions data'!G:G,'reasons for reduction division'!B134,'reductions data'!A:A,$N$85)</f>
        <v>0</v>
      </c>
      <c r="O134" s="109">
        <f>SUMIF('reductions data'!G:G,'reasons for reduction division'!B134,'reductions data'!H:H)</f>
        <v>0</v>
      </c>
    </row>
    <row r="135" spans="2:15" x14ac:dyDescent="0.15">
      <c r="B135" s="117" t="s">
        <v>1097</v>
      </c>
      <c r="C135" s="66">
        <f>SUMIFS('reductions data'!H:H,'reductions data'!G:G,'reasons for reduction division'!B135,'reductions data'!A:A,$C$85)</f>
        <v>0</v>
      </c>
      <c r="D135" s="66">
        <f>SUMIFS('reductions data'!H:H,'reductions data'!G:G,'reasons for reduction division'!B135,'reductions data'!A:A,$D$85)</f>
        <v>0</v>
      </c>
      <c r="E135" s="66">
        <f>SUMIFS('reductions data'!H:H,'reductions data'!G:G,'reasons for reduction division'!B135,'reductions data'!A:A,$E$85)</f>
        <v>0</v>
      </c>
      <c r="F135" s="66">
        <f>SUMIFS('reductions data'!H:H,'reductions data'!G:G,'reasons for reduction division'!B135,'reductions data'!A:A,$F$85)</f>
        <v>0</v>
      </c>
      <c r="G135" s="66">
        <f>SUMIFS('reductions data'!H:H,'reductions data'!G:G,'reasons for reduction division'!B135,'reductions data'!A:A,$G$85)</f>
        <v>0</v>
      </c>
      <c r="H135" s="66">
        <f>SUMIFS('reductions data'!H:H,'reductions data'!G:G,'reasons for reduction division'!B135,'reductions data'!A:A,$H$85)</f>
        <v>0</v>
      </c>
      <c r="I135" s="66">
        <f>SUMIFS('reductions data'!H:H,'reductions data'!G:G,'reasons for reduction division'!B135,'reductions data'!A:A,$I$85)</f>
        <v>0</v>
      </c>
      <c r="J135" s="66">
        <f>SUMIFS('reductions data'!H:H,'reductions data'!G:G,'reasons for reduction division'!B135,'reductions data'!A:A,$J$85)</f>
        <v>0</v>
      </c>
      <c r="K135" s="66">
        <f>SUMIFS('reductions data'!H:H,'reductions data'!G:G,'reasons for reduction division'!B135,'reductions data'!A:A,$K$85)</f>
        <v>0</v>
      </c>
      <c r="L135" s="66">
        <f>SUMIFS('reductions data'!H:H,'reductions data'!G:G,'reasons for reduction division'!B135,'reductions data'!A:A,$L$85)</f>
        <v>0</v>
      </c>
      <c r="M135" s="66">
        <f>SUMIFS('reductions data'!H:H,'reductions data'!G:G,'reasons for reduction division'!B135,'reductions data'!A:A,$M$85)</f>
        <v>0</v>
      </c>
      <c r="N135" s="66">
        <f>SUMIFS('reductions data'!H:H,'reductions data'!G:G,'reasons for reduction division'!B135,'reductions data'!A:A,$N$85)</f>
        <v>0</v>
      </c>
      <c r="O135" s="109">
        <f>SUMIF('reductions data'!G:G,'reasons for reduction division'!B135,'reductions data'!H:H)</f>
        <v>0</v>
      </c>
    </row>
    <row r="136" spans="2:15" x14ac:dyDescent="0.15">
      <c r="B136" s="117" t="s">
        <v>1098</v>
      </c>
      <c r="C136" s="66">
        <f>SUMIFS('reductions data'!H:H,'reductions data'!G:G,'reasons for reduction division'!B136,'reductions data'!A:A,$C$85)</f>
        <v>0</v>
      </c>
      <c r="D136" s="66">
        <f>SUMIFS('reductions data'!H:H,'reductions data'!G:G,'reasons for reduction division'!B136,'reductions data'!A:A,$D$85)</f>
        <v>0</v>
      </c>
      <c r="E136" s="66">
        <f>SUMIFS('reductions data'!H:H,'reductions data'!G:G,'reasons for reduction division'!B136,'reductions data'!A:A,$E$85)</f>
        <v>0</v>
      </c>
      <c r="F136" s="66">
        <f>SUMIFS('reductions data'!H:H,'reductions data'!G:G,'reasons for reduction division'!B136,'reductions data'!A:A,$F$85)</f>
        <v>0</v>
      </c>
      <c r="G136" s="66">
        <f>SUMIFS('reductions data'!H:H,'reductions data'!G:G,'reasons for reduction division'!B136,'reductions data'!A:A,$G$85)</f>
        <v>0</v>
      </c>
      <c r="H136" s="66">
        <f>SUMIFS('reductions data'!H:H,'reductions data'!G:G,'reasons for reduction division'!B136,'reductions data'!A:A,$H$85)</f>
        <v>0</v>
      </c>
      <c r="I136" s="66">
        <f>SUMIFS('reductions data'!H:H,'reductions data'!G:G,'reasons for reduction division'!B136,'reductions data'!A:A,$I$85)</f>
        <v>0</v>
      </c>
      <c r="J136" s="66">
        <f>SUMIFS('reductions data'!H:H,'reductions data'!G:G,'reasons for reduction division'!B136,'reductions data'!A:A,$J$85)</f>
        <v>0</v>
      </c>
      <c r="K136" s="66">
        <f>SUMIFS('reductions data'!H:H,'reductions data'!G:G,'reasons for reduction division'!B136,'reductions data'!A:A,$K$85)</f>
        <v>0</v>
      </c>
      <c r="L136" s="66">
        <f>SUMIFS('reductions data'!H:H,'reductions data'!G:G,'reasons for reduction division'!B136,'reductions data'!A:A,$L$85)</f>
        <v>0</v>
      </c>
      <c r="M136" s="66">
        <f>SUMIFS('reductions data'!H:H,'reductions data'!G:G,'reasons for reduction division'!B136,'reductions data'!A:A,$M$85)</f>
        <v>0</v>
      </c>
      <c r="N136" s="66">
        <f>SUMIFS('reductions data'!H:H,'reductions data'!G:G,'reasons for reduction division'!B136,'reductions data'!A:A,$N$85)</f>
        <v>0</v>
      </c>
      <c r="O136" s="109">
        <f>SUMIF('reductions data'!G:G,'reasons for reduction division'!B136,'reductions data'!H:H)</f>
        <v>0</v>
      </c>
    </row>
    <row r="137" spans="2:15" x14ac:dyDescent="0.15">
      <c r="B137" s="226" t="s">
        <v>1127</v>
      </c>
      <c r="C137" s="181">
        <f>SUMIF('reductions data'!A:A,$C$85,'reductions data'!H:H)</f>
        <v>0</v>
      </c>
      <c r="D137" s="181">
        <f>SUMIF('reductions data'!A:A,$D$85,'reductions data'!H:H)</f>
        <v>0</v>
      </c>
      <c r="E137" s="181">
        <f>SUMIF('reductions data'!A:A,$E$85,'reductions data'!H:H)</f>
        <v>0</v>
      </c>
      <c r="F137" s="181">
        <f>SUMIF('reductions data'!A:A,$F$85,'reductions data'!H:H)</f>
        <v>0</v>
      </c>
      <c r="G137" s="181">
        <f>SUMIF('reductions data'!A:A,$G$85,'reductions data'!H:H)</f>
        <v>0</v>
      </c>
      <c r="H137" s="181">
        <f>SUMIF('reductions data'!A:A,$H$85,'reductions data'!H:H)</f>
        <v>0</v>
      </c>
      <c r="I137" s="181">
        <f>SUMIF('reductions data'!A:A,$I$85,'reductions data'!H:H)</f>
        <v>0</v>
      </c>
      <c r="J137" s="181">
        <f>SUMIF('reductions data'!A:A,$J$85,'reductions data'!H:H)</f>
        <v>0</v>
      </c>
      <c r="K137" s="181">
        <f>SUMIF('reductions data'!A:A,$K$85,'reductions data'!H:H)</f>
        <v>0</v>
      </c>
      <c r="L137" s="181">
        <f>SUMIF('reductions data'!A:A,$L$85,'reductions data'!H:H)</f>
        <v>0</v>
      </c>
      <c r="M137" s="181">
        <f>SUMIF('reductions data'!A:A,$M$85,'reductions data'!H:H)</f>
        <v>0</v>
      </c>
      <c r="N137" s="181">
        <f>SUMIF('reductions data'!$A:$A,N85,'reductions data'!$H:$H)</f>
        <v>0</v>
      </c>
      <c r="O137" s="191">
        <f>SUM('reductions data'!H:H)</f>
        <v>0</v>
      </c>
    </row>
    <row r="138" spans="2:15" x14ac:dyDescent="0.15">
      <c r="B138" s="181" t="s">
        <v>1362</v>
      </c>
      <c r="C138" s="181">
        <f>SUMIF('capacity data'!A:A,$C$85,'capacity data'!I:I)</f>
        <v>0</v>
      </c>
      <c r="D138" s="181">
        <f>SUMIF('capacity data'!A:A,$D$85,'capacity data'!I:I)</f>
        <v>0</v>
      </c>
      <c r="E138" s="181">
        <f>SUMIF('capacity data'!A:A,$E$85,'capacity data'!I:I)</f>
        <v>0</v>
      </c>
      <c r="F138" s="181">
        <f>SUMIF('capacity data'!A:A,$F$85,'capacity data'!I:I)</f>
        <v>0</v>
      </c>
      <c r="G138" s="181">
        <f>SUMIF('capacity data'!A:A,$G$85,'capacity data'!I:I)</f>
        <v>0</v>
      </c>
      <c r="H138" s="181">
        <f>SUMIF('capacity data'!A:A,$H$85,'capacity data'!I:I)</f>
        <v>0</v>
      </c>
      <c r="I138" s="181">
        <f>SUMIF('capacity data'!A:A,$I$85,'capacity data'!I:I)</f>
        <v>0</v>
      </c>
      <c r="J138" s="181">
        <f>SUMIF('capacity data'!A:A,$J$85,'capacity data'!I:I)</f>
        <v>0</v>
      </c>
      <c r="K138" s="181">
        <f>SUMIF('capacity data'!A:A,$K$85,'capacity data'!I:I)</f>
        <v>0</v>
      </c>
      <c r="L138" s="181">
        <f>SUMIF('capacity data'!A:A,$L$85,'capacity data'!I:I)</f>
        <v>0</v>
      </c>
      <c r="M138" s="181">
        <f>SUMIF('capacity data'!$A:$A,M$85,'capacity data'!$I:$I)</f>
        <v>0</v>
      </c>
      <c r="N138" s="181">
        <f>SUMIF('capacity data'!$A:$A,N$85,'capacity data'!$I:$I)</f>
        <v>0</v>
      </c>
      <c r="O138" s="181">
        <f>SUM(C138:N138)</f>
        <v>0</v>
      </c>
    </row>
    <row r="139" spans="2:15" x14ac:dyDescent="0.15">
      <c r="B139" s="225" t="s">
        <v>1363</v>
      </c>
      <c r="C139" s="192" t="e">
        <f t="shared" ref="C139:O139" si="0">C137/C138</f>
        <v>#DIV/0!</v>
      </c>
      <c r="D139" s="192" t="e">
        <f t="shared" si="0"/>
        <v>#DIV/0!</v>
      </c>
      <c r="E139" s="192" t="e">
        <f t="shared" si="0"/>
        <v>#DIV/0!</v>
      </c>
      <c r="F139" s="192" t="e">
        <f t="shared" si="0"/>
        <v>#DIV/0!</v>
      </c>
      <c r="G139" s="192" t="e">
        <f t="shared" si="0"/>
        <v>#DIV/0!</v>
      </c>
      <c r="H139" s="192" t="e">
        <f t="shared" si="0"/>
        <v>#DIV/0!</v>
      </c>
      <c r="I139" s="192" t="e">
        <f t="shared" si="0"/>
        <v>#DIV/0!</v>
      </c>
      <c r="J139" s="192" t="e">
        <f t="shared" si="0"/>
        <v>#DIV/0!</v>
      </c>
      <c r="K139" s="192" t="e">
        <f t="shared" si="0"/>
        <v>#DIV/0!</v>
      </c>
      <c r="L139" s="192" t="e">
        <f t="shared" si="0"/>
        <v>#DIV/0!</v>
      </c>
      <c r="M139" s="192" t="e">
        <f t="shared" si="0"/>
        <v>#DIV/0!</v>
      </c>
      <c r="N139" s="192" t="e">
        <f t="shared" si="0"/>
        <v>#DIV/0!</v>
      </c>
      <c r="O139" s="192" t="e">
        <f t="shared" si="0"/>
        <v>#DIV/0!</v>
      </c>
    </row>
  </sheetData>
  <sortState xmlns:xlrd2="http://schemas.microsoft.com/office/spreadsheetml/2017/richdata2" ref="B86:O136">
    <sortCondition ref="B86:B136"/>
  </sortState>
  <mergeCells count="27">
    <mergeCell ref="C84:O84"/>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 ref="A1:G1"/>
    <mergeCell ref="H1:N1"/>
    <mergeCell ref="E18:F18"/>
    <mergeCell ref="E19:F19"/>
    <mergeCell ref="E20:F20"/>
    <mergeCell ref="A2:O2"/>
    <mergeCell ref="E13:F13"/>
    <mergeCell ref="E14:F14"/>
    <mergeCell ref="E15:F15"/>
    <mergeCell ref="E16:F16"/>
    <mergeCell ref="E17:F17"/>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64"/>
  <sheetViews>
    <sheetView showGridLines="0" zoomScale="85" zoomScaleNormal="85" workbookViewId="0">
      <selection sqref="A1:F1"/>
    </sheetView>
  </sheetViews>
  <sheetFormatPr baseColWidth="10" defaultColWidth="8.83203125" defaultRowHeight="14" x14ac:dyDescent="0.15"/>
  <cols>
    <col min="1" max="1" width="49.664062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483" t="s">
        <v>1364</v>
      </c>
      <c r="B1" s="483"/>
      <c r="C1" s="483"/>
      <c r="D1" s="483"/>
      <c r="E1" s="483"/>
      <c r="F1" s="483"/>
      <c r="G1" s="273"/>
      <c r="H1" s="273"/>
      <c r="I1" s="273"/>
      <c r="J1" s="273"/>
      <c r="K1" s="273"/>
      <c r="L1" s="273"/>
      <c r="M1" s="273"/>
      <c r="N1" s="273"/>
      <c r="O1" s="273"/>
      <c r="P1" s="273"/>
      <c r="Q1" s="273"/>
    </row>
    <row r="2" spans="1:17" ht="38.25" customHeight="1" x14ac:dyDescent="0.15">
      <c r="A2" s="374"/>
      <c r="B2" s="374"/>
      <c r="C2" s="374"/>
      <c r="D2" s="374"/>
      <c r="E2" s="374"/>
      <c r="F2" s="374"/>
      <c r="G2" s="282"/>
      <c r="H2" s="282"/>
      <c r="I2" s="282"/>
      <c r="J2" s="282"/>
      <c r="K2" s="282"/>
      <c r="L2" s="282"/>
      <c r="M2" s="282"/>
      <c r="N2" s="282"/>
      <c r="O2" s="282"/>
      <c r="P2" s="282"/>
      <c r="Q2" s="282"/>
    </row>
    <row r="4" spans="1:17" ht="30" x14ac:dyDescent="0.15">
      <c r="A4" s="38" t="s">
        <v>1214</v>
      </c>
    </row>
    <row r="5" spans="1:17" ht="21" customHeight="1" x14ac:dyDescent="0.15">
      <c r="A5" s="251" t="s">
        <v>27</v>
      </c>
    </row>
    <row r="6" spans="1:17" ht="36.75" customHeight="1" x14ac:dyDescent="0.2">
      <c r="A6" s="306" t="s">
        <v>269</v>
      </c>
      <c r="B6" s="45"/>
      <c r="C6" s="45"/>
    </row>
    <row r="8" spans="1:17" ht="29.25" customHeight="1" x14ac:dyDescent="0.2">
      <c r="A8" s="371" t="s">
        <v>1224</v>
      </c>
      <c r="B8" s="536"/>
      <c r="C8" s="536"/>
    </row>
    <row r="9" spans="1:17" ht="30" x14ac:dyDescent="0.15">
      <c r="A9" s="228" t="s">
        <v>1226</v>
      </c>
      <c r="B9" s="39" t="s">
        <v>1227</v>
      </c>
      <c r="C9" s="39" t="s">
        <v>1228</v>
      </c>
      <c r="E9" s="537" t="s">
        <v>1225</v>
      </c>
      <c r="F9" s="537"/>
    </row>
    <row r="10" spans="1:17" x14ac:dyDescent="0.15">
      <c r="A10" s="116" t="s">
        <v>1050</v>
      </c>
      <c r="B10" s="93">
        <f>COUNTIFS('reductions data'!B:B,$A$6,'reductions data'!G:G,A10)</f>
        <v>0</v>
      </c>
      <c r="C10" s="94">
        <f>SUMIFS('reductions data'!H:H,'reductions data'!B:B,$A$6,'reductions data'!G:G,A10)</f>
        <v>0</v>
      </c>
      <c r="E10" s="193" t="s">
        <v>1365</v>
      </c>
      <c r="F10" s="222">
        <f>COUNTIFS('reductions data'!B:B,'cluster reductions'!A6,'reductions data'!K:K,"ACTIVE")</f>
        <v>0</v>
      </c>
    </row>
    <row r="11" spans="1:17" x14ac:dyDescent="0.15">
      <c r="A11" s="117" t="s">
        <v>1052</v>
      </c>
      <c r="B11" s="93">
        <f>COUNTIFS('reductions data'!B:B,$A$6,'reductions data'!G:G,A11)</f>
        <v>0</v>
      </c>
      <c r="C11" s="94">
        <f>SUMIFS('reductions data'!H:H,'reductions data'!B:B,$A$6,'reductions data'!G:G,A11)</f>
        <v>0</v>
      </c>
      <c r="E11" s="193" t="s">
        <v>1366</v>
      </c>
      <c r="F11" s="222">
        <f>SUMIF('reductions data'!B:B,'cluster reductions'!A6,'reductions data'!H:H)</f>
        <v>0</v>
      </c>
    </row>
    <row r="12" spans="1:17" x14ac:dyDescent="0.15">
      <c r="A12" s="117" t="s">
        <v>1051</v>
      </c>
      <c r="B12" s="93">
        <f>COUNTIFS('reductions data'!B:B,$A$6,'reductions data'!G:G,A12)</f>
        <v>0</v>
      </c>
      <c r="C12" s="94">
        <f>SUMIFS('reductions data'!H:H,'reductions data'!B:B,$A$6,'reductions data'!G:G,A12)</f>
        <v>0</v>
      </c>
      <c r="E12" s="76" t="s">
        <v>1367</v>
      </c>
      <c r="F12" s="222">
        <f>SUMIF('capacity data'!B:B,'cluster reductions'!A6,'capacity data'!I:I)</f>
        <v>0</v>
      </c>
    </row>
    <row r="13" spans="1:17" x14ac:dyDescent="0.15">
      <c r="A13" s="117" t="s">
        <v>1053</v>
      </c>
      <c r="B13" s="93">
        <f>COUNTIFS('reductions data'!B:B,$A$6,'reductions data'!G:G,A13)</f>
        <v>0</v>
      </c>
      <c r="C13" s="94">
        <f>SUMIFS('reductions data'!H:H,'reductions data'!B:B,$A$6,'reductions data'!G:G,A13)</f>
        <v>0</v>
      </c>
      <c r="E13" s="76" t="s">
        <v>1368</v>
      </c>
      <c r="F13" s="96" t="e">
        <f>F11/F12</f>
        <v>#DIV/0!</v>
      </c>
    </row>
    <row r="14" spans="1:17" x14ac:dyDescent="0.15">
      <c r="A14" s="117" t="s">
        <v>1054</v>
      </c>
      <c r="B14" s="93">
        <f>COUNTIFS('reductions data'!B:B,$A$6,'reductions data'!G:G,A14)</f>
        <v>0</v>
      </c>
      <c r="C14" s="94">
        <f>SUMIFS('reductions data'!H:H,'reductions data'!B:B,$A$6,'reductions data'!G:G,A14)</f>
        <v>0</v>
      </c>
      <c r="E14" s="194" t="s">
        <v>1156</v>
      </c>
      <c r="F14" s="219" t="e">
        <f>+F13-'div &amp; regional reduction hours'!N18</f>
        <v>#DIV/0!</v>
      </c>
    </row>
    <row r="15" spans="1:17" x14ac:dyDescent="0.15">
      <c r="A15" s="117" t="s">
        <v>1055</v>
      </c>
      <c r="B15" s="93">
        <f>COUNTIFS('reductions data'!B:B,$A$6,'reductions data'!G:G,A15)</f>
        <v>0</v>
      </c>
      <c r="C15" s="94">
        <f>SUMIFS('reductions data'!H:H,'reductions data'!B:B,$A$6,'reductions data'!G:G,A15)</f>
        <v>0</v>
      </c>
    </row>
    <row r="16" spans="1:17" x14ac:dyDescent="0.15">
      <c r="A16" s="117" t="s">
        <v>1056</v>
      </c>
      <c r="B16" s="93">
        <f>COUNTIFS('reductions data'!B:B,$A$6,'reductions data'!G:G,A16)</f>
        <v>0</v>
      </c>
      <c r="C16" s="94">
        <f>SUMIFS('reductions data'!H:H,'reductions data'!B:B,$A$6,'reductions data'!G:G,A16)</f>
        <v>0</v>
      </c>
    </row>
    <row r="17" spans="1:3" x14ac:dyDescent="0.15">
      <c r="A17" s="117" t="s">
        <v>1057</v>
      </c>
      <c r="B17" s="93">
        <f>COUNTIFS('reductions data'!B:B,$A$6,'reductions data'!G:G,A17)</f>
        <v>0</v>
      </c>
      <c r="C17" s="94">
        <f>SUMIFS('reductions data'!H:H,'reductions data'!B:B,$A$6,'reductions data'!G:G,A17)</f>
        <v>0</v>
      </c>
    </row>
    <row r="18" spans="1:3" x14ac:dyDescent="0.15">
      <c r="A18" s="117" t="s">
        <v>1444</v>
      </c>
      <c r="B18" s="93">
        <f>COUNTIFS('reductions data'!B:B,$A$6,'reductions data'!G:G,A18)</f>
        <v>0</v>
      </c>
      <c r="C18" s="94">
        <f>SUMIFS('reductions data'!H:H,'reductions data'!B:B,$A$6,'reductions data'!G:G,A18)</f>
        <v>0</v>
      </c>
    </row>
    <row r="19" spans="1:3" x14ac:dyDescent="0.15">
      <c r="A19" s="117" t="s">
        <v>1058</v>
      </c>
      <c r="B19" s="93">
        <f>COUNTIFS('reductions data'!B:B,$A$6,'reductions data'!G:G,A19)</f>
        <v>0</v>
      </c>
      <c r="C19" s="94">
        <f>SUMIFS('reductions data'!H:H,'reductions data'!B:B,$A$6,'reductions data'!G:G,A19)</f>
        <v>0</v>
      </c>
    </row>
    <row r="20" spans="1:3" x14ac:dyDescent="0.15">
      <c r="A20" s="117" t="s">
        <v>1059</v>
      </c>
      <c r="B20" s="93">
        <f>COUNTIFS('reductions data'!B:B,$A$6,'reductions data'!G:G,A20)</f>
        <v>0</v>
      </c>
      <c r="C20" s="94">
        <f>SUMIFS('reductions data'!H:H,'reductions data'!B:B,$A$6,'reductions data'!G:G,A20)</f>
        <v>0</v>
      </c>
    </row>
    <row r="21" spans="1:3" x14ac:dyDescent="0.15">
      <c r="A21" s="117" t="s">
        <v>1060</v>
      </c>
      <c r="B21" s="93">
        <f>COUNTIFS('reductions data'!B:B,$A$6,'reductions data'!G:G,A21)</f>
        <v>0</v>
      </c>
      <c r="C21" s="94">
        <f>SUMIFS('reductions data'!H:H,'reductions data'!B:B,$A$6,'reductions data'!G:G,A21)</f>
        <v>0</v>
      </c>
    </row>
    <row r="22" spans="1:3" x14ac:dyDescent="0.15">
      <c r="A22" s="117" t="s">
        <v>1061</v>
      </c>
      <c r="B22" s="93">
        <f>COUNTIFS('reductions data'!B:B,$A$6,'reductions data'!G:G,A22)</f>
        <v>0</v>
      </c>
      <c r="C22" s="94">
        <f>SUMIFS('reductions data'!H:H,'reductions data'!B:B,$A$6,'reductions data'!G:G,A22)</f>
        <v>0</v>
      </c>
    </row>
    <row r="23" spans="1:3" x14ac:dyDescent="0.15">
      <c r="A23" s="117" t="s">
        <v>1063</v>
      </c>
      <c r="B23" s="93">
        <f>COUNTIFS('reductions data'!B:B,$A$6,'reductions data'!G:G,A23)</f>
        <v>0</v>
      </c>
      <c r="C23" s="94">
        <f>SUMIFS('reductions data'!H:H,'reductions data'!B:B,$A$6,'reductions data'!G:G,A23)</f>
        <v>0</v>
      </c>
    </row>
    <row r="24" spans="1:3" x14ac:dyDescent="0.15">
      <c r="A24" s="117" t="s">
        <v>1066</v>
      </c>
      <c r="B24" s="93">
        <f>COUNTIFS('reductions data'!B:B,$A$6,'reductions data'!G:G,A24)</f>
        <v>0</v>
      </c>
      <c r="C24" s="94">
        <f>SUMIFS('reductions data'!H:H,'reductions data'!B:B,$A$6,'reductions data'!G:G,A24)</f>
        <v>0</v>
      </c>
    </row>
    <row r="25" spans="1:3" x14ac:dyDescent="0.15">
      <c r="A25" s="117" t="s">
        <v>1062</v>
      </c>
      <c r="B25" s="93">
        <f>COUNTIFS('reductions data'!B:B,$A$6,'reductions data'!G:G,A25)</f>
        <v>0</v>
      </c>
      <c r="C25" s="94">
        <f>SUMIFS('reductions data'!H:H,'reductions data'!B:B,$A$6,'reductions data'!G:G,A25)</f>
        <v>0</v>
      </c>
    </row>
    <row r="26" spans="1:3" x14ac:dyDescent="0.15">
      <c r="A26" s="117" t="s">
        <v>1157</v>
      </c>
      <c r="B26" s="93">
        <f>COUNTIFS('reductions data'!B:B,$A$6,'reductions data'!G:G,A26)</f>
        <v>0</v>
      </c>
      <c r="C26" s="94">
        <f>SUMIFS('reductions data'!H:H,'reductions data'!B:B,$A$6,'reductions data'!G:G,A26)</f>
        <v>0</v>
      </c>
    </row>
    <row r="27" spans="1:3" x14ac:dyDescent="0.15">
      <c r="A27" s="117" t="s">
        <v>1067</v>
      </c>
      <c r="B27" s="93">
        <f>COUNTIFS('reductions data'!B:B,$A$6,'reductions data'!G:G,A27)</f>
        <v>0</v>
      </c>
      <c r="C27" s="94">
        <f>SUMIFS('reductions data'!H:H,'reductions data'!B:B,$A$6,'reductions data'!G:G,A27)</f>
        <v>0</v>
      </c>
    </row>
    <row r="28" spans="1:3" x14ac:dyDescent="0.15">
      <c r="A28" s="117" t="s">
        <v>1068</v>
      </c>
      <c r="B28" s="93">
        <f>COUNTIFS('reductions data'!B:B,$A$6,'reductions data'!G:G,A28)</f>
        <v>0</v>
      </c>
      <c r="C28" s="94">
        <f>SUMIFS('reductions data'!H:H,'reductions data'!B:B,$A$6,'reductions data'!G:G,A28)</f>
        <v>0</v>
      </c>
    </row>
    <row r="29" spans="1:3" x14ac:dyDescent="0.15">
      <c r="A29" s="117" t="s">
        <v>1069</v>
      </c>
      <c r="B29" s="93">
        <f>COUNTIFS('reductions data'!B:B,$A$6,'reductions data'!G:G,A29)</f>
        <v>0</v>
      </c>
      <c r="C29" s="94">
        <f>SUMIFS('reductions data'!H:H,'reductions data'!B:B,$A$6,'reductions data'!G:G,A29)</f>
        <v>0</v>
      </c>
    </row>
    <row r="30" spans="1:3" x14ac:dyDescent="0.15">
      <c r="A30" s="117" t="s">
        <v>1070</v>
      </c>
      <c r="B30" s="93">
        <f>COUNTIFS('reductions data'!B:B,$A$6,'reductions data'!G:G,A30)</f>
        <v>0</v>
      </c>
      <c r="C30" s="94">
        <f>SUMIFS('reductions data'!H:H,'reductions data'!B:B,$A$6,'reductions data'!G:G,A30)</f>
        <v>0</v>
      </c>
    </row>
    <row r="31" spans="1:3" x14ac:dyDescent="0.15">
      <c r="A31" s="117" t="s">
        <v>1071</v>
      </c>
      <c r="B31" s="93">
        <f>COUNTIFS('reductions data'!B:B,$A$6,'reductions data'!G:G,A31)</f>
        <v>0</v>
      </c>
      <c r="C31" s="94">
        <f>SUMIFS('reductions data'!H:H,'reductions data'!B:B,$A$6,'reductions data'!G:G,A31)</f>
        <v>0</v>
      </c>
    </row>
    <row r="32" spans="1:3" x14ac:dyDescent="0.15">
      <c r="A32" s="117" t="s">
        <v>1072</v>
      </c>
      <c r="B32" s="93">
        <f>COUNTIFS('reductions data'!B:B,$A$6,'reductions data'!G:G,A32)</f>
        <v>0</v>
      </c>
      <c r="C32" s="94">
        <f>SUMIFS('reductions data'!H:H,'reductions data'!B:B,$A$6,'reductions data'!G:G,A32)</f>
        <v>0</v>
      </c>
    </row>
    <row r="33" spans="1:3" x14ac:dyDescent="0.15">
      <c r="A33" s="117" t="s">
        <v>1073</v>
      </c>
      <c r="B33" s="93">
        <f>COUNTIFS('reductions data'!B:B,$A$6,'reductions data'!G:G,A33)</f>
        <v>0</v>
      </c>
      <c r="C33" s="94">
        <f>SUMIFS('reductions data'!H:H,'reductions data'!B:B,$A$6,'reductions data'!G:G,A33)</f>
        <v>0</v>
      </c>
    </row>
    <row r="34" spans="1:3" x14ac:dyDescent="0.15">
      <c r="A34" s="117" t="s">
        <v>1075</v>
      </c>
      <c r="B34" s="93">
        <f>COUNTIFS('reductions data'!B:B,$A$6,'reductions data'!G:G,A34)</f>
        <v>0</v>
      </c>
      <c r="C34" s="94">
        <f>SUMIFS('reductions data'!H:H,'reductions data'!B:B,$A$6,'reductions data'!G:G,A34)</f>
        <v>0</v>
      </c>
    </row>
    <row r="35" spans="1:3" x14ac:dyDescent="0.15">
      <c r="A35" s="117" t="s">
        <v>1077</v>
      </c>
      <c r="B35" s="93">
        <f>COUNTIFS('reductions data'!B:B,$A$6,'reductions data'!G:G,A35)</f>
        <v>0</v>
      </c>
      <c r="C35" s="94">
        <f>SUMIFS('reductions data'!H:H,'reductions data'!B:B,$A$6,'reductions data'!G:G,A35)</f>
        <v>0</v>
      </c>
    </row>
    <row r="36" spans="1:3" x14ac:dyDescent="0.15">
      <c r="A36" s="117" t="s">
        <v>1079</v>
      </c>
      <c r="B36" s="93">
        <f>COUNTIFS('reductions data'!B:B,$A$6,'reductions data'!G:G,A36)</f>
        <v>0</v>
      </c>
      <c r="C36" s="94">
        <f>SUMIFS('reductions data'!H:H,'reductions data'!B:B,$A$6,'reductions data'!G:G,A36)</f>
        <v>0</v>
      </c>
    </row>
    <row r="37" spans="1:3" x14ac:dyDescent="0.15">
      <c r="A37" s="117" t="s">
        <v>1437</v>
      </c>
      <c r="B37" s="93">
        <f>COUNTIFS('reductions data'!B:B,$A$6,'reductions data'!G:G,A37)</f>
        <v>0</v>
      </c>
      <c r="C37" s="94">
        <f>SUMIFS('reductions data'!H:H,'reductions data'!B:B,$A$6,'reductions data'!G:G,A37)</f>
        <v>0</v>
      </c>
    </row>
    <row r="38" spans="1:3" x14ac:dyDescent="0.15">
      <c r="A38" s="117" t="s">
        <v>1438</v>
      </c>
      <c r="B38" s="93">
        <f>COUNTIFS('reductions data'!B:B,$A$6,'reductions data'!G:G,A38)</f>
        <v>0</v>
      </c>
      <c r="C38" s="94">
        <f>SUMIFS('reductions data'!H:H,'reductions data'!B:B,$A$6,'reductions data'!G:G,A38)</f>
        <v>0</v>
      </c>
    </row>
    <row r="39" spans="1:3" x14ac:dyDescent="0.15">
      <c r="A39" s="342" t="s">
        <v>1434</v>
      </c>
      <c r="B39" s="93">
        <f>COUNTIFS('reductions data'!B:B,$A$6,'reductions data'!G:G,A39)</f>
        <v>0</v>
      </c>
      <c r="C39" s="94">
        <f>SUMIFS('reductions data'!H:H,'reductions data'!B:B,$A$6,'reductions data'!G:G,A39)</f>
        <v>0</v>
      </c>
    </row>
    <row r="40" spans="1:3" x14ac:dyDescent="0.15">
      <c r="A40" s="342" t="s">
        <v>1435</v>
      </c>
      <c r="B40" s="93">
        <f>COUNTIFS('reductions data'!B:B,$A$6,'reductions data'!G:G,A40)</f>
        <v>0</v>
      </c>
      <c r="C40" s="94">
        <f>SUMIFS('reductions data'!H:H,'reductions data'!B:B,$A$6,'reductions data'!G:G,A40)</f>
        <v>0</v>
      </c>
    </row>
    <row r="41" spans="1:3" x14ac:dyDescent="0.15">
      <c r="A41" s="342" t="s">
        <v>1436</v>
      </c>
      <c r="B41" s="93">
        <f>COUNTIFS('reductions data'!B:B,$A$6,'reductions data'!G:G,A41)</f>
        <v>0</v>
      </c>
      <c r="C41" s="94">
        <f>SUMIFS('reductions data'!H:H,'reductions data'!B:B,$A$6,'reductions data'!G:G,A41)</f>
        <v>0</v>
      </c>
    </row>
    <row r="42" spans="1:3" x14ac:dyDescent="0.15">
      <c r="A42" s="117" t="s">
        <v>1076</v>
      </c>
      <c r="B42" s="93">
        <f>COUNTIFS('reductions data'!B:B,$A$6,'reductions data'!G:G,A42)</f>
        <v>0</v>
      </c>
      <c r="C42" s="94">
        <f>SUMIFS('reductions data'!H:H,'reductions data'!B:B,$A$6,'reductions data'!G:G,A42)</f>
        <v>0</v>
      </c>
    </row>
    <row r="43" spans="1:3" x14ac:dyDescent="0.15">
      <c r="A43" s="117" t="s">
        <v>1081</v>
      </c>
      <c r="B43" s="93">
        <f>COUNTIFS('reductions data'!B:B,$A$6,'reductions data'!G:G,A43)</f>
        <v>0</v>
      </c>
      <c r="C43" s="94">
        <f>SUMIFS('reductions data'!H:H,'reductions data'!B:B,$A$6,'reductions data'!G:G,A43)</f>
        <v>0</v>
      </c>
    </row>
    <row r="44" spans="1:3" x14ac:dyDescent="0.15">
      <c r="A44" s="117" t="s">
        <v>1078</v>
      </c>
      <c r="B44" s="93">
        <f>COUNTIFS('reductions data'!B:B,$A$6,'reductions data'!G:G,A44)</f>
        <v>0</v>
      </c>
      <c r="C44" s="94">
        <f>SUMIFS('reductions data'!H:H,'reductions data'!B:B,$A$6,'reductions data'!G:G,A44)</f>
        <v>0</v>
      </c>
    </row>
    <row r="45" spans="1:3" x14ac:dyDescent="0.15">
      <c r="A45" s="116" t="s">
        <v>1439</v>
      </c>
      <c r="B45" s="93">
        <f>COUNTIFS('reductions data'!B:B,$A$6,'reductions data'!G:G,A45)</f>
        <v>0</v>
      </c>
      <c r="C45" s="94">
        <f>SUMIFS('reductions data'!H:H,'reductions data'!B:B,$A$6,'reductions data'!G:G,A45)</f>
        <v>0</v>
      </c>
    </row>
    <row r="46" spans="1:3" x14ac:dyDescent="0.15">
      <c r="A46" s="117" t="s">
        <v>1440</v>
      </c>
      <c r="B46" s="93">
        <f>COUNTIFS('reductions data'!B:B,$A$6,'reductions data'!G:G,A46)</f>
        <v>0</v>
      </c>
      <c r="C46" s="94">
        <f>SUMIFS('reductions data'!H:H,'reductions data'!B:B,$A$6,'reductions data'!G:G,A46)</f>
        <v>0</v>
      </c>
    </row>
    <row r="47" spans="1:3" x14ac:dyDescent="0.15">
      <c r="A47" s="117" t="s">
        <v>1082</v>
      </c>
      <c r="B47" s="93">
        <f>COUNTIFS('reductions data'!B:B,$A$6,'reductions data'!G:G,A47)</f>
        <v>0</v>
      </c>
      <c r="C47" s="94">
        <f>SUMIFS('reductions data'!H:H,'reductions data'!B:B,$A$6,'reductions data'!G:G,A47)</f>
        <v>0</v>
      </c>
    </row>
    <row r="48" spans="1:3" x14ac:dyDescent="0.15">
      <c r="A48" s="117" t="s">
        <v>1083</v>
      </c>
      <c r="B48" s="93">
        <f>COUNTIFS('reductions data'!B:B,$A$6,'reductions data'!G:G,A48)</f>
        <v>0</v>
      </c>
      <c r="C48" s="94">
        <f>SUMIFS('reductions data'!H:H,'reductions data'!B:B,$A$6,'reductions data'!G:G,A48)</f>
        <v>0</v>
      </c>
    </row>
    <row r="49" spans="1:3" x14ac:dyDescent="0.15">
      <c r="A49" s="117" t="s">
        <v>1084</v>
      </c>
      <c r="B49" s="93">
        <f>COUNTIFS('reductions data'!B:B,$A$6,'reductions data'!G:G,A49)</f>
        <v>0</v>
      </c>
      <c r="C49" s="94">
        <f>SUMIFS('reductions data'!H:H,'reductions data'!B:B,$A$6,'reductions data'!G:G,A49)</f>
        <v>0</v>
      </c>
    </row>
    <row r="50" spans="1:3" x14ac:dyDescent="0.15">
      <c r="A50" s="117" t="s">
        <v>1085</v>
      </c>
      <c r="B50" s="93">
        <f>COUNTIFS('reductions data'!B:B,$A$6,'reductions data'!G:G,A50)</f>
        <v>0</v>
      </c>
      <c r="C50" s="94">
        <f>SUMIFS('reductions data'!H:H,'reductions data'!B:B,$A$6,'reductions data'!G:G,A50)</f>
        <v>0</v>
      </c>
    </row>
    <row r="51" spans="1:3" x14ac:dyDescent="0.15">
      <c r="A51" s="117" t="s">
        <v>1086</v>
      </c>
      <c r="B51" s="93">
        <f>COUNTIFS('reductions data'!B:B,$A$6,'reductions data'!G:G,A51)</f>
        <v>0</v>
      </c>
      <c r="C51" s="94">
        <f>SUMIFS('reductions data'!H:H,'reductions data'!B:B,$A$6,'reductions data'!G:G,A51)</f>
        <v>0</v>
      </c>
    </row>
    <row r="52" spans="1:3" x14ac:dyDescent="0.15">
      <c r="A52" s="117" t="s">
        <v>1087</v>
      </c>
      <c r="B52" s="82">
        <f>COUNTIFS('reductions data'!B:B,$A$6,'reductions data'!G:G,A52)</f>
        <v>0</v>
      </c>
      <c r="C52" s="222">
        <f>SUMIFS('reductions data'!H:H,'reductions data'!B:B,$A$6,'reductions data'!G:G,A52)</f>
        <v>0</v>
      </c>
    </row>
    <row r="53" spans="1:3" x14ac:dyDescent="0.15">
      <c r="A53" s="117" t="s">
        <v>1074</v>
      </c>
      <c r="B53" s="82">
        <f>COUNTIFS('reductions data'!B:B,$A$6,'reductions data'!G:G,A53)</f>
        <v>0</v>
      </c>
      <c r="C53" s="222">
        <f>SUMIFS('reductions data'!H:H,'reductions data'!B:B,$A$6,'reductions data'!G:G,A53)</f>
        <v>0</v>
      </c>
    </row>
    <row r="54" spans="1:3" x14ac:dyDescent="0.15">
      <c r="A54" s="117" t="s">
        <v>1091</v>
      </c>
      <c r="B54" s="82">
        <f>COUNTIFS('reductions data'!B:B,$A$6,'reductions data'!G:G,A54)</f>
        <v>0</v>
      </c>
      <c r="C54" s="222">
        <f>SUMIFS('reductions data'!H:H,'reductions data'!B:B,$A$6,'reductions data'!G:G,A54)</f>
        <v>0</v>
      </c>
    </row>
    <row r="55" spans="1:3" x14ac:dyDescent="0.15">
      <c r="A55" s="342" t="s">
        <v>1441</v>
      </c>
      <c r="B55" s="347">
        <f>COUNTIFS('reductions data'!B:B,$A$6,'reductions data'!G:G,A55)</f>
        <v>0</v>
      </c>
      <c r="C55" s="222">
        <f>SUMIFS('reductions data'!H:H,'reductions data'!B:B,$A$6,'reductions data'!G:G,A55)</f>
        <v>0</v>
      </c>
    </row>
    <row r="56" spans="1:3" x14ac:dyDescent="0.15">
      <c r="A56" s="342" t="s">
        <v>1442</v>
      </c>
      <c r="B56" s="347">
        <f>COUNTIFS('reductions data'!B:B,$A$6,'reductions data'!G:G,A56)</f>
        <v>0</v>
      </c>
      <c r="C56" s="222">
        <f>SUMIFS('reductions data'!H:H,'reductions data'!B:B,$A$6,'reductions data'!G:G,A56)</f>
        <v>0</v>
      </c>
    </row>
    <row r="57" spans="1:3" x14ac:dyDescent="0.15">
      <c r="A57" s="342" t="s">
        <v>1446</v>
      </c>
      <c r="B57" s="347">
        <f>COUNTIFS('reductions data'!B:B,$A$6,'reductions data'!G:G,A57)</f>
        <v>0</v>
      </c>
      <c r="C57" s="222">
        <f>SUMIFS('reductions data'!H:H,'reductions data'!B:B,$A$6,'reductions data'!G:G,A57)</f>
        <v>0</v>
      </c>
    </row>
    <row r="58" spans="1:3" x14ac:dyDescent="0.15">
      <c r="A58" s="116" t="s">
        <v>1092</v>
      </c>
      <c r="B58" s="82">
        <f>COUNTIFS('reductions data'!B:B,$A$6,'reductions data'!G:G,A58)</f>
        <v>0</v>
      </c>
      <c r="C58" s="222">
        <f>SUMIFS('reductions data'!H:H,'reductions data'!B:B,$A$6,'reductions data'!G:G,A58)</f>
        <v>0</v>
      </c>
    </row>
    <row r="59" spans="1:3" x14ac:dyDescent="0.15">
      <c r="A59" s="117" t="s">
        <v>1093</v>
      </c>
      <c r="B59" s="82">
        <f>COUNTIFS('reductions data'!B:B,$A$6,'reductions data'!G:G,A59)</f>
        <v>0</v>
      </c>
      <c r="C59" s="331">
        <f>SUMIFS('reductions data'!H:H,'reductions data'!B:B,$A$6,'reductions data'!G:G,A59)</f>
        <v>0</v>
      </c>
    </row>
    <row r="60" spans="1:3" x14ac:dyDescent="0.15">
      <c r="A60" s="117" t="s">
        <v>1094</v>
      </c>
      <c r="B60" s="82">
        <f>COUNTIFS('reductions data'!B:B,$A$6,'reductions data'!G:G,A60)</f>
        <v>0</v>
      </c>
      <c r="C60" s="331">
        <f>SUMIFS('reductions data'!H:H,'reductions data'!B:B,$A$6,'reductions data'!G:G,A60)</f>
        <v>0</v>
      </c>
    </row>
    <row r="61" spans="1:3" x14ac:dyDescent="0.15">
      <c r="A61" s="117" t="s">
        <v>1095</v>
      </c>
      <c r="B61" s="82">
        <f>COUNTIFS('reductions data'!B:B,$A$6,'reductions data'!G:G,A61)</f>
        <v>0</v>
      </c>
      <c r="C61" s="331">
        <f>SUMIFS('reductions data'!H:H,'reductions data'!B:B,$A$6,'reductions data'!G:G,A61)</f>
        <v>0</v>
      </c>
    </row>
    <row r="62" spans="1:3" x14ac:dyDescent="0.15">
      <c r="A62" s="117" t="s">
        <v>1096</v>
      </c>
      <c r="B62" s="82">
        <f>COUNTIFS('reductions data'!B:B,$A$6,'reductions data'!G:G,A62)</f>
        <v>0</v>
      </c>
      <c r="C62" s="222">
        <f>SUMIFS('reductions data'!H:H,'reductions data'!B:B,$A$6,'reductions data'!G:G,A62)</f>
        <v>0</v>
      </c>
    </row>
    <row r="63" spans="1:3" x14ac:dyDescent="0.15">
      <c r="A63" s="117" t="s">
        <v>1097</v>
      </c>
      <c r="B63" s="82">
        <f>COUNTIFS('reductions data'!B:B,$A$6,'reductions data'!G:G,A63)</f>
        <v>0</v>
      </c>
      <c r="C63" s="222">
        <f>SUMIFS('reductions data'!H:H,'reductions data'!B:B,$A$6,'reductions data'!G:G,A63)</f>
        <v>0</v>
      </c>
    </row>
    <row r="64" spans="1:3" x14ac:dyDescent="0.15">
      <c r="A64" s="117" t="s">
        <v>1098</v>
      </c>
      <c r="B64" s="82">
        <f>COUNTIFS('reductions data'!B:B,$A$6,'reductions data'!G:G,A64)</f>
        <v>0</v>
      </c>
      <c r="C64" s="222">
        <f>SUMIFS('reductions data'!H:H,'reductions data'!B:B,$A$6,'reductions data'!G:G,A64)</f>
        <v>0</v>
      </c>
    </row>
  </sheetData>
  <sheetProtection autoFilter="0"/>
  <sortState xmlns:xlrd2="http://schemas.microsoft.com/office/spreadsheetml/2017/richdata2" ref="A10:C64">
    <sortCondition ref="A10:A64"/>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activeCell="C20" sqref="C20"/>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7.33203125" style="2" customWidth="1"/>
    <col min="6" max="6" width="14" style="2" customWidth="1"/>
    <col min="7" max="7" width="12.5" style="2" customWidth="1"/>
    <col min="8" max="8" width="17.6640625" style="2" customWidth="1"/>
    <col min="9" max="9" width="13.5" style="2" customWidth="1"/>
    <col min="10" max="10" width="12.5" style="2" customWidth="1"/>
    <col min="11" max="11" width="16.83203125" style="2" customWidth="1"/>
    <col min="12" max="12" width="15" style="2" customWidth="1"/>
    <col min="13" max="13" width="13.5" style="2" customWidth="1"/>
    <col min="14" max="14" width="16.6640625" style="2" customWidth="1"/>
    <col min="15" max="16384" width="9.1640625" style="1"/>
  </cols>
  <sheetData>
    <row r="1" spans="1:46" s="3" customFormat="1" ht="57" customHeight="1" x14ac:dyDescent="0.15">
      <c r="A1" s="483" t="s">
        <v>1369</v>
      </c>
      <c r="B1" s="483"/>
      <c r="C1" s="483"/>
      <c r="D1" s="483"/>
      <c r="E1" s="483"/>
      <c r="F1" s="483"/>
      <c r="G1" s="483"/>
      <c r="H1" s="483"/>
      <c r="I1" s="483"/>
      <c r="J1" s="483"/>
      <c r="K1" s="483"/>
      <c r="L1" s="483"/>
      <c r="M1" s="483"/>
      <c r="N1" s="483"/>
      <c r="O1" s="273"/>
      <c r="P1" s="273"/>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374"/>
      <c r="B2" s="374"/>
      <c r="C2" s="374"/>
      <c r="D2" s="374"/>
      <c r="E2" s="374"/>
      <c r="F2" s="374"/>
      <c r="G2" s="374"/>
      <c r="H2" s="374"/>
      <c r="I2" s="374"/>
      <c r="J2" s="374"/>
      <c r="K2" s="374"/>
      <c r="L2" s="374"/>
      <c r="M2" s="374"/>
      <c r="N2" s="374"/>
      <c r="O2" s="283"/>
      <c r="P2" s="283"/>
      <c r="Q2" s="5"/>
      <c r="R2" s="5"/>
    </row>
    <row r="3" spans="1:46" s="2" customFormat="1" ht="39" customHeight="1" thickBot="1" x14ac:dyDescent="0.25"/>
    <row r="4" spans="1:46" ht="28.5" customHeight="1" x14ac:dyDescent="0.2">
      <c r="B4" s="547" t="s">
        <v>1370</v>
      </c>
      <c r="C4" s="538" t="s">
        <v>1166</v>
      </c>
      <c r="D4" s="539"/>
      <c r="E4" s="540"/>
      <c r="F4" s="541" t="s">
        <v>1172</v>
      </c>
      <c r="G4" s="542"/>
      <c r="H4" s="543"/>
      <c r="I4" s="544" t="s">
        <v>1173</v>
      </c>
      <c r="J4" s="545"/>
      <c r="K4" s="546"/>
      <c r="L4" s="539" t="s">
        <v>1371</v>
      </c>
      <c r="M4" s="539"/>
      <c r="N4" s="540"/>
      <c r="P4" s="5"/>
      <c r="Q4" s="5"/>
      <c r="R4" s="5"/>
    </row>
    <row r="5" spans="1:46" ht="45" x14ac:dyDescent="0.2">
      <c r="B5" s="548"/>
      <c r="C5" s="195" t="s">
        <v>1372</v>
      </c>
      <c r="D5" s="39" t="s">
        <v>1373</v>
      </c>
      <c r="E5" s="196" t="s">
        <v>1374</v>
      </c>
      <c r="F5" s="287" t="s">
        <v>1372</v>
      </c>
      <c r="G5" s="288" t="s">
        <v>1373</v>
      </c>
      <c r="H5" s="289" t="s">
        <v>1374</v>
      </c>
      <c r="I5" s="284" t="s">
        <v>1372</v>
      </c>
      <c r="J5" s="285" t="s">
        <v>1373</v>
      </c>
      <c r="K5" s="286" t="s">
        <v>1374</v>
      </c>
      <c r="L5" s="210" t="s">
        <v>1372</v>
      </c>
      <c r="M5" s="39" t="s">
        <v>1375</v>
      </c>
      <c r="N5" s="196" t="s">
        <v>1374</v>
      </c>
    </row>
    <row r="6" spans="1:46" ht="21" customHeight="1" x14ac:dyDescent="0.2">
      <c r="B6" s="149" t="s">
        <v>23</v>
      </c>
      <c r="C6" s="208">
        <f>SUMIFS('capacity data'!I:I,'capacity data'!A:A,B6,'capacity data'!E:E,"PO")</f>
        <v>0</v>
      </c>
      <c r="D6" s="205">
        <f>SUMIFS('capacity data'!J:J,'capacity data'!A:A,B6,'capacity data'!E:E,"PO")</f>
        <v>0</v>
      </c>
      <c r="E6" s="202" t="e">
        <f>D6/C6</f>
        <v>#DIV/0!</v>
      </c>
      <c r="F6" s="208">
        <f>SUMIFS('capacity data'!I:I,'capacity data'!A:A,B6,'capacity data'!E:E,"PSO")</f>
        <v>0</v>
      </c>
      <c r="G6" s="205">
        <f>SUMIFS('capacity data'!J:J,'capacity data'!A:A,B6,'capacity data'!E:E,"PSO")</f>
        <v>0</v>
      </c>
      <c r="H6" s="202" t="e">
        <f t="shared" ref="H6:H18" si="0">G6/F6</f>
        <v>#DIV/0!</v>
      </c>
      <c r="I6" s="208">
        <f>SUMIFS('capacity data'!I:I,'capacity data'!A:A,B6,'capacity data'!E:E,"TPO")</f>
        <v>0</v>
      </c>
      <c r="J6" s="205">
        <f>SUMIFS('capacity data'!J:J,'capacity data'!A:A,B6,'capacity data'!E:E,"TPO")</f>
        <v>0</v>
      </c>
      <c r="K6" s="202" t="e">
        <f t="shared" ref="K6:K18" si="1">J6/I6</f>
        <v>#DIV/0!</v>
      </c>
      <c r="L6" s="209">
        <f>SUMIF('capacity data'!A:A,B6,'capacity data'!I:I)</f>
        <v>0</v>
      </c>
      <c r="M6" s="205">
        <f>SUMIF('capacity data'!A:A,B6,'capacity data'!J:J)</f>
        <v>0</v>
      </c>
      <c r="N6" s="202" t="e">
        <f t="shared" ref="N6:N18" si="2">M6/L6</f>
        <v>#DIV/0!</v>
      </c>
    </row>
    <row r="7" spans="1:46" ht="21" customHeight="1" x14ac:dyDescent="0.2">
      <c r="B7" s="149" t="s">
        <v>24</v>
      </c>
      <c r="C7" s="208">
        <f>SUMIFS('capacity data'!I:I,'capacity data'!A:A,B7,'capacity data'!E:E,"PO")</f>
        <v>0</v>
      </c>
      <c r="D7" s="205">
        <f>SUMIFS('capacity data'!J:J,'capacity data'!A:A,B7,'capacity data'!E:E,"PO")</f>
        <v>0</v>
      </c>
      <c r="E7" s="202" t="e">
        <f t="shared" ref="E7:E17" si="3">D7/C7</f>
        <v>#DIV/0!</v>
      </c>
      <c r="F7" s="208">
        <f>SUMIFS('capacity data'!I:I,'capacity data'!A:A,B7,'capacity data'!E:E,"PSO")</f>
        <v>0</v>
      </c>
      <c r="G7" s="205">
        <f>SUMIFS('capacity data'!J:J,'capacity data'!A:A,B7,'capacity data'!E:E,"PSO")</f>
        <v>0</v>
      </c>
      <c r="H7" s="202" t="e">
        <f t="shared" ref="H7:H17" si="4">G7/F7</f>
        <v>#DIV/0!</v>
      </c>
      <c r="I7" s="208">
        <f>SUMIFS('capacity data'!I:I,'capacity data'!A:A,B7,'capacity data'!E:E,"TPO")</f>
        <v>0</v>
      </c>
      <c r="J7" s="205">
        <f>SUMIFS('capacity data'!J:J,'capacity data'!A:A,B7,'capacity data'!E:E,"TPO")</f>
        <v>0</v>
      </c>
      <c r="K7" s="202" t="e">
        <f t="shared" ref="K7:K17" si="5">J7/I7</f>
        <v>#DIV/0!</v>
      </c>
      <c r="L7" s="209">
        <f>SUMIF('capacity data'!A:A,B7,'capacity data'!I:I)</f>
        <v>0</v>
      </c>
      <c r="M7" s="205">
        <f>SUMIF('capacity data'!A:A,B7,'capacity data'!J:J)</f>
        <v>0</v>
      </c>
      <c r="N7" s="202" t="e">
        <f t="shared" ref="N7:N17" si="6">M7/L7</f>
        <v>#DIV/0!</v>
      </c>
    </row>
    <row r="8" spans="1:46" ht="21" customHeight="1" x14ac:dyDescent="0.2">
      <c r="B8" s="149" t="s">
        <v>25</v>
      </c>
      <c r="C8" s="208">
        <f>SUMIFS('capacity data'!I:I,'capacity data'!A:A,B8,'capacity data'!E:E,"PO")</f>
        <v>0</v>
      </c>
      <c r="D8" s="205">
        <f>SUMIFS('capacity data'!J:J,'capacity data'!A:A,B8,'capacity data'!E:E,"PO")</f>
        <v>0</v>
      </c>
      <c r="E8" s="202" t="e">
        <f t="shared" si="3"/>
        <v>#DIV/0!</v>
      </c>
      <c r="F8" s="208">
        <f>SUMIFS('capacity data'!I:I,'capacity data'!A:A,B8,'capacity data'!E:E,"PSO")</f>
        <v>0</v>
      </c>
      <c r="G8" s="205">
        <f>SUMIFS('capacity data'!J:J,'capacity data'!A:A,B8,'capacity data'!E:E,"PSO")</f>
        <v>0</v>
      </c>
      <c r="H8" s="202" t="e">
        <f t="shared" si="4"/>
        <v>#DIV/0!</v>
      </c>
      <c r="I8" s="208">
        <f>SUMIFS('capacity data'!I:I,'capacity data'!A:A,B8,'capacity data'!E:E,"TPO")</f>
        <v>0</v>
      </c>
      <c r="J8" s="205">
        <f>SUMIFS('capacity data'!J:J,'capacity data'!A:A,B8,'capacity data'!E:E,"TPO")</f>
        <v>0</v>
      </c>
      <c r="K8" s="202" t="e">
        <f t="shared" si="5"/>
        <v>#DIV/0!</v>
      </c>
      <c r="L8" s="209">
        <f>SUMIF('capacity data'!A:A,B8,'capacity data'!I:I)</f>
        <v>0</v>
      </c>
      <c r="M8" s="205">
        <f>SUMIF('capacity data'!A:A,B8,'capacity data'!J:J)</f>
        <v>0</v>
      </c>
      <c r="N8" s="202" t="e">
        <f t="shared" si="6"/>
        <v>#DIV/0!</v>
      </c>
    </row>
    <row r="9" spans="1:46" ht="21" customHeight="1" x14ac:dyDescent="0.2">
      <c r="B9" s="149" t="s">
        <v>26</v>
      </c>
      <c r="C9" s="208">
        <f>SUMIFS('capacity data'!I:I,'capacity data'!A:A,B9,'capacity data'!E:E,"PO")</f>
        <v>0</v>
      </c>
      <c r="D9" s="205">
        <f>SUMIFS('capacity data'!J:J,'capacity data'!A:A,B9,'capacity data'!E:E,"PO")</f>
        <v>0</v>
      </c>
      <c r="E9" s="202" t="e">
        <f t="shared" si="3"/>
        <v>#DIV/0!</v>
      </c>
      <c r="F9" s="208">
        <f>SUMIFS('capacity data'!I:I,'capacity data'!A:A,B9,'capacity data'!E:E,"PSO")</f>
        <v>0</v>
      </c>
      <c r="G9" s="205">
        <f>SUMIFS('capacity data'!J:J,'capacity data'!A:A,B9,'capacity data'!E:E,"PSO")</f>
        <v>0</v>
      </c>
      <c r="H9" s="202" t="e">
        <f t="shared" si="4"/>
        <v>#DIV/0!</v>
      </c>
      <c r="I9" s="208">
        <f>SUMIFS('capacity data'!I:I,'capacity data'!A:A,B9,'capacity data'!E:E,"TPO")</f>
        <v>0</v>
      </c>
      <c r="J9" s="205">
        <f>SUMIFS('capacity data'!J:J,'capacity data'!A:A,B9,'capacity data'!E:E,"TPO")</f>
        <v>0</v>
      </c>
      <c r="K9" s="202" t="e">
        <f t="shared" si="5"/>
        <v>#DIV/0!</v>
      </c>
      <c r="L9" s="209">
        <f>SUMIF('capacity data'!A:A,B9,'capacity data'!I:I)</f>
        <v>0</v>
      </c>
      <c r="M9" s="205">
        <f>SUMIF('capacity data'!A:A,B9,'capacity data'!J:J)</f>
        <v>0</v>
      </c>
      <c r="N9" s="202" t="e">
        <f t="shared" si="6"/>
        <v>#DIV/0!</v>
      </c>
    </row>
    <row r="10" spans="1:46" ht="21" customHeight="1" x14ac:dyDescent="0.2">
      <c r="B10" s="149" t="s">
        <v>27</v>
      </c>
      <c r="C10" s="208">
        <f>SUMIFS('capacity data'!I:I,'capacity data'!A:A,B10,'capacity data'!E:E,"PO")</f>
        <v>0</v>
      </c>
      <c r="D10" s="205">
        <f>SUMIFS('capacity data'!J:J,'capacity data'!A:A,B10,'capacity data'!E:E,"PO")</f>
        <v>0</v>
      </c>
      <c r="E10" s="202" t="e">
        <f t="shared" si="3"/>
        <v>#DIV/0!</v>
      </c>
      <c r="F10" s="208">
        <f>SUMIFS('capacity data'!I:I,'capacity data'!A:A,B10,'capacity data'!E:E,"PSO")</f>
        <v>0</v>
      </c>
      <c r="G10" s="205">
        <f>SUMIFS('capacity data'!J:J,'capacity data'!A:A,B10,'capacity data'!E:E,"PSO")</f>
        <v>0</v>
      </c>
      <c r="H10" s="202" t="e">
        <f t="shared" si="4"/>
        <v>#DIV/0!</v>
      </c>
      <c r="I10" s="208">
        <f>SUMIFS('capacity data'!I:I,'capacity data'!A:A,B10,'capacity data'!E:E,"TPO")</f>
        <v>0</v>
      </c>
      <c r="J10" s="205">
        <f>SUMIFS('capacity data'!J:J,'capacity data'!A:A,B10,'capacity data'!E:E,"TPO")</f>
        <v>0</v>
      </c>
      <c r="K10" s="202" t="e">
        <f t="shared" si="5"/>
        <v>#DIV/0!</v>
      </c>
      <c r="L10" s="209">
        <f>SUMIF('capacity data'!A:A,B10,'capacity data'!I:I)</f>
        <v>0</v>
      </c>
      <c r="M10" s="205">
        <f>SUMIF('capacity data'!A:A,B10,'capacity data'!J:J)</f>
        <v>0</v>
      </c>
      <c r="N10" s="202" t="e">
        <f t="shared" si="6"/>
        <v>#DIV/0!</v>
      </c>
    </row>
    <row r="11" spans="1:46" ht="21" customHeight="1" x14ac:dyDescent="0.2">
      <c r="B11" s="149" t="s">
        <v>28</v>
      </c>
      <c r="C11" s="208">
        <f>SUMIFS('capacity data'!I:I,'capacity data'!A:A,B11,'capacity data'!E:E,"PO")</f>
        <v>0</v>
      </c>
      <c r="D11" s="205">
        <f>SUMIFS('capacity data'!J:J,'capacity data'!A:A,B11,'capacity data'!E:E,"PO")</f>
        <v>0</v>
      </c>
      <c r="E11" s="202" t="e">
        <f t="shared" si="3"/>
        <v>#DIV/0!</v>
      </c>
      <c r="F11" s="208">
        <f>SUMIFS('capacity data'!I:I,'capacity data'!A:A,B11,'capacity data'!E:E,"PSO")</f>
        <v>0</v>
      </c>
      <c r="G11" s="205">
        <f>SUMIFS('capacity data'!J:J,'capacity data'!A:A,B11,'capacity data'!E:E,"PSO")</f>
        <v>0</v>
      </c>
      <c r="H11" s="202" t="e">
        <f t="shared" si="4"/>
        <v>#DIV/0!</v>
      </c>
      <c r="I11" s="208">
        <f>SUMIFS('capacity data'!I:I,'capacity data'!A:A,B11,'capacity data'!E:E,"TPO")</f>
        <v>0</v>
      </c>
      <c r="J11" s="205">
        <f>SUMIFS('capacity data'!J:J,'capacity data'!A:A,B11,'capacity data'!E:E,"TPO")</f>
        <v>0</v>
      </c>
      <c r="K11" s="202" t="e">
        <f t="shared" si="5"/>
        <v>#DIV/0!</v>
      </c>
      <c r="L11" s="209">
        <f>SUMIF('capacity data'!A:A,B11,'capacity data'!I:I)</f>
        <v>0</v>
      </c>
      <c r="M11" s="205">
        <f>SUMIF('capacity data'!A:A,B11,'capacity data'!J:J)</f>
        <v>0</v>
      </c>
      <c r="N11" s="202" t="e">
        <f t="shared" si="6"/>
        <v>#DIV/0!</v>
      </c>
    </row>
    <row r="12" spans="1:46" ht="21" customHeight="1" x14ac:dyDescent="0.2">
      <c r="B12" s="149" t="s">
        <v>29</v>
      </c>
      <c r="C12" s="208">
        <f>SUMIFS('capacity data'!I:I,'capacity data'!A:A,B12,'capacity data'!E:E,"PO")</f>
        <v>0</v>
      </c>
      <c r="D12" s="205">
        <f>SUMIFS('capacity data'!J:J,'capacity data'!A:A,B12,'capacity data'!E:E,"PO")</f>
        <v>0</v>
      </c>
      <c r="E12" s="202" t="e">
        <f t="shared" si="3"/>
        <v>#DIV/0!</v>
      </c>
      <c r="F12" s="208">
        <f>SUMIFS('capacity data'!I:I,'capacity data'!A:A,B12,'capacity data'!E:E,"PSO")</f>
        <v>0</v>
      </c>
      <c r="G12" s="205">
        <f>SUMIFS('capacity data'!J:J,'capacity data'!A:A,B12,'capacity data'!E:E,"PSO")</f>
        <v>0</v>
      </c>
      <c r="H12" s="202" t="e">
        <f t="shared" si="4"/>
        <v>#DIV/0!</v>
      </c>
      <c r="I12" s="208">
        <f>SUMIFS('capacity data'!I:I,'capacity data'!A:A,B12,'capacity data'!E:E,"TPO")</f>
        <v>0</v>
      </c>
      <c r="J12" s="205">
        <f>SUMIFS('capacity data'!J:J,'capacity data'!A:A,B12,'capacity data'!E:E,"TPO")</f>
        <v>0</v>
      </c>
      <c r="K12" s="202" t="e">
        <f t="shared" si="5"/>
        <v>#DIV/0!</v>
      </c>
      <c r="L12" s="209">
        <f>SUMIF('capacity data'!A:A,B12,'capacity data'!I:I)</f>
        <v>0</v>
      </c>
      <c r="M12" s="205">
        <f>SUMIF('capacity data'!A:A,B12,'capacity data'!J:J)</f>
        <v>0</v>
      </c>
      <c r="N12" s="202" t="e">
        <f t="shared" si="6"/>
        <v>#DIV/0!</v>
      </c>
    </row>
    <row r="13" spans="1:46" ht="21" customHeight="1" x14ac:dyDescent="0.2">
      <c r="B13" s="149" t="s">
        <v>30</v>
      </c>
      <c r="C13" s="208">
        <f>SUMIFS('capacity data'!I:I,'capacity data'!A:A,B13,'capacity data'!E:E,"PO")</f>
        <v>0</v>
      </c>
      <c r="D13" s="205">
        <f>SUMIFS('capacity data'!J:J,'capacity data'!A:A,B13,'capacity data'!E:E,"PO")</f>
        <v>0</v>
      </c>
      <c r="E13" s="202" t="e">
        <f t="shared" ref="E13" si="7">D13/C13</f>
        <v>#DIV/0!</v>
      </c>
      <c r="F13" s="208">
        <f>SUMIFS('capacity data'!I:I,'capacity data'!A:A,B13,'capacity data'!E:E,"PSO")</f>
        <v>0</v>
      </c>
      <c r="G13" s="205">
        <f>SUMIFS('capacity data'!J:J,'capacity data'!A:A,B13,'capacity data'!E:E,"PSO")</f>
        <v>0</v>
      </c>
      <c r="H13" s="202" t="e">
        <f t="shared" ref="H13" si="8">G13/F13</f>
        <v>#DIV/0!</v>
      </c>
      <c r="I13" s="208">
        <f>SUMIFS('capacity data'!I:I,'capacity data'!A:A,B13,'capacity data'!E:E,"TPO")</f>
        <v>0</v>
      </c>
      <c r="J13" s="205">
        <f>SUMIFS('capacity data'!J:J,'capacity data'!A:A,B13,'capacity data'!E:E,"TPO")</f>
        <v>0</v>
      </c>
      <c r="K13" s="202" t="e">
        <f t="shared" ref="K13" si="9">J13/I13</f>
        <v>#DIV/0!</v>
      </c>
      <c r="L13" s="209">
        <f>SUMIF('capacity data'!A:A,B13,'capacity data'!I:I)</f>
        <v>0</v>
      </c>
      <c r="M13" s="205">
        <f>SUMIF('capacity data'!A:A,B13,'capacity data'!J:J)</f>
        <v>0</v>
      </c>
      <c r="N13" s="202" t="e">
        <f t="shared" ref="N13" si="10">M13/L13</f>
        <v>#DIV/0!</v>
      </c>
    </row>
    <row r="14" spans="1:46" ht="21" customHeight="1" x14ac:dyDescent="0.2">
      <c r="B14" s="149" t="s">
        <v>31</v>
      </c>
      <c r="C14" s="208">
        <f>SUMIFS('capacity data'!I:I,'capacity data'!A:A,B14,'capacity data'!E:E,"PO")</f>
        <v>0</v>
      </c>
      <c r="D14" s="205">
        <f>SUMIFS('capacity data'!J:J,'capacity data'!A:A,B14,'capacity data'!E:E,"PO")</f>
        <v>0</v>
      </c>
      <c r="E14" s="202" t="e">
        <f t="shared" si="3"/>
        <v>#DIV/0!</v>
      </c>
      <c r="F14" s="208">
        <f>SUMIFS('capacity data'!I:I,'capacity data'!A:A,B14,'capacity data'!E:E,"PSO")</f>
        <v>0</v>
      </c>
      <c r="G14" s="205">
        <f>SUMIFS('capacity data'!J:J,'capacity data'!A:A,B14,'capacity data'!E:E,"PSO")</f>
        <v>0</v>
      </c>
      <c r="H14" s="202" t="e">
        <f t="shared" si="4"/>
        <v>#DIV/0!</v>
      </c>
      <c r="I14" s="208">
        <f>SUMIFS('capacity data'!I:I,'capacity data'!A:A,B14,'capacity data'!E:E,"TPO")</f>
        <v>0</v>
      </c>
      <c r="J14" s="205">
        <f>SUMIFS('capacity data'!J:J,'capacity data'!A:A,B14,'capacity data'!E:E,"TPO")</f>
        <v>0</v>
      </c>
      <c r="K14" s="202" t="e">
        <f t="shared" si="5"/>
        <v>#DIV/0!</v>
      </c>
      <c r="L14" s="209">
        <f>SUMIF('capacity data'!A:A,B14,'capacity data'!I:I)</f>
        <v>0</v>
      </c>
      <c r="M14" s="205">
        <f>SUMIF('capacity data'!A:A,B14,'capacity data'!J:J)</f>
        <v>0</v>
      </c>
      <c r="N14" s="202" t="e">
        <f t="shared" si="6"/>
        <v>#DIV/0!</v>
      </c>
    </row>
    <row r="15" spans="1:46" ht="21" customHeight="1" x14ac:dyDescent="0.2">
      <c r="B15" s="149" t="s">
        <v>32</v>
      </c>
      <c r="C15" s="208">
        <f>SUMIFS('capacity data'!I:I,'capacity data'!A:A,B15,'capacity data'!E:E,"PO")</f>
        <v>0</v>
      </c>
      <c r="D15" s="205">
        <f>SUMIFS('capacity data'!J:J,'capacity data'!A:A,B15,'capacity data'!E:E,"PO")</f>
        <v>0</v>
      </c>
      <c r="E15" s="202" t="e">
        <f t="shared" si="3"/>
        <v>#DIV/0!</v>
      </c>
      <c r="F15" s="208">
        <f>SUMIFS('capacity data'!I:I,'capacity data'!A:A,B15,'capacity data'!E:E,"PSO")</f>
        <v>0</v>
      </c>
      <c r="G15" s="205">
        <f>SUMIFS('capacity data'!J:J,'capacity data'!A:A,B15,'capacity data'!E:E,"PSO")</f>
        <v>0</v>
      </c>
      <c r="H15" s="202" t="e">
        <f t="shared" si="4"/>
        <v>#DIV/0!</v>
      </c>
      <c r="I15" s="208">
        <f>SUMIFS('capacity data'!I:I,'capacity data'!A:A,B15,'capacity data'!E:E,"TPO")</f>
        <v>0</v>
      </c>
      <c r="J15" s="205">
        <f>SUMIFS('capacity data'!J:J,'capacity data'!A:A,B15,'capacity data'!E:E,"TPO")</f>
        <v>0</v>
      </c>
      <c r="K15" s="202" t="e">
        <f t="shared" si="5"/>
        <v>#DIV/0!</v>
      </c>
      <c r="L15" s="209">
        <f>SUMIF('capacity data'!A:A,B15,'capacity data'!I:I)</f>
        <v>0</v>
      </c>
      <c r="M15" s="205">
        <f>SUMIF('capacity data'!A:A,B15,'capacity data'!J:J)</f>
        <v>0</v>
      </c>
      <c r="N15" s="202" t="e">
        <f t="shared" si="6"/>
        <v>#DIV/0!</v>
      </c>
    </row>
    <row r="16" spans="1:46" ht="21" customHeight="1" x14ac:dyDescent="0.2">
      <c r="B16" s="149" t="s">
        <v>33</v>
      </c>
      <c r="C16" s="208">
        <f>SUMIFS('capacity data'!I:I,'capacity data'!A:A,B16,'capacity data'!E:E,"PO")</f>
        <v>0</v>
      </c>
      <c r="D16" s="205">
        <f>SUMIFS('capacity data'!J:J,'capacity data'!A:A,B16,'capacity data'!E:E,"PO")</f>
        <v>0</v>
      </c>
      <c r="E16" s="202" t="e">
        <f t="shared" si="3"/>
        <v>#DIV/0!</v>
      </c>
      <c r="F16" s="208">
        <f>SUMIFS('capacity data'!I:I,'capacity data'!A:A,B16,'capacity data'!E:E,"PSO")</f>
        <v>0</v>
      </c>
      <c r="G16" s="205">
        <f>SUMIFS('capacity data'!J:J,'capacity data'!A:A,B16,'capacity data'!E:E,"PSO")</f>
        <v>0</v>
      </c>
      <c r="H16" s="202" t="e">
        <f t="shared" si="4"/>
        <v>#DIV/0!</v>
      </c>
      <c r="I16" s="208">
        <f>SUMIFS('capacity data'!I:I,'capacity data'!A:A,B16,'capacity data'!E:E,"TPO")</f>
        <v>0</v>
      </c>
      <c r="J16" s="205">
        <f>SUMIFS('capacity data'!J:J,'capacity data'!A:A,B16,'capacity data'!E:E,"TPO")</f>
        <v>0</v>
      </c>
      <c r="K16" s="202" t="e">
        <f t="shared" si="5"/>
        <v>#DIV/0!</v>
      </c>
      <c r="L16" s="209">
        <f>SUMIF('capacity data'!A:A,B16,'capacity data'!I:I)</f>
        <v>0</v>
      </c>
      <c r="M16" s="205">
        <f>SUMIF('capacity data'!A:A,B16,'capacity data'!J:J)</f>
        <v>0</v>
      </c>
      <c r="N16" s="202" t="e">
        <f t="shared" si="6"/>
        <v>#DIV/0!</v>
      </c>
    </row>
    <row r="17" spans="2:14" ht="21" customHeight="1" x14ac:dyDescent="0.2">
      <c r="B17" s="149" t="s">
        <v>34</v>
      </c>
      <c r="C17" s="208">
        <f>SUMIFS('capacity data'!I:I,'capacity data'!A:A,B17,'capacity data'!E:E,"PO")</f>
        <v>0</v>
      </c>
      <c r="D17" s="205">
        <f>SUMIFS('capacity data'!J:J,'capacity data'!A:A,B17,'capacity data'!E:E,"PO")</f>
        <v>0</v>
      </c>
      <c r="E17" s="202" t="e">
        <f t="shared" si="3"/>
        <v>#DIV/0!</v>
      </c>
      <c r="F17" s="208">
        <f>SUMIFS('capacity data'!I:I,'capacity data'!A:A,B17,'capacity data'!E:E,"PSO")</f>
        <v>0</v>
      </c>
      <c r="G17" s="205">
        <f>SUMIFS('capacity data'!J:J,'capacity data'!A:A,B17,'capacity data'!E:E,"PSO")</f>
        <v>0</v>
      </c>
      <c r="H17" s="202" t="e">
        <f t="shared" si="4"/>
        <v>#DIV/0!</v>
      </c>
      <c r="I17" s="208">
        <f>SUMIFS('capacity data'!I:I,'capacity data'!A:A,B17,'capacity data'!E:E,"TPO")</f>
        <v>0</v>
      </c>
      <c r="J17" s="205">
        <f>SUMIFS('capacity data'!J:J,'capacity data'!A:A,B17,'capacity data'!E:E,"TPO")</f>
        <v>0</v>
      </c>
      <c r="K17" s="202" t="e">
        <f t="shared" si="5"/>
        <v>#DIV/0!</v>
      </c>
      <c r="L17" s="209">
        <f>SUMIF('capacity data'!A:A,B17,'capacity data'!I:I)</f>
        <v>0</v>
      </c>
      <c r="M17" s="205">
        <f>SUMIF('capacity data'!A:A,B17,'capacity data'!J:J)</f>
        <v>0</v>
      </c>
      <c r="N17" s="202" t="e">
        <f t="shared" si="6"/>
        <v>#DIV/0!</v>
      </c>
    </row>
    <row r="18" spans="2:14" ht="21" customHeight="1" thickBot="1" x14ac:dyDescent="0.25">
      <c r="B18" s="203" t="s">
        <v>1360</v>
      </c>
      <c r="C18" s="206">
        <f>SUMIF('capacity data'!E:E,"PO",'capacity data'!I:I)</f>
        <v>0</v>
      </c>
      <c r="D18" s="207">
        <f>SUMIF('capacity data'!E:E,"PO",'capacity data'!J:J)</f>
        <v>0</v>
      </c>
      <c r="E18" s="204" t="e">
        <f t="shared" ref="E18" si="11">D18/C18</f>
        <v>#DIV/0!</v>
      </c>
      <c r="F18" s="206">
        <f>SUMIF('capacity data'!E:E,"PSO",'capacity data'!I:I)</f>
        <v>0</v>
      </c>
      <c r="G18" s="207">
        <f>SUMIF('capacity data'!E:E,"PSO",'capacity data'!J:J)</f>
        <v>0</v>
      </c>
      <c r="H18" s="204" t="e">
        <f t="shared" si="0"/>
        <v>#DIV/0!</v>
      </c>
      <c r="I18" s="206">
        <f>SUMIF('capacity data'!E:E,"TPO",'capacity data'!I:I)</f>
        <v>0</v>
      </c>
      <c r="J18" s="207">
        <f>SUMIF('capacity data'!E:E,"TPO",'capacity data'!J:J)</f>
        <v>0</v>
      </c>
      <c r="K18" s="204" t="e">
        <f t="shared" si="1"/>
        <v>#DIV/0!</v>
      </c>
      <c r="L18" s="206">
        <f>SUM('capacity data'!I:I)</f>
        <v>0</v>
      </c>
      <c r="M18" s="207">
        <f>SUM('capacity data'!J:J)</f>
        <v>0</v>
      </c>
      <c r="N18" s="204" t="e">
        <f t="shared" si="2"/>
        <v>#DIV/0!</v>
      </c>
    </row>
    <row r="19" spans="2:14" x14ac:dyDescent="0.2">
      <c r="C19" s="235"/>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549" t="s">
        <v>1376</v>
      </c>
      <c r="B1" s="549"/>
      <c r="C1" s="549"/>
      <c r="D1" s="549"/>
      <c r="E1" s="549"/>
      <c r="F1" s="549"/>
      <c r="G1" s="549"/>
      <c r="H1" s="549"/>
      <c r="I1" s="549"/>
      <c r="J1" s="549"/>
      <c r="K1" s="549"/>
      <c r="L1" s="549"/>
      <c r="M1" s="549"/>
      <c r="N1" s="549"/>
      <c r="O1" s="549"/>
      <c r="P1" s="549"/>
      <c r="Q1" s="549"/>
      <c r="R1" s="549"/>
      <c r="S1" s="549"/>
      <c r="T1" s="549"/>
    </row>
    <row r="2" spans="1:52" s="1" customFormat="1" ht="59.25" customHeight="1" x14ac:dyDescent="0.2">
      <c r="A2" s="550" t="s">
        <v>1377</v>
      </c>
      <c r="B2" s="550"/>
      <c r="C2" s="551">
        <f>home!C4</f>
        <v>0</v>
      </c>
      <c r="D2" s="551"/>
      <c r="E2" s="551"/>
      <c r="F2" s="551"/>
      <c r="G2" s="551"/>
      <c r="H2" s="551"/>
      <c r="I2" s="551"/>
      <c r="J2" s="551"/>
      <c r="K2" s="551"/>
      <c r="L2" s="551"/>
      <c r="M2" s="551"/>
      <c r="N2" s="551"/>
      <c r="O2" s="551"/>
      <c r="P2" s="551"/>
      <c r="Q2" s="551"/>
      <c r="R2" s="551"/>
      <c r="S2" s="551"/>
      <c r="T2" s="551"/>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 x14ac:dyDescent="0.15">
      <c r="A4" s="16"/>
      <c r="B4" s="16"/>
      <c r="C4" s="16"/>
      <c r="D4" s="16" t="s">
        <v>1378</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552" t="s">
        <v>1379</v>
      </c>
      <c r="B1" s="552"/>
      <c r="C1" s="552"/>
      <c r="D1" s="552"/>
      <c r="E1" s="552"/>
      <c r="F1" s="552"/>
      <c r="G1" s="552"/>
      <c r="H1" s="552"/>
      <c r="I1" s="552"/>
      <c r="J1" s="552"/>
      <c r="K1" s="552"/>
      <c r="L1" s="552"/>
      <c r="M1" s="552"/>
      <c r="N1" s="552"/>
      <c r="O1" s="552"/>
      <c r="P1" s="552"/>
      <c r="Q1" s="552"/>
      <c r="R1" s="552"/>
      <c r="S1" s="552"/>
      <c r="T1" s="552"/>
    </row>
    <row r="2" spans="1:52" s="1" customFormat="1" ht="36.75" customHeight="1" x14ac:dyDescent="0.2">
      <c r="A2" s="553" t="s">
        <v>1377</v>
      </c>
      <c r="B2" s="553"/>
      <c r="C2" s="554">
        <f>home!C4</f>
        <v>0</v>
      </c>
      <c r="D2" s="554"/>
      <c r="E2" s="554"/>
      <c r="F2" s="554"/>
      <c r="G2" s="554"/>
      <c r="H2" s="554"/>
      <c r="I2" s="554"/>
      <c r="J2" s="554"/>
      <c r="K2" s="554"/>
      <c r="L2" s="554"/>
      <c r="M2" s="554"/>
      <c r="N2" s="554"/>
      <c r="O2" s="554"/>
      <c r="P2" s="554"/>
      <c r="Q2" s="554"/>
      <c r="R2" s="554"/>
      <c r="S2" s="554"/>
      <c r="T2" s="554"/>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552" t="s">
        <v>1380</v>
      </c>
      <c r="B1" s="552"/>
      <c r="C1" s="552"/>
      <c r="D1" s="552"/>
      <c r="E1" s="552"/>
      <c r="F1" s="552"/>
      <c r="G1" s="552"/>
      <c r="H1" s="552"/>
      <c r="I1" s="552"/>
      <c r="J1" s="552"/>
      <c r="K1" s="552"/>
      <c r="L1" s="552"/>
      <c r="M1" s="552"/>
      <c r="N1" s="552"/>
      <c r="O1" s="552"/>
      <c r="P1" s="552"/>
      <c r="Q1" s="552"/>
      <c r="R1" s="552"/>
      <c r="S1" s="552"/>
      <c r="T1" s="552"/>
    </row>
    <row r="2" spans="1:52" s="1" customFormat="1" ht="36.75" customHeight="1" x14ac:dyDescent="0.2">
      <c r="A2" s="555" t="s">
        <v>1377</v>
      </c>
      <c r="B2" s="555"/>
      <c r="C2" s="554">
        <f>home!C4</f>
        <v>0</v>
      </c>
      <c r="D2" s="554"/>
      <c r="E2" s="554"/>
      <c r="F2" s="554"/>
      <c r="G2" s="554"/>
      <c r="H2" s="554"/>
      <c r="I2" s="554"/>
      <c r="J2" s="554"/>
      <c r="K2" s="554"/>
      <c r="L2" s="554"/>
      <c r="M2" s="554"/>
      <c r="N2" s="554"/>
      <c r="O2" s="554"/>
      <c r="P2" s="554"/>
      <c r="Q2" s="554"/>
      <c r="R2" s="554"/>
      <c r="S2" s="554"/>
      <c r="T2" s="554"/>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2.xml><?xml version="1.0" encoding="utf-8"?>
<ds:datastoreItem xmlns:ds="http://schemas.openxmlformats.org/officeDocument/2006/customXml" ds:itemID="{7BC261C4-397E-4E52-ACEF-8067968E19D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5c70bea-59c1-46b7-82d0-743ec8a3f6a9"/>
    <ds:schemaRef ds:uri="http://purl.org/dc/elements/1.1/"/>
    <ds:schemaRef ds:uri="http://schemas.microsoft.com/office/2006/metadata/properties"/>
    <ds:schemaRef ds:uri="557366f8-f91a-4956-a8f7-7dc824d04245"/>
    <ds:schemaRef ds:uri="http://www.w3.org/XML/1998/namespace"/>
    <ds:schemaRef ds:uri="http://purl.org/dc/dcmitype/"/>
  </ds:schemaRefs>
</ds:datastoreItem>
</file>

<file path=customXml/itemProps3.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19</vt:i4>
      </vt:variant>
    </vt:vector>
  </HeadingPairs>
  <TitlesOfParts>
    <vt:vector size="50" baseType="lpstr">
      <vt:lpstr>home</vt:lpstr>
      <vt:lpstr>PDUs</vt:lpstr>
      <vt:lpstr>capacity data</vt:lpstr>
      <vt:lpstr>caseload data</vt:lpstr>
      <vt:lpstr>reductions data</vt:lpstr>
      <vt:lpstr>reductions workings</vt:lpstr>
      <vt:lpstr>FAQs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2022-05-27T07:57:05Z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